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U:\Corp\Rates\Akr\Rates\FERC Transmission\JCP&amp;L Transmission\Rate Updates\2023 ATRR\"/>
    </mc:Choice>
  </mc:AlternateContent>
  <xr:revisionPtr revIDLastSave="0" documentId="13_ncr:1_{0642C862-E667-4478-8DC5-3AABCBD5501F}" xr6:coauthVersionLast="47" xr6:coauthVersionMax="47" xr10:uidLastSave="{00000000-0000-0000-0000-000000000000}"/>
  <bookViews>
    <workbookView xWindow="28680" yWindow="-120" windowWidth="29040" windowHeight="15840" tabRatio="1000" xr2:uid="{00000000-000D-0000-FFFF-FFFF00000000}"/>
  </bookViews>
  <sheets>
    <sheet name="Attachment H-4A JCP&amp;L " sheetId="1" r:id="rId1"/>
    <sheet name="Attachment 1 - Sched 1A" sheetId="2" r:id="rId2"/>
    <sheet name="Attachment 2 - Incentive ROE" sheetId="31" r:id="rId3"/>
    <sheet name="Attachment 3 - Gross Plant" sheetId="13" r:id="rId4"/>
    <sheet name="Attachment 4 - Accum Depr" sheetId="14" r:id="rId5"/>
    <sheet name="Attachment 5 - ADIT" sheetId="70" r:id="rId6"/>
    <sheet name="Attachment 5a - ADIT Norm PTRR" sheetId="47" r:id="rId7"/>
    <sheet name="Attachment 5b - ADIT Norm ATRR" sheetId="51" r:id="rId8"/>
    <sheet name="Attachment 6 - PBOP" sheetId="33" r:id="rId9"/>
    <sheet name="Attachment 7 - TOTI" sheetId="56" r:id="rId10"/>
    <sheet name="Attachment 8 - Cap Structure" sheetId="22" r:id="rId11"/>
    <sheet name="Attach 9 - Stated-value Inputs" sheetId="26" r:id="rId12"/>
    <sheet name="Attachment 10 - Debt Cost" sheetId="42" r:id="rId13"/>
    <sheet name="Attachment 11 - TEC" sheetId="5" r:id="rId14"/>
    <sheet name="Attach 11a - TEC Cost Support" sheetId="39" r:id="rId15"/>
    <sheet name="Attachment 12 - TEC True-up" sheetId="6" r:id="rId16"/>
    <sheet name="Attachment 13 - NITS True-Up" sheetId="64" r:id="rId17"/>
    <sheet name="Attachment 13a - TEC True-Up" sheetId="71" r:id="rId18"/>
    <sheet name="Attachment 13b - PJM Billings" sheetId="60" r:id="rId19"/>
    <sheet name="Attachment 14a - Working Cap." sheetId="54" r:id="rId20"/>
    <sheet name="Attachment 14b - Unfunded Res" sheetId="55" r:id="rId21"/>
    <sheet name="Attachment 15 - Income Taxes" sheetId="67" r:id="rId22"/>
    <sheet name="Att. 15a - TCJA DDIT and EDIT" sheetId="68" r:id="rId23"/>
    <sheet name="Attachment 16 - Abandoned Plant" sheetId="72" r:id="rId24"/>
    <sheet name="Attachment 17 - CWIP in RB" sheetId="65" r:id="rId25"/>
    <sheet name="Attachment 18 - Rev Creds" sheetId="61" r:id="rId26"/>
    <sheet name="Attachment 19 - Reg Asset-Liab" sheetId="57" r:id="rId27"/>
    <sheet name="Attachment 20 - OpEx" sheetId="59"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'[3]DPLG-APRIL2001-TRANSCHECKOUT'!$AC$2:$AC$10</definedName>
    <definedName name="___PPP1">'[3]DPLG-APRIL2001-TRANSCHECKOUT'!$A$1:$D$27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22" hidden="1">'[4]AL2 151'!#REF!</definedName>
    <definedName name="__123Graph_A" hidden="1">'[4]AL2 151'!#REF!</definedName>
    <definedName name="__123Graph_B" localSheetId="22" hidden="1">'[4]AL2 151'!#REF!</definedName>
    <definedName name="__123Graph_B" hidden="1">'[4]AL2 151'!#REF!</definedName>
    <definedName name="__123Graph_C" localSheetId="22" hidden="1">'[4]AL2 151'!#REF!</definedName>
    <definedName name="__123Graph_C" hidden="1">'[4]AL2 151'!#REF!</definedName>
    <definedName name="__123Graph_D" localSheetId="22" hidden="1">'[4]AL2 151'!#REF!</definedName>
    <definedName name="__123Graph_D" hidden="1">'[4]AL2 151'!#REF!</definedName>
    <definedName name="__123Graph_E" localSheetId="22" hidden="1">'[4]AL2 151'!#REF!</definedName>
    <definedName name="__123Graph_E" hidden="1">'[4]AL2 151'!#REF!</definedName>
    <definedName name="__123Graph_F" localSheetId="22" hidden="1">'[4]AL2 151'!#REF!</definedName>
    <definedName name="__123Graph_F" hidden="1">'[4]AL2 151'!#REF!</definedName>
    <definedName name="__123Graph_X" localSheetId="22" hidden="1">'[4]AL2 151'!#REF!</definedName>
    <definedName name="__123Graph_X" hidden="1">'[4]AL2 151'!#REF!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'[5]QRE Charts'!$D$223:$R$223</definedName>
    <definedName name="_10__123Graph_BQRE_S_BY_TYPE" hidden="1">'[2]QRE''s'!$D$100:$R$100</definedName>
    <definedName name="_11__123Graph_BCONTRACT_BY_B_U" hidden="1">'[5]QRE Charts'!$D$276:$Q$276</definedName>
    <definedName name="_11__123Graph_BSENS_COMPARISON" hidden="1">'[2]QRE Charts'!$E$366:$O$366</definedName>
    <definedName name="_12__123Graph_BQRE_S_BY_CO." hidden="1">'[5]QRE Charts'!$D$302:$R$302</definedName>
    <definedName name="_12__123Graph_BSUPPLIES_BY_B_U" hidden="1">'[2]QRE Charts'!$D$250:$Q$250</definedName>
    <definedName name="_123Graph_B.1" hidden="1">#REF!</definedName>
    <definedName name="_13__123Graph_BQRE_S_BY_TYPE" hidden="1">'[5]QRE''s'!$D$100:$R$100</definedName>
    <definedName name="_13__123Graph_BTAX_CREDIT" hidden="1">'[2]QRE Charts'!$E$332:$E$342</definedName>
    <definedName name="_14__123Graph_BSENS_COMPARISON" hidden="1">'[5]QRE Charts'!$E$366:$O$366</definedName>
    <definedName name="_14__123Graph_BWAGES_BY_B_U" hidden="1">'[2]QRE Charts'!$D$224:$R$224</definedName>
    <definedName name="_15__123Graph_BSUPPLIES_BY_B_U" hidden="1">'[5]QRE Charts'!$D$250:$Q$250</definedName>
    <definedName name="_15__123Graph_CCONTRACT_BY_B_U" hidden="1">'[2]QRE Charts'!$D$277:$Q$277</definedName>
    <definedName name="_16__123Graph_BTAX_CREDIT" hidden="1">'[5]QRE Charts'!$E$332:$E$342</definedName>
    <definedName name="_16__123Graph_CQRE_S_BY_CO." hidden="1">'[2]QRE Charts'!$D$303:$R$303</definedName>
    <definedName name="_17__123Graph_BWAGES_BY_B_U" hidden="1">'[5]QRE Charts'!$D$224:$R$224</definedName>
    <definedName name="_17__123Graph_CQRE_S_BY_TYPE" hidden="1">'[2]QRE''s'!$D$101:$R$101</definedName>
    <definedName name="_18__123Graph_CCONTRACT_BY_B_U" hidden="1">'[5]QRE Charts'!$D$277:$Q$277</definedName>
    <definedName name="_18__123Graph_CSENS_COMPARISON" hidden="1">'[2]QRE Charts'!$E$367:$O$367</definedName>
    <definedName name="_19__123Graph_CQRE_S_BY_CO." hidden="1">'[5]QRE Charts'!$D$303:$R$303</definedName>
    <definedName name="_19__123Graph_CSUPPLIES_BY_B_U" hidden="1">'[2]QRE Charts'!$D$251:$Q$251</definedName>
    <definedName name="_1K" hidden="1">[6]Masterdata!#REF!</definedName>
    <definedName name="_2__123Graph_AQRE_S_BY_CO." hidden="1">'[2]QRE Charts'!$D$301:$R$301</definedName>
    <definedName name="_20__123Graph_CQRE_S_BY_TYPE" hidden="1">'[5]QRE''s'!$D$101:$R$101</definedName>
    <definedName name="_20__123Graph_CWAGES_BY_B_U" hidden="1">'[2]QRE Charts'!$D$225:$R$225</definedName>
    <definedName name="_21__123Graph_CSENS_COMPARISON" hidden="1">'[5]QRE Charts'!$E$367:$O$367</definedName>
    <definedName name="_21__123Graph_DCONTRACT_BY_B_U" hidden="1">'[2]QRE Charts'!$D$278:$Q$278</definedName>
    <definedName name="_22__123Graph_CSUPPLIES_BY_B_U" hidden="1">'[5]QRE Charts'!$D$251:$Q$251</definedName>
    <definedName name="_22__123Graph_DQRE_S_BY_CO." hidden="1">'[2]QRE Charts'!$D$304:$R$304</definedName>
    <definedName name="_23__123Graph_CWAGES_BY_B_U" hidden="1">'[5]QRE Charts'!$D$225:$R$225</definedName>
    <definedName name="_23__123Graph_DSUPPLIES_BY_B_U" hidden="1">'[2]QRE Charts'!$D$252:$Q$252</definedName>
    <definedName name="_24__123Graph_DCONTRACT_BY_B_U" hidden="1">'[5]QRE Charts'!$D$278:$Q$278</definedName>
    <definedName name="_24__123Graph_DWAGES_BY_B_U" hidden="1">'[2]QRE Charts'!$D$226:$R$226</definedName>
    <definedName name="_25__123Graph_DQRE_S_BY_CO." hidden="1">'[5]QRE Charts'!$D$304:$R$304</definedName>
    <definedName name="_25__123Graph_ECONTRACT_BY_B_U" hidden="1">'[2]QRE Charts'!$D$279:$Q$279</definedName>
    <definedName name="_26__123Graph_DSUPPLIES_BY_B_U" hidden="1">'[5]QRE Charts'!$D$252:$Q$252</definedName>
    <definedName name="_26__123Graph_EQRE_S_BY_CO." hidden="1">'[2]QRE Charts'!$D$305:$R$305</definedName>
    <definedName name="_27__123Graph_DWAGES_BY_B_U" hidden="1">'[5]QRE Charts'!$D$226:$R$226</definedName>
    <definedName name="_27__123Graph_ESUPPLIES_BY_B_U" hidden="1">'[2]QRE Charts'!$D$253:$Q$253</definedName>
    <definedName name="_28__123Graph_ECONTRACT_BY_B_U" hidden="1">'[5]QRE Charts'!$D$279:$Q$279</definedName>
    <definedName name="_28__123Graph_EWAGES_BY_B_U" hidden="1">'[2]QRE Charts'!$D$227:$R$227</definedName>
    <definedName name="_29__123Graph_EQRE_S_BY_CO." hidden="1">'[5]QRE Charts'!$D$305:$R$305</definedName>
    <definedName name="_29__123Graph_FCONTRACT_BY_B_U" hidden="1">'[2]QRE Charts'!$D$280:$Q$280</definedName>
    <definedName name="_2K" hidden="1">[6]Masterdata!#REF!</definedName>
    <definedName name="_2S" hidden="1">[6]Masterdata!#REF!</definedName>
    <definedName name="_3__123Graph_AQRE_S_BY_TYPE" hidden="1">'[2]QRE''s'!$D$99:$R$99</definedName>
    <definedName name="_30__123Graph_ESUPPLIES_BY_B_U" hidden="1">'[5]QRE Charts'!$D$253:$Q$253</definedName>
    <definedName name="_30__123Graph_FQRE_S_BY_CO." hidden="1">'[2]QRE Charts'!$D$306:$R$306</definedName>
    <definedName name="_31__123Graph_EWAGES_BY_B_U" hidden="1">'[5]QRE Charts'!$D$227:$R$227</definedName>
    <definedName name="_31__123Graph_FSUPPLIES_BY_B_U" hidden="1">'[2]QRE Charts'!$D$254:$Q$254</definedName>
    <definedName name="_32__123Graph_FCONTRACT_BY_B_U" hidden="1">'[5]QRE Charts'!$D$280:$Q$280</definedName>
    <definedName name="_32__123Graph_FWAGES_BY_B_U" hidden="1">'[2]QRE Charts'!$D$228:$R$228</definedName>
    <definedName name="_33__123Graph_FQRE_S_BY_CO." hidden="1">'[5]QRE Charts'!$D$306:$R$306</definedName>
    <definedName name="_33__123Graph_XCONTRACT_BY_B_U" hidden="1">'[2]QRE Charts'!$D$222:$R$222</definedName>
    <definedName name="_34__123Graph_FSUPPLIES_BY_B_U" hidden="1">'[5]QRE Charts'!$D$254:$Q$254</definedName>
    <definedName name="_34__123Graph_XQRE_S_BY_CO." hidden="1">'[2]QRE Charts'!$D$222:$R$222</definedName>
    <definedName name="_35__123Graph_FWAGES_BY_B_U" hidden="1">'[5]QRE Charts'!$D$228:$R$228</definedName>
    <definedName name="_35__123Graph_XQRE_S_BY_TYPE" hidden="1">'[2]QRE Charts'!$D$222:$R$222</definedName>
    <definedName name="_36__123Graph_XCONTRACT_BY_B_U" hidden="1">'[5]QRE Charts'!$D$222:$R$222</definedName>
    <definedName name="_36__123Graph_XSUPPLIES_BY_B_U" hidden="1">'[2]QRE Charts'!$D$222:$R$222</definedName>
    <definedName name="_37__123Graph_XQRE_S_BY_CO." hidden="1">'[5]QRE Charts'!$D$222:$R$222</definedName>
    <definedName name="_37__123Graph_XTAX_CREDIT" hidden="1">'[2]QRE Charts'!$C$332:$C$342</definedName>
    <definedName name="_38__123Graph_XQRE_S_BY_TYPE" hidden="1">'[5]QRE Charts'!$D$222:$R$222</definedName>
    <definedName name="_39__123Graph_XSUPPLIES_BY_B_U" hidden="1">'[5]QRE Charts'!$D$222:$R$222</definedName>
    <definedName name="_4__123Graph_ACONTRACT_BY_B_U" hidden="1">'[5]QRE Charts'!$D$275:$Q$275</definedName>
    <definedName name="_4__123Graph_ASENS_COMPARISON" hidden="1">'[2]QRE Charts'!$E$365:$O$365</definedName>
    <definedName name="_40__123Graph_XTAX_CREDIT" hidden="1">'[5]QRE Charts'!$C$332:$C$342</definedName>
    <definedName name="_4S" hidden="1">[6]Masterdata!#REF!</definedName>
    <definedName name="_5__123Graph_AQRE_S_BY_CO." hidden="1">'[5]QRE Charts'!$D$301:$R$301</definedName>
    <definedName name="_5__123Graph_ASUPPLIES_BY_B_U" hidden="1">'[2]QRE Charts'!$D$249:$Q$249</definedName>
    <definedName name="_6__123Graph_AQRE_S_BY_TYPE" hidden="1">'[5]QRE''s'!$D$99:$R$99</definedName>
    <definedName name="_6__123Graph_ATAX_CREDIT" hidden="1">'[2]QRE Charts'!$D$332:$D$342</definedName>
    <definedName name="_7__123Graph_ASENS_COMPARISON" hidden="1">'[5]QRE Charts'!$E$365:$O$365</definedName>
    <definedName name="_7__123Graph_AWAGES_BY_B_U" hidden="1">'[2]QRE Charts'!$D$223:$R$223</definedName>
    <definedName name="_8__123Graph_ASUPPLIES_BY_B_U" hidden="1">'[5]QRE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'[5]QRE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22" hidden="1">#REF!</definedName>
    <definedName name="_Key1" hidden="1">#REF!</definedName>
    <definedName name="_Key2" hidden="1">'[7]Wage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'[3]DPLG-APRIL2001-TRANSCHECKOUT'!$AC$2:$AC$10</definedName>
    <definedName name="_Order.1" hidden="1">255</definedName>
    <definedName name="_Order1" hidden="1">255</definedName>
    <definedName name="_Order2">255</definedName>
    <definedName name="_p.choice">#REF!</definedName>
    <definedName name="_Parse_In" hidden="1">#REF!</definedName>
    <definedName name="_Parse_Out" hidden="1">#REF!</definedName>
    <definedName name="_PPP1">'[3]DPLG-APRIL2001-TRANSCHECKOUT'!$A$1:$D$27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22"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#REF!</definedName>
    <definedName name="above">OFFSET(!A1,-1,0)</definedName>
    <definedName name="AC_255">'[8]AC 255'!$A$1:$M$32</definedName>
    <definedName name="ActivityType">'[9]Activity Type'!$1:$1048576</definedName>
    <definedName name="Actual">[10]Assumptions!$E$52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'[11]A.2 PTP'!$P$55</definedName>
    <definedName name="ADTL">'[11]C. Input'!$F$144</definedName>
    <definedName name="ag_1">'[12]Input Page'!$G$7</definedName>
    <definedName name="ag_cap_indirect">'[13]Input Page'!$G$7</definedName>
    <definedName name="ag_mix_cap">'[13]Input Page'!$G$8</definedName>
    <definedName name="ag_mix_total">'[13]Input Page'!$G$9</definedName>
    <definedName name="AG_TST">'[11]A.2 PTP'!$P$111</definedName>
    <definedName name="aging" hidden="1">{#N/A,#N/A,FALSE,"Aging Summary";#N/A,#N/A,FALSE,"Ratio Analysis";#N/A,#N/A,FALSE,"Test 120 Day Accts";#N/A,#N/A,FALSE,"Tickmarks"}</definedName>
    <definedName name="AGXP">'[11]C.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[14]ALL!$B$25</definedName>
    <definedName name="ALLCGI">[14]ALL!$D$25</definedName>
    <definedName name="Allocator.gross.plant">'[15]Appendix A'!$H$29</definedName>
    <definedName name="Allocator.net.plant">'[15]Appendix A'!$H$32</definedName>
    <definedName name="Allocator.wages.salary">'[15]Appendix A'!$H$17</definedName>
    <definedName name="ALLRD">[14]ALL!$C$25</definedName>
    <definedName name="ALLSKP">[14]ALL!$E$25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#REF!</definedName>
    <definedName name="Amort_04">'[11]D.16.1.2 Table B 2004'!$A$24:$U$35</definedName>
    <definedName name="Amort_05">'[11]D.16.1.3 Table B 2005'!$A$24:$U$36</definedName>
    <definedName name="Amort_06">'[11]D.16.1.4 Table B 2006'!$A$24:$U$37</definedName>
    <definedName name="Amort_07">'[11]D.16.1.5 Table B 2007'!$A$24:$U$38</definedName>
    <definedName name="Amort_08">'[11]D.16.1.6 Table B 2008'!$A$24:$U$39</definedName>
    <definedName name="Amort_09">'[11]D.16.1.7 Table B 2009'!$A$24:$U$39</definedName>
    <definedName name="Amort_10">'[11]D.16.1.8 Table B 2010'!$A$24:$U$39</definedName>
    <definedName name="Amort_11">'[11]D.16.1.9 Table B 2011'!$A$24:$U$39</definedName>
    <definedName name="Amort_12">'[11]D.16.1.10 Table B 2012'!$A$24:$U$39</definedName>
    <definedName name="anscount" hidden="1">1</definedName>
    <definedName name="AO.print">#REF!</definedName>
    <definedName name="APN">'[16]Gas Ferc 2 2003'!$V$2</definedName>
    <definedName name="ARB_04">'[11]D.16.1.2 Table B 2004'!$A$39:$U$50</definedName>
    <definedName name="ARB_05">'[11]D.16.1.3 Table B 2005'!$A$40:$U$52</definedName>
    <definedName name="ARB_06">'[11]D.16.1.4 Table B 2006'!$A$41:$U$54</definedName>
    <definedName name="ARB_07">'[11]D.16.1.5 Table B 2007'!$A$42:$U$56</definedName>
    <definedName name="ARB_08">'[11]D.16.1.6 Table B 2008'!$A$43:$U$58</definedName>
    <definedName name="ARB_09">'[11]D.16.1.7 Table B 2009'!$A$43:$U$58</definedName>
    <definedName name="ARB_10">'[11]D.16.1.8 Table B 2010'!$A$43:$U$58</definedName>
    <definedName name="ARB_11">'[11]D.16.1.9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[17]Input!$B$6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#REF!</definedName>
    <definedName name="BALANCE">'[18]MTHLY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[10]Assumptions!$H$15</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#REF!</definedName>
    <definedName name="beg_CWIP">'[19]Input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'[20]10.08.5 - 2008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'[20]10.08.3 - 2008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'[20]10.08.5 - 2008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'[20]10.08.5 - 2008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'[20]10.08.2 - 2008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'[20]10.08.3 - 2008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'[20]10.08.4 -2008 Capital'!#REF!</definedName>
    <definedName name="BEx1U15M7LVVFZENH830B2BGWC04" hidden="1">#REF!</definedName>
    <definedName name="BEx1U5NGVTXGL4CIPVT5O034KGGR" hidden="1">'[20]10.08.3 - 2008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'[20]10.08.5 - 2008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'[20]10.08.5 - 2008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[21]Table!#REF!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'[20]10.08.5 - 2008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'[20]10.08.5 - 2008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'[20]10.08.3 - 2008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[21]Table!#REF!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'[20]10.08.5 - 2008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'[20]10.08.4 -2008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'[20]10.08.5 - 2008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'[20]10.08.5 - 2008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'[20]10.08.4 -2008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'[20]10.08.5 - 2008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'[20]10.08.3 - 2008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'[20]10.08.2 - 2008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'[20]10.08.3 - 2008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'[20]10.08.5 - 2008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'[20]10.08.5 - 2008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'[20]10.08.5 - 2008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'[20]10.08.2 - 2008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'[20]10.08.5 - 2008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'[20]10.08.2 - 2008 Expense'!#REF!</definedName>
    <definedName name="BExCUW1QXVMEP3B9SFPNEEWCG9I0" hidden="1">'[20]10.08.5 - 2008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'[20]10.08.4 -2008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'[20]10.08.2 - 2008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'[20]10.08.3 - 2008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[21]Table!#REF!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'[20]10.08.4 -2008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'[20]10.08.4 -2008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'[20]10.08.2 - 2008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'[20]10.08.5 - 2008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'[20]10.08.4 -2008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'[20]10.08.5 - 2008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'[20]10.08.4 -2008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'[20]10.08.4 -2008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'[20]10.08.2 - 2008 Expense'!#REF!</definedName>
    <definedName name="BExIM2RXHXBO63HBPUTHF775IIRY" hidden="1">#REF!</definedName>
    <definedName name="BExIM2RXYS5BGYBDMFLU1RE8039Z" hidden="1">#REF!</definedName>
    <definedName name="BExIM2X90EG7J3TG4STQ3J1OK4O0" hidden="1">'[20]10.08.5 - 2008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'[20]10.08.5 - 2008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'[20]10.08.5 - 2008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'[20]10.08.2 - 2008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'[20]10.08.4 -2008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'[20]10.08.4 -2008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'[20]10.08.5 - 2008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[21]Table!#REF!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'[20]10.08.5 - 2008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'[20]10.08.5 - 2008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'[20]10.08.5 - 2008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'[20]10.08.3 - 2008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'[20]10.08.2 - 2008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'[20]10.08.5 - 2008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[21]Table!#REF!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'[20]10.08.2 - 2008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'[20]10.08.5 - 2008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'[20]10.08.3 - 2008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'[20]10.08.2 - 2008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'[20]10.08.2 - 2008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[21]Table!#REF!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'[20]10.08.4 -2008 Capital'!#REF!</definedName>
    <definedName name="BExTYLUCLWGGQOEPH6W91DIYL3RQ" hidden="1">#REF!</definedName>
    <definedName name="BExTYOZQGNRDMMFZOG8515WQDGU3" hidden="1">'[20]10.08.5 - 2008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'[20]10.08.2 - 2008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'[20]10.08.5 - 2008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'[20]10.08.5 - 2008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'[20]10.08.5 - 2008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'[20]10.08.3 - 2008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'[20]10.08.2 - 2008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'[20]10.08.5 - 2008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'[20]10.08.3 - 2008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'[20]10.08.5 - 2008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'[20]10.08.2 - 2008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'[20]10.08.3 - 2008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'[20]10.08.5 - 2008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'[20]10.08.5 - 2008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'[20]10.08.5 - 2008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#REF!</definedName>
    <definedName name="BGS_Cost_Scenario">[10]Assumptions!$E$33</definedName>
    <definedName name="BGS_RFP">[10]Assumptions!$E$36</definedName>
    <definedName name="BILLCO" localSheetId="11">'[3]DPLG-APRIL2001-TRANSCHECKOUT'!$M:$P</definedName>
    <definedName name="BILLCO">'[3]DPLG-APRIL2001-TRANSCHECKOUT'!$M$1:$P$65536</definedName>
    <definedName name="BK..FM1.Adjusted..print">#REF!</definedName>
    <definedName name="BK..FM1.ROR..print">#REF!</definedName>
    <definedName name="BLE_Close_Date">[22]Assumptions!$E$28</definedName>
    <definedName name="BowlingGreen">#REF!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'[19]Input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'[11]A.2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'Attachment H-4A JCP&amp;L '!#REF!</definedName>
    <definedName name="CE_EAI">'[11]C. Input'!$I$37</definedName>
    <definedName name="CE_EGSI">'[11]C. Input'!$L$37</definedName>
    <definedName name="CE_ELI">'[11]C. Input'!$O$37</definedName>
    <definedName name="CE_EMI">'[11]C. Input'!$R$37</definedName>
    <definedName name="CE_ENOI">'[11]C. Input'!$X$37</definedName>
    <definedName name="cell.above">!A1048576</definedName>
    <definedName name="cell.below">!A2</definedName>
    <definedName name="cell.left">!XFD1</definedName>
    <definedName name="cell.right">!B1</definedName>
    <definedName name="CEP_Amortization">'[22]JFJ-4 CEP Rate'!$A$28:$F$78</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'[23]Array Tables'!$B$4:$B$236</definedName>
    <definedName name="COGEN">'[24]October Tariff kwh'!$A$1:$H$83</definedName>
    <definedName name="Company_Name">[2]Menu!$I$11</definedName>
    <definedName name="CompanyCount">'[2]QRE Charts'!$F$214</definedName>
    <definedName name="CompanyName">'[25]Title Page'!$A$22</definedName>
    <definedName name="COMPAR_PRT_RNG">[2]Comparison!$B$8:$BT$170</definedName>
    <definedName name="compInc">[26]Inputs!$B$4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'[27]2004 TAX PROV'!$U$11:$AR$764</definedName>
    <definedName name="Cost_Center">'[23]Array Tables'!$A$4:$A$236</definedName>
    <definedName name="cost_of_good_sold">'[19]Input Page'!$E$11</definedName>
    <definedName name="cost2001">[28]Input!$M$23</definedName>
    <definedName name="COUNTER">'[2]Macro Tables'!$C$21</definedName>
    <definedName name="CR">'[11]C. Input'!$F$27</definedName>
    <definedName name="credit_rate">[2]Print!$I$18</definedName>
    <definedName name="creditsummary">[2]Model!$A$180:$E$201</definedName>
    <definedName name="CTF">'Attachment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#REF!</definedName>
    <definedName name="CUT">[29]AFUDC_CCRF!$A$1:$N$303</definedName>
    <definedName name="CUTINS">[29]AFUDC_CCRF!$A$73:$N$160</definedName>
    <definedName name="CUYAHOGA_FALLS">#REF!</definedName>
    <definedName name="D">'[11]C. Input'!$F$33</definedName>
    <definedName name="D_EAI">'[11]C. Input'!$I$33</definedName>
    <definedName name="D_EGSI">'[11]C. Input'!$L$33</definedName>
    <definedName name="D_EMI">'[11]C. Input'!$R$33</definedName>
    <definedName name="D_ENOI">'[11]C. Input'!$X$33</definedName>
    <definedName name="DA" localSheetId="17">'Attachment 13a - TEC True-Up'!$I$57</definedName>
    <definedName name="DA">'Attachment 13 - NITS True-Up'!$I$57</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'[15]Appendix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[30]!DATAFEEDER</definedName>
    <definedName name="Date">[31]Settings!$F$23</definedName>
    <definedName name="DAYs">[32]A!$Q$60</definedName>
    <definedName name="DD.">[33]Input!$F$33</definedName>
    <definedName name="ddd">[34]Sheet1!$J$130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[10]Assumptions!$H$14</definedName>
    <definedName name="Deferral_Recovery">'[22]JFJ-1 Deferral Recovery Rate'!$A$14:$F$64</definedName>
    <definedName name="delete" hidden="1">{#N/A,#N/A,FALSE,"CURRENT"}</definedName>
    <definedName name="Depr_Life">'[35]T&amp;D Split Substation Summary'!$B$39</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'[11]A.2 PTP'!$P$288</definedName>
    <definedName name="DocumentName" hidden="1">"b1"</definedName>
    <definedName name="DocumentNum" hidden="1">"a1"</definedName>
    <definedName name="DOFTSR">'[11]A.2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'[11]C. Input'!$F$166</definedName>
    <definedName name="DR">'[11]C.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1">'[3]DPLG-APRIL2001-TRANSCHECKOUT'!$Q:$R</definedName>
    <definedName name="DUEDATE">'[3]DPLG-APRIL2001-TRANSCHECKOUT'!$Q$1:$R$65536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'[36]#REF'!$AS$5:$AS$85</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'[11]C. Input'!$F$205</definedName>
    <definedName name="Ellwood_City">#REF!</definedName>
    <definedName name="ELMORE">#REF!</definedName>
    <definedName name="eng_design">'[13]Input Page'!$G$17</definedName>
    <definedName name="Entities">[9]Entities!$1:$1048576</definedName>
    <definedName name="ENTITY">[31]Settings!$F$17</definedName>
    <definedName name="EPRI">'[11]C. Input'!$F$203</definedName>
    <definedName name="EROA">[26]Inputs!$B$3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'[19]Input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'[15]FERC Form 1 data'!$B$7:$L$87</definedName>
    <definedName name="FF1_INPUT_columns">'[15]FERC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[37]A!$A$1</definedName>
    <definedName name="FIT">'Attachment 15 - Income Taxes'!$K$7</definedName>
    <definedName name="fleet_cap">'[19]Input Page'!$E$7</definedName>
    <definedName name="fleet_total">'[19]Input Page'!$E$8</definedName>
    <definedName name="Fossil_BGS">[22]Assumptions!$E$58</definedName>
    <definedName name="Fossil_Secur_Date">[10]Assumptions!$E$22</definedName>
    <definedName name="FREV">'[11]C.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[38]Input1!$B$6</definedName>
    <definedName name="FYR">'[16]Gas Ferc 2 2003'!$V$3</definedName>
    <definedName name="GALION">#REF!</definedName>
    <definedName name="GDR">'[11]C. Input'!$F$237</definedName>
    <definedName name="GDX">'[11]C. Input'!$F$309</definedName>
    <definedName name="GenLedger">[39]PEPCO!$A$9:$H$774</definedName>
    <definedName name="GENOA">#REF!</definedName>
    <definedName name="GENOA_NORTH">#REF!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localSheetId="17" hidden="1">NOT(ISERROR([0]!gIsRef !Print_Area))</definedName>
    <definedName name="gIsInPrintArea" hidden="1">NOT(ISERROR(gIsRef !Print_Area))</definedName>
    <definedName name="gIsInPrintTitles" localSheetId="17" hidden="1">NOT(ISERROR([0]!gIsRef !Print_Titles))</definedName>
    <definedName name="gIsInPrintTitles" hidden="1">NOT(ISERROR(gIsRef !Print_Titles))</definedName>
    <definedName name="gIsNumber" hidden="1">ISNUMBER(gIsRef)</definedName>
    <definedName name="gIsPreviousSheet" localSheetId="17" hidden="1">PrevShtCellValue([0]!gIsRef)&lt;&gt;[0]!gIsRef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'Attachment H-4A JCP&amp;L '!$G$57</definedName>
    <definedName name="GPLT">'[11]C. Input'!$F$168</definedName>
    <definedName name="GR_PRT_RANGE">[2]Gross_Rec!$A$8:$R$52</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'[40]Tony''s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'[11]A.2 PTP'!$P$333</definedName>
    <definedName name="hourending">#REF!</definedName>
    <definedName name="HOURs">[32]A!$Q$61</definedName>
    <definedName name="HPNTSR">'[11]A.2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#REF!</definedName>
    <definedName name="Input_Range">'[41]Nonlevelized-IOU'!$K$7,'[41]Nonlevelized-IOU'!$D$10,'[41]Nonlevelized-IOU'!$I$26,'[41]Nonlevelized-IOU'!$D$89:$D$92,'[41]Nonlevelized-IOU'!$D$97:$D$100,'[41]Nonlevelized-IOU'!$D$113:$D$116,'[41]Nonlevelized-IOU'!$D$124:$D$125,'[41]Nonlevelized-IOU'!$D$162,'[41]Nonlevelized-IOU'!$D$164:$D$165,'[41]Nonlevelized-IOU'!$D$167,'[41]Nonlevelized-IOU'!$D$174:$D$175,'[41]Nonlevelized-IOU'!$D$181,'[41]Nonlevelized-IOU'!$D$184,'[41]Nonlevelized-IOU'!$I$233:$I$234,'[41]Nonlevelized-IOU'!$D$250:$D$253,'[41]Nonlevelized-IOU'!$D$257:$D$259,'[41]Nonlevelized-IOU'!$I$263,'[41]Nonlevelized-IOU'!$I$265,'[41]Nonlevelized-IOU'!$I$268,'[41]Nonlevelized-IOU'!$D$274:$D$275,'[41]Nonlevelized-IOU'!$I$289,'[41]Nonlevelized-IOU'!$D$325:$D$327</definedName>
    <definedName name="Inputs_EndYrBal">[15]Inputs!$E$15:$E$72</definedName>
    <definedName name="Inputs_EndYrBal_prior">[15]Inputs!$D$15:$D$72</definedName>
    <definedName name="Inputs_FF1_Map">[15]Inputs!$F$15:$F$72</definedName>
    <definedName name="intang_afudc910">[42]criteria!$A$5:$B$6</definedName>
    <definedName name="INTQ">'[43]IR COMP'!$B$39</definedName>
    <definedName name="INTY">'[43]IR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'[11]C. Input'!$F$146</definedName>
    <definedName name="ITCWO">'[11]C. Input'!$F$325</definedName>
    <definedName name="ITE">[44]PL!$A:$IV</definedName>
    <definedName name="itec">[44]PL!$A$1:$A$65536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'[40]Tony''s Categories'!$D$6:$D$100</definedName>
    <definedName name="KeyCon_Close_Date">[22]Assumptions!$E$29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#REF!</definedName>
    <definedName name="LFTSR">'[11]A.2 PTP'!$P$230</definedName>
    <definedName name="Library" hidden="1">"a1"</definedName>
    <definedName name="LicenseCOS">0.01</definedName>
    <definedName name="limcount" hidden="1">1</definedName>
    <definedName name="LK">{"'Metretek HTML'!$A$7:$W$42"}</definedName>
    <definedName name="ll" hidden="1">{#N/A,#N/A,FALSE,"EMPPAY"}</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'[40]Tony''s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#REF!</definedName>
    <definedName name="M21Laurie" localSheetId="11">'Attach 9 - Stated-value Inputs'!M21Laurie</definedName>
    <definedName name="M21Laurie">'Attach 9 - Stated-value Inputs'!M21Laurie</definedName>
    <definedName name="Maintenance">0.15</definedName>
    <definedName name="MFTSR">'[11]A.2 PTP'!$P$276</definedName>
    <definedName name="MILAN">#REF!</definedName>
    <definedName name="million">1000000</definedName>
    <definedName name="minus_S_W_2001">'[45]Last year''s minus S&amp;W'!$A$1</definedName>
    <definedName name="modelgrheader">[2]Model!$A$3</definedName>
    <definedName name="modelqreheader">[2]Model!$A$78</definedName>
    <definedName name="MONROEVILLE">#REF!</definedName>
    <definedName name="MONTH">[32]A!$Q$58</definedName>
    <definedName name="MonthDate">[46]Index!$A$4</definedName>
    <definedName name="MREV">'[11]C. Input'!$F$295</definedName>
    <definedName name="MS">'[11]C. Input'!$F$242</definedName>
    <definedName name="MTC_Amortization">'[22]JFJ-3 MTC Rate'!$A$32:$F$82</definedName>
    <definedName name="NAPOLEON">#REF!</definedName>
    <definedName name="NEASG">#REF!</definedName>
    <definedName name="new" hidden="1">{#N/A,#N/A,FALSE,"O&amp;M by processes";#N/A,#N/A,FALSE,"Elec Act vs Bud";#N/A,#N/A,FALSE,"G&amp;A";#N/A,#N/A,FALSE,"BGS";#N/A,#N/A,FALSE,"Res Cost"}</definedName>
    <definedName name="New_99_IS">'[47]2nd qtr 2000'!$A$1:$I$58,'[47]2nd qtr 2000'!$K$1:$T$58,'[47]2nd qtr 2000'!$V$1:$AI$58</definedName>
    <definedName name="New_Wilmington">#REF!</definedName>
    <definedName name="NewHire">8500</definedName>
    <definedName name="NEWTON_FALLS">#REF!</definedName>
    <definedName name="NEXT_STEP">[2]Comparison!$CK$14</definedName>
    <definedName name="NILES">#REF!</definedName>
    <definedName name="Node">[48]Hierarchy!$B$2:$E$16455</definedName>
    <definedName name="non_cap_int">'[19]Input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#REF!</definedName>
    <definedName name="NTDR">'[11]C. Input'!$F$234</definedName>
    <definedName name="NTPLT">'[11]C. Input'!$F$164</definedName>
    <definedName name="NTSRR">'[11]B.2 NITS '!$P$220</definedName>
    <definedName name="Nuclear_Secur_Date">[10]Assumptions!$E$21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[49]Sheet1!$H$75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#REF!</definedName>
    <definedName name="OAK_HARBOR">#REF!</definedName>
    <definedName name="OBERLIN">#REF!</definedName>
    <definedName name="OFF">'[3]DPLG-APRIL2001-TRANSCHECKOUT'!$F$2:$L$10</definedName>
    <definedName name="ok">"46A77S0J3A6DMSOD9MQSK0ZYO"</definedName>
    <definedName name="ON">'[3]DPLG-APRIL2001-TRANSCHECKOUT'!$M$2:$AC$10</definedName>
    <definedName name="one">1</definedName>
    <definedName name="ORACLE_DEPRECIATION">'[50]Agriliance-allassets'!$A$1:$EG$15622</definedName>
    <definedName name="other_mix_cap">'[13]Input Page'!$G$10</definedName>
    <definedName name="other_mix_total">'[13]Input Page'!$G$11</definedName>
    <definedName name="OTR_TST">'[11]A.2 PTP'!$P$129</definedName>
    <definedName name="P">'Attachment 15 - Income Taxes'!$K$12</definedName>
    <definedName name="pctHW">[28]Input!$M$24</definedName>
    <definedName name="pctSWExp">[28]Input!$M$26</definedName>
    <definedName name="pctTraining">[28]Input!$M$25</definedName>
    <definedName name="pe">[2]Print!$A$2</definedName>
    <definedName name="PEMBERVILLE">#REF!</definedName>
    <definedName name="PF">'[11]C. Input'!$F$35</definedName>
    <definedName name="PF_EAI">'[11]C. Input'!$I$35</definedName>
    <definedName name="PF_EGSI">'[11]C. Input'!$L$35</definedName>
    <definedName name="PF_ELI">'[11]C. Input'!$O$35</definedName>
    <definedName name="PF_EMI">'[11]C. Input'!$R$35</definedName>
    <definedName name="PF_ENOI">'[11]C. Input'!$X$35</definedName>
    <definedName name="Phase">'[2]Macro Tables'!$F$21</definedName>
    <definedName name="PIONEER">#REF!</definedName>
    <definedName name="post_fossil">[22]Assumptions!$E$59</definedName>
    <definedName name="PPA">[10]Assumptions!$E$38</definedName>
    <definedName name="PPLT">'[11]C. Input'!$F$152</definedName>
    <definedName name="pPRINT">'[3]DPLG-APRIL2001-TRANSCHECKOUT'!$A$1:$I$49</definedName>
    <definedName name="PPT">'[11]C. Input'!$F$244</definedName>
    <definedName name="PR">'[11]C. Input'!$F$25</definedName>
    <definedName name="PreTaxDebt">'[22]MTC Return'!$F$18</definedName>
    <definedName name="PRINT">'[3]DPLG-APRIL2001-TRANSCHECKOUT'!$A$2:$K$55</definedName>
    <definedName name="Print.selection.print">#REF!</definedName>
    <definedName name="Print_99_IS">'[47]2nd qtr 2000'!$D$1:$I$58,'[47]2nd qtr 2000'!$N$1:$T$58,'[47]2nd qtr 2000'!$AA$1:$AH$57</definedName>
    <definedName name="_xlnm.Print_Area" localSheetId="14">'Attach 11a - TEC Cost Support'!$A$1:$AI$29</definedName>
    <definedName name="_xlnm.Print_Area" localSheetId="11">'Attach 9 - Stated-value Inputs'!$A$1:$I$51</definedName>
    <definedName name="_xlnm.Print_Area" localSheetId="1">'Attachment 1 - Sched 1A'!$A$1:$J$18</definedName>
    <definedName name="_xlnm.Print_Area" localSheetId="12">'Attachment 10 - Debt Cost'!$A$1:$AA$55</definedName>
    <definedName name="_xlnm.Print_Area" localSheetId="13">'Attachment 11 - TEC'!$A$1:$S$91</definedName>
    <definedName name="_xlnm.Print_Area" localSheetId="15">'Attachment 12 - TEC True-up'!$A$1:$M$45</definedName>
    <definedName name="_xlnm.Print_Area" localSheetId="18">'Attachment 13b - PJM Billings'!$A$1:$L$43</definedName>
    <definedName name="_xlnm.Print_Area" localSheetId="3">'Attachment 3 - Gross Plant'!$A$1:$K$68</definedName>
    <definedName name="_xlnm.Print_Area" localSheetId="4">'Attachment 4 - Accum Depr'!$A$1:$K$69</definedName>
    <definedName name="_xlnm.Print_Area" localSheetId="6">'Attachment 5a - ADIT Norm PTRR'!$A$1:$M$54</definedName>
    <definedName name="_xlnm.Print_Area" localSheetId="7">'Attachment 5b - ADIT Norm ATRR'!$A$1:$M$79</definedName>
    <definedName name="_xlnm.Print_Area" localSheetId="10">'Attachment 8 - Cap Structure'!$A$1:$M$28</definedName>
    <definedName name="_xlnm.Print_Area" localSheetId="0">'Attachment H-4A JCP&amp;L '!$A$1:$K$263</definedName>
    <definedName name="_xlnm.Print_Area">#REF!</definedName>
    <definedName name="Print_TFI_use">'[51]TFI use'!$A$1:$P$40,'[51]TFI use'!$A$42:$P$65,'[51]TFI use'!$A$67:$R$84</definedName>
    <definedName name="_xlnm.Print_Titles" localSheetId="22">'Att. 15a - TCJA DDIT and EDIT'!$A:$B,'Att. 15a - TCJA DDIT and EDIT'!$6:$8</definedName>
    <definedName name="_xlnm.Print_Titles" localSheetId="13">'Attachment 11 - TEC'!$C:$D</definedName>
    <definedName name="_xlnm.Print_Titles" localSheetId="15">'Attachment 12 - TEC True-up'!$C:$D</definedName>
    <definedName name="_xlnm.Print_Titles" localSheetId="19">'Attachment 14a - Working Cap.'!$A:$B,'Attachment 14a - Working Cap.'!$5:$8</definedName>
    <definedName name="_xlnm.Print_Titles" localSheetId="20">'Attachment 14b - Unfunded Res'!$A:$B,'Attachment 14b - Unfunded Res'!$5:$8</definedName>
    <definedName name="_xlnm.Print_Titles" localSheetId="24">'Attachment 17 - CWIP in RB'!$A:$B,'Attachment 17 - CWIP in RB'!$5:$8</definedName>
    <definedName name="_xlnm.Print_Titles" localSheetId="25">'Attachment 18 - Rev Creds'!$A:$C,'Attachment 18 - Rev Creds'!$5:$7</definedName>
    <definedName name="_xlnm.Print_Titles" localSheetId="26">'Attachment 19 - Reg Asset-Liab'!$A:$B,'Attachment 19 - Reg Asset-Liab'!$5:$8</definedName>
    <definedName name="_xlnm.Print_Titles" localSheetId="27">'Attachment 20 - OpEx'!$A:$B,'Attachment 20 - OpEx'!$5:$6</definedName>
    <definedName name="_xlnm.Print_Titles" localSheetId="5">'Attachment 5 - ADIT'!$A:$B,'Attachment 5 - ADIT'!$5:$8</definedName>
    <definedName name="_xlnm.Print_Titles" localSheetId="9">'Attachment 7 - TOTI'!$5:$6</definedName>
    <definedName name="Print_Titles_MI">'[52]DACTIVE$'!$A$1:$IV$4,'[52]DACTIVE$'!$A$1:$A$65536</definedName>
    <definedName name="Print1">#REF!</definedName>
    <definedName name="Print3">#REF!</definedName>
    <definedName name="Print4">#REF!</definedName>
    <definedName name="Print5">#REF!</definedName>
    <definedName name="PrintareaDec">'[53]kWh-Mcf'!$E$97,'[53]kWh-Mcf'!$A$81:$E$118,'[53]kWh-Mcf'!$AM$86:$AO$118</definedName>
    <definedName name="prior_year_fuel_adj">'[13]Input Page'!$G$30</definedName>
    <definedName name="prod_depr">'[19]Input Page'!$E$17</definedName>
    <definedName name="Proj_PIS">'[54]Final Summary Sheet'!$AB$132:$AM$141</definedName>
    <definedName name="Projection">"Projection"</definedName>
    <definedName name="ProjIDList">#REF!</definedName>
    <definedName name="PROSPECT">#REF!</definedName>
    <definedName name="PSCo_COS">#REF!</definedName>
    <definedName name="PXAG">'[11]C. Input'!$F$185</definedName>
    <definedName name="PYTX">'[11]C. Input'!$F$220</definedName>
    <definedName name="q_MTEP06_App_AB_Facility">#REF!</definedName>
    <definedName name="q_MTEP06_App_AB_Projects">#REF!</definedName>
    <definedName name="QES">'[2]Gross_Rec:QRE''s'!$B$53:$N$112</definedName>
    <definedName name="QRE_SUMMARY">'[2]QRE''s'!$A$7:$R$102</definedName>
    <definedName name="query">'[55]Boston Edison'!$A$1:$M$3434</definedName>
    <definedName name="qw">{"'Metretek HTML'!$A$7:$W$42"}</definedName>
    <definedName name="RA">'[11]C.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'[56]Employee Headcount'!$N$6:$S$803</definedName>
    <definedName name="retail" hidden="1">{#N/A,#N/A,FALSE,"Loans";#N/A,#N/A,FALSE,"Program Costs";#N/A,#N/A,FALSE,"Measures";#N/A,#N/A,FALSE,"Net Lost Rev";#N/A,#N/A,FALSE,"Incentive"}</definedName>
    <definedName name="retail_CC" hidden="1">{#N/A,#N/A,FALSE,"Loans";#N/A,#N/A,FALSE,"Program Costs";#N/A,#N/A,FALSE,"Measures";#N/A,#N/A,FALSE,"Net Lost Rev";#N/A,#N/A,FALSE,"Incentive"}</definedName>
    <definedName name="retail_CC1" hidden="1">{#N/A,#N/A,FALSE,"Loans";#N/A,#N/A,FALSE,"Program Costs";#N/A,#N/A,FALSE,"Measures";#N/A,#N/A,FALSE,"Net Lost Rev";#N/A,#N/A,FALSE,"Incentive"}</definedName>
    <definedName name="revreq">#REF!</definedName>
    <definedName name="RF">'Att. 15a - TCJA DDIT and EDIT'!$E$103</definedName>
    <definedName name="right">OFFSET(!A1,0,1)</definedName>
    <definedName name="ROR">'Attachment H-4A JCP&amp;L '!$I$205</definedName>
    <definedName name="RRE">'[11]C. Input'!$F$207</definedName>
    <definedName name="rrrr" hidden="1">{#N/A,#N/A,FALSE,"O&amp;M by processes";#N/A,#N/A,FALSE,"Elec Act vs Bud";#N/A,#N/A,FALSE,"G&amp;A";#N/A,#N/A,FALSE,"BGS";#N/A,#N/A,FALSE,"Res Cost"}</definedName>
    <definedName name="RTX">'[11]C. Input'!$F$222</definedName>
    <definedName name="S">'[11]C. Input'!$F$76</definedName>
    <definedName name="SAPBEXdnldView">"467GDHUY063FE1Q3S2Y9KSMQ8"</definedName>
    <definedName name="SAPBEXdnldView_1">"467GDHUY063FE1Q3S2Y9KSMQ8"</definedName>
    <definedName name="SAPBEXhrIndnt">"Wide"</definedName>
    <definedName name="SAPBEXrevision" hidden="1">1</definedName>
    <definedName name="SAPBEXsysID" hidden="1">"BWP"</definedName>
    <definedName name="SAPBEXwbID" hidden="1">"45EQYSCWE9WJMGB34OOD1BOQZ"</definedName>
    <definedName name="SAPsysID">"708C5W7SBKP804JT78WJ0JNKI"</definedName>
    <definedName name="SAPwbID">"ARS"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'[11]C. Input'!$F$353</definedName>
    <definedName name="SECUR_IS">'[11]C. Input'!$F$357</definedName>
    <definedName name="SECUR_KR">'[11]C.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adj" localSheetId="16" hidden="1">'Attachment 13 - NITS True-Up'!$I$38</definedName>
    <definedName name="solver_adj" localSheetId="17" hidden="1">'Attachment 13a - TEC True-Up'!$I$38</definedName>
    <definedName name="solver_adj" localSheetId="21" hidden="1">'Attachment 15 - Income Taxes'!#REF!</definedName>
    <definedName name="solver_cvg" localSheetId="16" hidden="1">0.0001</definedName>
    <definedName name="solver_cvg" localSheetId="17" hidden="1">0.0001</definedName>
    <definedName name="solver_cvg" localSheetId="21" hidden="1">0.0001</definedName>
    <definedName name="solver_drv" localSheetId="16" hidden="1">1</definedName>
    <definedName name="solver_drv" localSheetId="17" hidden="1">1</definedName>
    <definedName name="solver_drv" localSheetId="21" hidden="1">1</definedName>
    <definedName name="solver_eng" localSheetId="16" hidden="1">1</definedName>
    <definedName name="solver_eng" localSheetId="17" hidden="1">1</definedName>
    <definedName name="solver_eng" localSheetId="21" hidden="1">1</definedName>
    <definedName name="solver_est" localSheetId="16" hidden="1">1</definedName>
    <definedName name="solver_est" localSheetId="17" hidden="1">1</definedName>
    <definedName name="solver_est" localSheetId="21" hidden="1">1</definedName>
    <definedName name="solver_itr" localSheetId="16" hidden="1">2147483647</definedName>
    <definedName name="solver_itr" localSheetId="17" hidden="1">2147483647</definedName>
    <definedName name="solver_itr" localSheetId="21" hidden="1">2147483647</definedName>
    <definedName name="solver_lin" hidden="1">0</definedName>
    <definedName name="solver_mip" localSheetId="16" hidden="1">2147483647</definedName>
    <definedName name="solver_mip" localSheetId="17" hidden="1">2147483647</definedName>
    <definedName name="solver_mip" localSheetId="21" hidden="1">2147483647</definedName>
    <definedName name="solver_mni" localSheetId="16" hidden="1">30</definedName>
    <definedName name="solver_mni" localSheetId="17" hidden="1">30</definedName>
    <definedName name="solver_mni" localSheetId="21" hidden="1">30</definedName>
    <definedName name="solver_mrt" localSheetId="16" hidden="1">0.075</definedName>
    <definedName name="solver_mrt" localSheetId="17" hidden="1">0.075</definedName>
    <definedName name="solver_mrt" localSheetId="21" hidden="1">0.075</definedName>
    <definedName name="solver_msl" localSheetId="16" hidden="1">2</definedName>
    <definedName name="solver_msl" localSheetId="17" hidden="1">2</definedName>
    <definedName name="solver_msl" localSheetId="21" hidden="1">2</definedName>
    <definedName name="solver_neg" localSheetId="16" hidden="1">1</definedName>
    <definedName name="solver_neg" localSheetId="17" hidden="1">1</definedName>
    <definedName name="solver_neg" localSheetId="21" hidden="1">1</definedName>
    <definedName name="solver_nod" localSheetId="16" hidden="1">2147483647</definedName>
    <definedName name="solver_nod" localSheetId="17" hidden="1">2147483647</definedName>
    <definedName name="solver_nod" localSheetId="21" hidden="1">2147483647</definedName>
    <definedName name="solver_num" localSheetId="16" hidden="1">0</definedName>
    <definedName name="solver_num" localSheetId="17" hidden="1">0</definedName>
    <definedName name="solver_num" localSheetId="21" hidden="1">0</definedName>
    <definedName name="solver_num" hidden="1">0</definedName>
    <definedName name="solver_nwt" localSheetId="16" hidden="1">1</definedName>
    <definedName name="solver_nwt" localSheetId="17" hidden="1">1</definedName>
    <definedName name="solver_nwt" localSheetId="21" hidden="1">1</definedName>
    <definedName name="solver_opt" localSheetId="16" hidden="1">'Attachment 13 - NITS True-Up'!$I$54</definedName>
    <definedName name="solver_opt" localSheetId="17" hidden="1">'Attachment 13a - TEC True-Up'!$I$54</definedName>
    <definedName name="solver_opt" localSheetId="21" hidden="1">'Attachment 15 - Income Taxes'!#REF!</definedName>
    <definedName name="solver_opt" hidden="1">#REF!</definedName>
    <definedName name="solver_pre" localSheetId="16" hidden="1">0.000001</definedName>
    <definedName name="solver_pre" localSheetId="17" hidden="1">0.000001</definedName>
    <definedName name="solver_pre" localSheetId="21" hidden="1">0.000001</definedName>
    <definedName name="solver_rbv" localSheetId="16" hidden="1">1</definedName>
    <definedName name="solver_rbv" localSheetId="17" hidden="1">1</definedName>
    <definedName name="solver_rbv" localSheetId="21" hidden="1">1</definedName>
    <definedName name="solver_rlx" localSheetId="16" hidden="1">2</definedName>
    <definedName name="solver_rlx" localSheetId="17" hidden="1">2</definedName>
    <definedName name="solver_rlx" localSheetId="21" hidden="1">2</definedName>
    <definedName name="solver_rsd" localSheetId="16" hidden="1">0</definedName>
    <definedName name="solver_rsd" localSheetId="17" hidden="1">0</definedName>
    <definedName name="solver_rsd" localSheetId="21" hidden="1">0</definedName>
    <definedName name="solver_scl" localSheetId="16" hidden="1">1</definedName>
    <definedName name="solver_scl" localSheetId="17" hidden="1">1</definedName>
    <definedName name="solver_scl" localSheetId="21" hidden="1">1</definedName>
    <definedName name="solver_sho" localSheetId="16" hidden="1">2</definedName>
    <definedName name="solver_sho" localSheetId="17" hidden="1">2</definedName>
    <definedName name="solver_sho" localSheetId="21" hidden="1">2</definedName>
    <definedName name="solver_ssz" localSheetId="16" hidden="1">100</definedName>
    <definedName name="solver_ssz" localSheetId="17" hidden="1">100</definedName>
    <definedName name="solver_ssz" localSheetId="21" hidden="1">100</definedName>
    <definedName name="solver_tim" localSheetId="16" hidden="1">2147483647</definedName>
    <definedName name="solver_tim" localSheetId="17" hidden="1">2147483647</definedName>
    <definedName name="solver_tim" localSheetId="21" hidden="1">2147483647</definedName>
    <definedName name="solver_tol" localSheetId="16" hidden="1">0.01</definedName>
    <definedName name="solver_tol" localSheetId="17" hidden="1">0.01</definedName>
    <definedName name="solver_tol" localSheetId="21" hidden="1">0.01</definedName>
    <definedName name="solver_typ" localSheetId="16" hidden="1">3</definedName>
    <definedName name="solver_typ" localSheetId="17" hidden="1">3</definedName>
    <definedName name="solver_typ" localSheetId="21" hidden="1">3</definedName>
    <definedName name="solver_typ" hidden="1">1</definedName>
    <definedName name="solver_val" localSheetId="16" hidden="1">0</definedName>
    <definedName name="solver_val" localSheetId="17" hidden="1">0</definedName>
    <definedName name="solver_val" localSheetId="21" hidden="1">0</definedName>
    <definedName name="solver_val" hidden="1">0</definedName>
    <definedName name="solver_ver" localSheetId="16" hidden="1">3</definedName>
    <definedName name="solver_ver" localSheetId="17" hidden="1">3</definedName>
    <definedName name="solver_ver" localSheetId="21" hidden="1">3</definedName>
    <definedName name="SOUTH_VIENNA">#REF!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[57]List!$A$2:$A$53</definedName>
    <definedName name="statsrevised" hidden="1">{#N/A,#N/A,FALSE,"O&amp;M by processes";#N/A,#N/A,FALSE,"Elec Act vs Bud";#N/A,#N/A,FALSE,"G&amp;A";#N/A,#N/A,FALSE,"BGS";#N/A,#N/A,FALSE,"Res Cost"}</definedName>
    <definedName name="STILL1040">'[58]Addt''l 1040 Exclusions'!$A$5:$U$44</definedName>
    <definedName name="store_cap">'[19]Input Page'!$E$9</definedName>
    <definedName name="store_total">'[19]Input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'[22]Keystone Swap Amort Sched'!$A$1:$F$241</definedName>
    <definedName name="T">'Attachment 15 - Income Taxes'!$E$14</definedName>
    <definedName name="Tacx_Factor">[22]Assumptions!$E$52</definedName>
    <definedName name="tax_base_on_inc">'[19]Input Page'!$E$14</definedName>
    <definedName name="tax_basis">'[19]Input Page'!$E$18</definedName>
    <definedName name="Taxrate">'[59]Case study '!$C$28</definedName>
    <definedName name="tblCharts">'[2]Macro Tables'!$I$5:$I$16</definedName>
    <definedName name="tblHelp">'[2]Macro Tables'!$N$5:$N$16</definedName>
    <definedName name="tblReports">'[2]Macro Tables'!$B$5:$B$16</definedName>
    <definedName name="tblWorksheets">'[2]Macro Tables'!$E$5:$E$16</definedName>
    <definedName name="TDRXS">'[11]C. Input'!$F$234</definedName>
    <definedName name="TDX">'[11]C. Input'!$F$304</definedName>
    <definedName name="TE">'Attachment H-4A JCP&amp;L '!$I$184</definedName>
    <definedName name="TEQ">'[11]C.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'Attachment 15 - Income Taxes'!$E$18</definedName>
    <definedName name="thousand">1000</definedName>
    <definedName name="Time" hidden="1">"b1"</definedName>
    <definedName name="TKW">'[11]C. Input'!$F$330</definedName>
    <definedName name="TL">'[11]C. Input'!$F$178</definedName>
    <definedName name="TLR_TST">'[11]A.2 PTP'!$P$91</definedName>
    <definedName name="Toggle">Projection</definedName>
    <definedName name="Toggle.list">'[15]Appendix A'!$P$5:$P$6</definedName>
    <definedName name="TOM">'[11]C.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'[19]Input Page'!$E$12</definedName>
    <definedName name="TOTAL_COLUMBIANA">#REF!</definedName>
    <definedName name="Total_Grove_City">#REF!</definedName>
    <definedName name="TOTAL_HUDSON">#REF!</definedName>
    <definedName name="TOTAL_MONTPELIER">#REF!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'[11]C. Input'!$F$161</definedName>
    <definedName name="TPLTXS">'[11]C. Input'!$F$164</definedName>
    <definedName name="TPR_TST">'[11]A.2 PTP'!$P$75</definedName>
    <definedName name="transmission.fixed.charge.rate">0.1525</definedName>
    <definedName name="TRB">'[11]A.2 PTP'!$P$165</definedName>
    <definedName name="TREV">'[11]C. Input'!$F$287</definedName>
    <definedName name="True_up">'[15]Appendix A'!$P$6</definedName>
    <definedName name="tsgsf">"467GDHUY063FE1Q3S2Y9KSMQ8"</definedName>
    <definedName name="TX">'[11]A.2 PTP'!$P$31</definedName>
    <definedName name="TXO">'[11]C. Input'!$F$215</definedName>
    <definedName name="TXP_TST">'[11]A.2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'[11]C. Input'!$F$337</definedName>
    <definedName name="v">[60]Cover!$A$9</definedName>
    <definedName name="valDate">[26]Inputs!$B$1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[61]Cover!$A$9</definedName>
    <definedName name="WADSWORTH">#REF!</definedName>
    <definedName name="WCCGCR2">[62]Rates!$B$96:$C$190</definedName>
    <definedName name="WCLTD">'Attachment H-4A JCP&amp;L '!$I$202</definedName>
    <definedName name="we">{"'Metretek HTML'!$A$7:$W$42"}</definedName>
    <definedName name="WEEK">[32]A!$Q$59</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'[11]A.2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'[63]WO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hidden="1">{"Factors Pages 1-2",#N/A,FALSE,"Variables";"Factors Page 3",#N/A,FALSE,"Variables";"Factors Page 4",#N/A,FALSE,"Variables";"Factors Page 5",#N/A,FALSE,"Variables";"YE Pages 7-26",#N/A,FALSE,"Variables"}</definedName>
    <definedName name="WS">'Attachment H-4A JCP&amp;L '!$I$192</definedName>
    <definedName name="xa">{"'Metretek HTML'!$A$7:$W$42"}</definedName>
    <definedName name="Xcel">'[64]Data Entry and Forecaster'!#REF!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[65]INPUTS!$C$17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3" hidden="1">'Attachment 11 - TEC'!#REF!</definedName>
    <definedName name="Z_28948E05_8F34_4F1E_96FB_A80A6A844600_.wvu.Cols" localSheetId="15" hidden="1">'Attachment 12 - TEC True-up'!#REF!</definedName>
    <definedName name="Z_28948E05_8F34_4F1E_96FB_A80A6A844600_.wvu.PrintTitles" localSheetId="13" hidden="1">'Attachment 11 - TEC'!$C:$D</definedName>
    <definedName name="Z_28948E05_8F34_4F1E_96FB_A80A6A844600_.wvu.PrintTitles" localSheetId="15" hidden="1">'Attachment 12 - TEC True-up'!$C:$D</definedName>
    <definedName name="Z_28948E05_8F34_4F1E_96FB_A80A6A844600_.wvu.Rows" localSheetId="2" hidden="1">'Attachment 2 - Incentive ROE'!#REF!,'Attachment 2 - Incentive ROE'!#REF!</definedName>
    <definedName name="Z_3A38DF7A_C35E_4DD3_9893_26310A3EF836_.wvu.Cols" localSheetId="13" hidden="1">'Attachment 11 - TEC'!#REF!</definedName>
    <definedName name="Z_3A38DF7A_C35E_4DD3_9893_26310A3EF836_.wvu.Cols" localSheetId="15" hidden="1">'Attachment 12 - TEC True-up'!#REF!</definedName>
    <definedName name="Z_3A38DF7A_C35E_4DD3_9893_26310A3EF836_.wvu.PrintTitles" localSheetId="13" hidden="1">'Attachment 11 - TEC'!$C:$D</definedName>
    <definedName name="Z_3A38DF7A_C35E_4DD3_9893_26310A3EF836_.wvu.PrintTitles" localSheetId="15" hidden="1">'Attachment 12 - TEC True-up'!$C:$D</definedName>
    <definedName name="Z_3A38DF7A_C35E_4DD3_9893_26310A3EF836_.wvu.Rows" localSheetId="2" hidden="1">'Attachment 2 - Incentive ROE'!#REF!</definedName>
    <definedName name="Z_4C7C2344_134C_465A_ADEB_A5E96AAE2308_.wvu.Cols" localSheetId="13" hidden="1">'Attachment 11 - TEC'!#REF!</definedName>
    <definedName name="Z_4C7C2344_134C_465A_ADEB_A5E96AAE2308_.wvu.Cols" localSheetId="15" hidden="1">'Attachment 12 - TEC True-up'!#REF!</definedName>
    <definedName name="Z_4C7C2344_134C_465A_ADEB_A5E96AAE2308_.wvu.PrintTitles" localSheetId="13" hidden="1">'Attachment 11 - TEC'!$C:$D</definedName>
    <definedName name="Z_4C7C2344_134C_465A_ADEB_A5E96AAE2308_.wvu.PrintTitles" localSheetId="15" hidden="1">'Attachment 12 - TEC True-up'!$C:$D</definedName>
    <definedName name="Z_4C7C2344_134C_465A_ADEB_A5E96AAE2308_.wvu.Rows" localSheetId="2" hidden="1">'Attachment 2 - Incentive ROE'!#REF!</definedName>
    <definedName name="Z_71B42B22_A376_44B5_B0C1_23FC1AA3DBA2_.wvu.Cols" localSheetId="13" hidden="1">'Attachment 11 - TEC'!#REF!</definedName>
    <definedName name="Z_71B42B22_A376_44B5_B0C1_23FC1AA3DBA2_.wvu.Cols" localSheetId="15" hidden="1">'Attachment 12 - TEC True-up'!#REF!</definedName>
    <definedName name="Z_71B42B22_A376_44B5_B0C1_23FC1AA3DBA2_.wvu.PrintTitles" localSheetId="13" hidden="1">'Attachment 11 - TEC'!$C:$D</definedName>
    <definedName name="Z_71B42B22_A376_44B5_B0C1_23FC1AA3DBA2_.wvu.PrintTitles" localSheetId="15" hidden="1">'Attachment 12 - TEC True-up'!$C:$D</definedName>
    <definedName name="Z_71B42B22_A376_44B5_B0C1_23FC1AA3DBA2_.wvu.Rows" localSheetId="2" hidden="1">'Attachment 2 - Incentive ROE'!#REF!,'Attachment 2 - Incentive ROE'!#REF!</definedName>
    <definedName name="Z_DA967730_B71F_4038_B1B7_9D4790729C5D_.wvu.Cols" localSheetId="13" hidden="1">'Attachment 11 - TEC'!#REF!</definedName>
    <definedName name="Z_DA967730_B71F_4038_B1B7_9D4790729C5D_.wvu.Cols" localSheetId="15" hidden="1">'Attachment 12 - TEC True-up'!#REF!</definedName>
    <definedName name="Z_DA967730_B71F_4038_B1B7_9D4790729C5D_.wvu.PrintTitles" localSheetId="13" hidden="1">'Attachment 11 - TEC'!$C:$D</definedName>
    <definedName name="Z_DA967730_B71F_4038_B1B7_9D4790729C5D_.wvu.PrintTitles" localSheetId="15" hidden="1">'Attachment 12 - TEC True-up'!$C:$D</definedName>
    <definedName name="Z_DA967730_B71F_4038_B1B7_9D4790729C5D_.wvu.Rows" localSheetId="2" hidden="1">'Attachment 2 - Incentive ROE'!#REF!</definedName>
    <definedName name="Z_DC91DEF3_837B_4BB9_A81E_3B78C5914E6C_.wvu.Cols" localSheetId="13" hidden="1">'Attachment 11 - TEC'!#REF!</definedName>
    <definedName name="Z_DC91DEF3_837B_4BB9_A81E_3B78C5914E6C_.wvu.Cols" localSheetId="15" hidden="1">'Attachment 12 - TEC True-up'!#REF!</definedName>
    <definedName name="Z_DC91DEF3_837B_4BB9_A81E_3B78C5914E6C_.wvu.PrintTitles" localSheetId="13" hidden="1">'Attachment 11 - TEC'!$C:$D</definedName>
    <definedName name="Z_DC91DEF3_837B_4BB9_A81E_3B78C5914E6C_.wvu.PrintTitles" localSheetId="15" hidden="1">'Attachment 12 - TEC True-up'!$C:$D</definedName>
    <definedName name="Z_DC91DEF3_837B_4BB9_A81E_3B78C5914E6C_.wvu.Rows" localSheetId="2" hidden="1">'Attachment 2 - Incentive ROE'!#REF!</definedName>
    <definedName name="Z_E1861F40_EBD5_44AE_868B_FDE0ED504D72_.wvu.PrintArea" localSheetId="1" hidden="1">'Attachment 1 - Sched 1A'!$B$1:$I$18</definedName>
    <definedName name="Z_E1861F40_EBD5_44AE_868B_FDE0ED504D72_.wvu.PrintArea" localSheetId="13" hidden="1">'Attachment 11 - TEC'!$A$1:$N$88</definedName>
    <definedName name="Z_E1861F40_EBD5_44AE_868B_FDE0ED504D72_.wvu.PrintArea" localSheetId="15" hidden="1">'Attachment 12 - TEC True-up'!$A$1:$L$45</definedName>
    <definedName name="Z_E1861F40_EBD5_44AE_868B_FDE0ED504D72_.wvu.PrintArea" localSheetId="0" hidden="1">'Attachment H-4A JCP&amp;L '!$A$1:$K$263</definedName>
    <definedName name="Z_E1861F40_EBD5_44AE_868B_FDE0ED504D72_.wvu.PrintTitles" localSheetId="13" hidden="1">'Attachment 11 - TEC'!$C:$D</definedName>
    <definedName name="Z_E1861F40_EBD5_44AE_868B_FDE0ED504D72_.wvu.PrintTitles" localSheetId="15" hidden="1">'Attachment 12 - TEC True-up'!$C:$D</definedName>
    <definedName name="Z_F96D6087_3330_4A81_95EC_26BA83722A49_.wvu.Cols" localSheetId="13" hidden="1">'Attachment 11 - TEC'!#REF!</definedName>
    <definedName name="Z_F96D6087_3330_4A81_95EC_26BA83722A49_.wvu.Cols" localSheetId="15" hidden="1">'Attachment 12 - TEC True-up'!#REF!</definedName>
    <definedName name="Z_F96D6087_3330_4A81_95EC_26BA83722A49_.wvu.PrintTitles" localSheetId="13" hidden="1">'Attachment 11 - TEC'!$C:$D</definedName>
    <definedName name="Z_F96D6087_3330_4A81_95EC_26BA83722A49_.wvu.PrintTitles" localSheetId="15" hidden="1">'Attachment 12 - TEC True-up'!$C:$D</definedName>
    <definedName name="Z_F96D6087_3330_4A81_95EC_26BA83722A49_.wvu.Rows" localSheetId="2" hidden="1">'Attachment 2 - Incentive ROE'!#REF!</definedName>
    <definedName name="Z_FAAD9AAC_1337_43AB_BF1F_CCF9DFCF5B78_.wvu.Cols" localSheetId="13" hidden="1">'Attachment 11 - TEC'!#REF!</definedName>
    <definedName name="Z_FAAD9AAC_1337_43AB_BF1F_CCF9DFCF5B78_.wvu.Cols" localSheetId="15" hidden="1">'Attachment 12 - TEC True-up'!#REF!</definedName>
    <definedName name="Z_FAAD9AAC_1337_43AB_BF1F_CCF9DFCF5B78_.wvu.PrintTitles" localSheetId="13" hidden="1">'Attachment 11 - TEC'!$C:$D</definedName>
    <definedName name="Z_FAAD9AAC_1337_43AB_BF1F_CCF9DFCF5B78_.wvu.PrintTitles" localSheetId="15" hidden="1">'Attachment 12 - TEC True-up'!$C:$D</definedName>
    <definedName name="Z_FAAD9AAC_1337_43AB_BF1F_CCF9DFCF5B78_.wvu.Rows" localSheetId="2" hidden="1">'Attachment 2 - Incentive ROE'!#REF!</definedName>
    <definedName name="zero">0</definedName>
    <definedName name="Zone_Inputs">'[41]Attachment O'!$I$19,'[41]Attachment O'!$I$24,'[41]Attachment O'!$D$36:$D$37,'[41]Attachment O'!$D$82:$D$86,'[41]Attachment O'!$D$90:$D$94,'[41]Attachment O'!$D$106:$D$112,'[41]Attachment O'!$D$116,'[41]Attachment O'!$D$120:$D$121,'[41]Attachment O'!$D$139:$D$146,'[41]Attachment O'!$D$150:$D$154,'[41]Attachment O'!$D$159:$D$160,'[41]Attachment O'!$D$162:$D$165,'[41]Attachment O'!$D$174,'[41]Attachment O'!$D$174,'[41]Attachment O'!$D$178,'[41]Attachment O'!$I$188,'[41]Attachment O'!$D$188,'[41]Attachment O'!$D$192,'[41]Attachment O'!$I$192,'[41]Attachment O'!$I$207:$I$208,'[41]Attachment O'!$D$214:$D$217,'[41]Attachment O'!$D$221:$D$223,'[41]Attachment O'!$I$227,'[41]Attachment O'!$I$229,'[41]Attachment O'!$I$232,'[41]Attachment O'!$D$238:$D$239,'[41]Attachment O'!$I$243,'[41]Attachment O'!$I$246:$I$249,'[41]Attachment O'!$D$280:$D$282</definedName>
  </definedNames>
  <calcPr calcId="191029"/>
  <customWorkbookViews>
    <customWorkbookView name="Schock, Michael C - Personal View" guid="{E1861F40-EBD5-44AE-868B-FDE0ED504D72}" mergeInterval="0" personalView="1" maximized="1" xWindow="-8" yWindow="-8" windowWidth="1696" windowHeight="1026" tabRatio="928"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2" l="1"/>
  <c r="W70" i="68"/>
  <c r="I70" i="68"/>
  <c r="I59" i="68"/>
  <c r="E70" i="68" l="1"/>
  <c r="M43" i="71"/>
  <c r="I54" i="64" l="1"/>
  <c r="Q49" i="59"/>
  <c r="J50" i="51" l="1"/>
  <c r="A16" i="70" l="1"/>
  <c r="Q50" i="59" l="1"/>
  <c r="M39" i="59"/>
  <c r="L37" i="60" l="1"/>
  <c r="L20" i="60"/>
  <c r="E50" i="68"/>
  <c r="Z20" i="68"/>
  <c r="U20" i="68"/>
  <c r="Z63" i="68" l="1"/>
  <c r="Z59" i="68"/>
  <c r="I63" i="68"/>
  <c r="Y46" i="42" l="1"/>
  <c r="I52" i="42"/>
  <c r="K21" i="42"/>
  <c r="C39" i="42"/>
  <c r="A15" i="56" l="1"/>
  <c r="A16" i="56" s="1"/>
  <c r="A17" i="56" s="1"/>
  <c r="A18" i="56" s="1"/>
  <c r="A19" i="56" s="1"/>
  <c r="D191" i="1" l="1"/>
  <c r="E31" i="71" l="1"/>
  <c r="E28" i="71"/>
  <c r="C7" i="64"/>
  <c r="C7" i="71"/>
  <c r="AG36" i="55" l="1"/>
  <c r="U88" i="70" l="1"/>
  <c r="Q34" i="68" l="1"/>
  <c r="Q35" i="68"/>
  <c r="W48" i="68" l="1"/>
  <c r="G27" i="70"/>
  <c r="W27" i="70" l="1"/>
  <c r="G65" i="70"/>
  <c r="W65" i="70" l="1"/>
  <c r="W52" i="42" l="1"/>
  <c r="U21" i="42"/>
  <c r="I25" i="42"/>
  <c r="G20" i="56" l="1"/>
  <c r="H41" i="14" l="1"/>
  <c r="E14" i="51" l="1"/>
  <c r="L67" i="70"/>
  <c r="F34" i="6" l="1"/>
  <c r="G20" i="6" l="1"/>
  <c r="G17" i="6"/>
  <c r="G19" i="6"/>
  <c r="G18" i="6"/>
  <c r="Z34" i="68"/>
  <c r="Z27" i="68"/>
  <c r="G21" i="70"/>
  <c r="W21" i="70" l="1"/>
  <c r="Q24" i="42" l="1"/>
  <c r="U24" i="42" l="1"/>
  <c r="Q23" i="42"/>
  <c r="K24" i="42"/>
  <c r="I24" i="42"/>
  <c r="I23" i="42"/>
  <c r="U23" i="42"/>
  <c r="Y51" i="42"/>
  <c r="Y50" i="42"/>
  <c r="W51" i="42"/>
  <c r="S51" i="42"/>
  <c r="S50" i="42"/>
  <c r="Q52" i="42"/>
  <c r="Q51" i="42"/>
  <c r="M52" i="42"/>
  <c r="K52" i="42"/>
  <c r="G51" i="42"/>
  <c r="D51" i="42"/>
  <c r="D50" i="42"/>
  <c r="B51" i="42"/>
  <c r="A51" i="42"/>
  <c r="A50" i="42"/>
  <c r="W50" i="42"/>
  <c r="M25" i="42" l="1"/>
  <c r="Q21" i="42"/>
  <c r="J16" i="22" l="1"/>
  <c r="A10" i="56" l="1"/>
  <c r="A11" i="56" s="1"/>
  <c r="A12" i="56" s="1"/>
  <c r="A13" i="56" s="1"/>
  <c r="A14" i="56" s="1"/>
  <c r="I52" i="59" l="1"/>
  <c r="F50" i="51" l="1"/>
  <c r="F67" i="51"/>
  <c r="I15" i="51"/>
  <c r="G15" i="51"/>
  <c r="E15" i="51"/>
  <c r="I14" i="51"/>
  <c r="G14" i="51"/>
  <c r="I56" i="51" l="1"/>
  <c r="F11" i="51" l="1"/>
  <c r="H11" i="51" s="1"/>
  <c r="J11" i="51" s="1"/>
  <c r="L11" i="51" s="1"/>
  <c r="R40" i="70" l="1"/>
  <c r="I40" i="70"/>
  <c r="L40" i="70"/>
  <c r="AI12" i="54" l="1"/>
  <c r="AG17" i="54" l="1"/>
  <c r="AG20" i="54"/>
  <c r="I20" i="54"/>
  <c r="I88" i="70"/>
  <c r="R88" i="70"/>
  <c r="U67" i="70"/>
  <c r="G75" i="70"/>
  <c r="W75" i="70" l="1"/>
  <c r="E8" i="13" l="1"/>
  <c r="I77" i="70"/>
  <c r="L77" i="70"/>
  <c r="O77" i="70"/>
  <c r="R77" i="70"/>
  <c r="L88" i="70" l="1"/>
  <c r="O88" i="70"/>
  <c r="R67" i="70"/>
  <c r="O67" i="70"/>
  <c r="I67" i="70"/>
  <c r="O40" i="70"/>
  <c r="I29" i="70"/>
  <c r="L29" i="70"/>
  <c r="O29" i="70"/>
  <c r="R29" i="70"/>
  <c r="U29" i="70"/>
  <c r="G26" i="70"/>
  <c r="G28" i="70"/>
  <c r="G25" i="70"/>
  <c r="W25" i="70" l="1"/>
  <c r="W26" i="70"/>
  <c r="W28" i="70"/>
  <c r="Z43" i="68" l="1"/>
  <c r="Z28" i="68"/>
  <c r="Z29" i="68"/>
  <c r="Q28" i="68"/>
  <c r="Q29" i="68"/>
  <c r="I28" i="68"/>
  <c r="U28" i="68" s="1"/>
  <c r="I29" i="68"/>
  <c r="U29" i="68" s="1"/>
  <c r="I21" i="68"/>
  <c r="U21" i="68" s="1"/>
  <c r="C31" i="68"/>
  <c r="I98" i="70" l="1"/>
  <c r="G18" i="70"/>
  <c r="G19" i="70"/>
  <c r="W19" i="70" l="1"/>
  <c r="W18" i="70"/>
  <c r="E31" i="64" l="1"/>
  <c r="E41" i="64" s="1"/>
  <c r="E28" i="64"/>
  <c r="E25" i="64"/>
  <c r="E22" i="64"/>
  <c r="E16" i="64"/>
  <c r="E13" i="64"/>
  <c r="E10" i="64"/>
  <c r="E7" i="64"/>
  <c r="I32" i="59" l="1"/>
  <c r="G41" i="14" l="1"/>
  <c r="Q59" i="68" l="1"/>
  <c r="S59" i="68" s="1"/>
  <c r="Z12" i="68"/>
  <c r="I12" i="68"/>
  <c r="U12" i="68" s="1"/>
  <c r="Q12" i="68"/>
  <c r="G188" i="1" l="1"/>
  <c r="J11" i="22" l="1"/>
  <c r="J13" i="22"/>
  <c r="J21" i="22"/>
  <c r="J9" i="22"/>
  <c r="G25" i="61"/>
  <c r="G190" i="1" l="1"/>
  <c r="E11" i="67"/>
  <c r="A19" i="57" l="1"/>
  <c r="W47" i="42"/>
  <c r="G50" i="42" l="1"/>
  <c r="G49" i="42"/>
  <c r="D49" i="42"/>
  <c r="D47" i="42"/>
  <c r="U103" i="70"/>
  <c r="R98" i="70"/>
  <c r="L98" i="70"/>
  <c r="U45" i="70"/>
  <c r="W46" i="42" l="1"/>
  <c r="W48" i="42"/>
  <c r="W49" i="42"/>
  <c r="AO13" i="65" l="1"/>
  <c r="AO12" i="65"/>
  <c r="G47" i="42"/>
  <c r="AI13" i="55"/>
  <c r="AR13" i="65"/>
  <c r="AI25" i="55"/>
  <c r="AI12" i="55"/>
  <c r="AI19" i="55"/>
  <c r="AI43" i="55"/>
  <c r="AI31" i="55"/>
  <c r="AR12" i="65"/>
  <c r="AI18" i="55"/>
  <c r="AI30" i="55"/>
  <c r="AI37" i="55"/>
  <c r="AI42" i="55"/>
  <c r="AI24" i="55"/>
  <c r="AT12" i="65" l="1"/>
  <c r="AT13" i="65"/>
  <c r="O52" i="42"/>
  <c r="G48" i="42"/>
  <c r="G46" i="42"/>
  <c r="D48" i="42"/>
  <c r="D46" i="42"/>
  <c r="B49" i="42"/>
  <c r="B46" i="42"/>
  <c r="B47" i="42"/>
  <c r="B50" i="42"/>
  <c r="B48" i="42"/>
  <c r="AT14" i="65" l="1"/>
  <c r="I103" i="70"/>
  <c r="O98" i="70"/>
  <c r="U51" i="70"/>
  <c r="R51" i="70"/>
  <c r="O51" i="70"/>
  <c r="L51" i="70"/>
  <c r="I51" i="70"/>
  <c r="L45" i="70"/>
  <c r="R45" i="70"/>
  <c r="O45" i="70"/>
  <c r="I45" i="70"/>
  <c r="Q45" i="68" l="1"/>
  <c r="Q14" i="68"/>
  <c r="Q40" i="68"/>
  <c r="I7" i="64"/>
  <c r="AI13" i="54" l="1"/>
  <c r="D5" i="61"/>
  <c r="E5" i="61" s="1"/>
  <c r="G5" i="61" s="1"/>
  <c r="I5" i="61" s="1"/>
  <c r="E35" i="61"/>
  <c r="E28" i="61"/>
  <c r="E21" i="61"/>
  <c r="E14" i="61"/>
  <c r="G19" i="61"/>
  <c r="G11" i="61"/>
  <c r="G33" i="61"/>
  <c r="G18" i="61"/>
  <c r="G32" i="61"/>
  <c r="G12" i="61"/>
  <c r="G26" i="61"/>
  <c r="I33" i="61" l="1"/>
  <c r="I32" i="61"/>
  <c r="I26" i="61"/>
  <c r="I25" i="61"/>
  <c r="I19" i="61"/>
  <c r="I18" i="61"/>
  <c r="I11" i="61"/>
  <c r="I12" i="61"/>
  <c r="I28" i="61" l="1"/>
  <c r="I21" i="61"/>
  <c r="I35" i="61"/>
  <c r="I14" i="61"/>
  <c r="I37" i="61" l="1"/>
  <c r="D192" i="1" l="1"/>
  <c r="AG12" i="55" l="1"/>
  <c r="AK12" i="55" s="1"/>
  <c r="I17" i="54" l="1"/>
  <c r="AI17" i="54" s="1"/>
  <c r="E42" i="64"/>
  <c r="E5" i="55" l="1"/>
  <c r="E31" i="68" l="1"/>
  <c r="W31" i="68"/>
  <c r="W36" i="68"/>
  <c r="G36" i="68"/>
  <c r="E36" i="68"/>
  <c r="E48" i="68"/>
  <c r="G48" i="68"/>
  <c r="Z41" i="68"/>
  <c r="Z42" i="68"/>
  <c r="Z44" i="68"/>
  <c r="Z45" i="68"/>
  <c r="Z46" i="68"/>
  <c r="Z47" i="68"/>
  <c r="I41" i="68"/>
  <c r="U41" i="68" s="1"/>
  <c r="I42" i="68"/>
  <c r="U42" i="68" s="1"/>
  <c r="I43" i="68"/>
  <c r="U43" i="68" s="1"/>
  <c r="I44" i="68"/>
  <c r="U44" i="68" s="1"/>
  <c r="I45" i="68"/>
  <c r="U45" i="68" s="1"/>
  <c r="I46" i="68"/>
  <c r="U46" i="68" s="1"/>
  <c r="I47" i="68"/>
  <c r="U47" i="68" s="1"/>
  <c r="Z13" i="68"/>
  <c r="Q13" i="68"/>
  <c r="I13" i="68"/>
  <c r="Q41" i="68"/>
  <c r="Q42" i="68"/>
  <c r="Q43" i="68"/>
  <c r="Q44" i="68"/>
  <c r="Q46" i="68"/>
  <c r="Q47" i="68"/>
  <c r="W68" i="68"/>
  <c r="U68" i="68"/>
  <c r="W64" i="68"/>
  <c r="U64" i="68"/>
  <c r="W60" i="68"/>
  <c r="U60" i="68"/>
  <c r="G68" i="68"/>
  <c r="E68" i="68"/>
  <c r="E64" i="68"/>
  <c r="G64" i="68"/>
  <c r="G60" i="68"/>
  <c r="E60" i="68"/>
  <c r="W50" i="68" l="1"/>
  <c r="U70" i="68"/>
  <c r="U13" i="68"/>
  <c r="G70" i="68"/>
  <c r="A12" i="68" l="1"/>
  <c r="A13" i="68" s="1"/>
  <c r="A14" i="68" s="1"/>
  <c r="A15" i="68" s="1"/>
  <c r="A16" i="68" s="1"/>
  <c r="A17" i="68" s="1"/>
  <c r="A18" i="68" s="1"/>
  <c r="A19" i="68" s="1"/>
  <c r="A20" i="68" s="1"/>
  <c r="A21" i="68" s="1"/>
  <c r="A22" i="68" s="1"/>
  <c r="A23" i="68" s="1"/>
  <c r="A24" i="68" s="1"/>
  <c r="A25" i="68" s="1"/>
  <c r="A26" i="68" s="1"/>
  <c r="A27" i="68" s="1"/>
  <c r="A28" i="68" s="1"/>
  <c r="A29" i="68" s="1"/>
  <c r="A30" i="68" s="1"/>
  <c r="T68" i="68"/>
  <c r="Z67" i="68"/>
  <c r="Z68" i="68" s="1"/>
  <c r="Q67" i="68"/>
  <c r="I67" i="68"/>
  <c r="T64" i="68"/>
  <c r="Z64" i="68"/>
  <c r="Z70" i="68" s="1"/>
  <c r="Q63" i="68"/>
  <c r="S63" i="68" s="1"/>
  <c r="T60" i="68"/>
  <c r="Z60" i="68"/>
  <c r="Z72" i="68" l="1"/>
  <c r="Z14" i="68"/>
  <c r="I14" i="68"/>
  <c r="Z16" i="68"/>
  <c r="Z15" i="68"/>
  <c r="Z17" i="68"/>
  <c r="Z18" i="68"/>
  <c r="Z19" i="68"/>
  <c r="Z21" i="68"/>
  <c r="Z22" i="68"/>
  <c r="Z23" i="68"/>
  <c r="Z24" i="68"/>
  <c r="Z25" i="68"/>
  <c r="Z26" i="68"/>
  <c r="Z30" i="68"/>
  <c r="Q15" i="68"/>
  <c r="Q16" i="68"/>
  <c r="Q17" i="68"/>
  <c r="Q18" i="68"/>
  <c r="Q19" i="68"/>
  <c r="Q20" i="68"/>
  <c r="Q21" i="68"/>
  <c r="Q22" i="68"/>
  <c r="Q23" i="68"/>
  <c r="Q24" i="68"/>
  <c r="Q25" i="68"/>
  <c r="Q26" i="68"/>
  <c r="Q27" i="68"/>
  <c r="Q30" i="68"/>
  <c r="I15" i="68"/>
  <c r="U15" i="68" s="1"/>
  <c r="I16" i="68"/>
  <c r="U16" i="68" s="1"/>
  <c r="I17" i="68"/>
  <c r="U17" i="68" s="1"/>
  <c r="I18" i="68"/>
  <c r="U18" i="68" s="1"/>
  <c r="I19" i="68"/>
  <c r="U19" i="68" s="1"/>
  <c r="I20" i="68"/>
  <c r="I22" i="68"/>
  <c r="U22" i="68" s="1"/>
  <c r="I23" i="68"/>
  <c r="U23" i="68" s="1"/>
  <c r="I24" i="68"/>
  <c r="U24" i="68" s="1"/>
  <c r="I25" i="68"/>
  <c r="U25" i="68" s="1"/>
  <c r="I26" i="68"/>
  <c r="U26" i="68" s="1"/>
  <c r="I27" i="68"/>
  <c r="U27" i="68" s="1"/>
  <c r="I30" i="68"/>
  <c r="U30" i="68" s="1"/>
  <c r="Z31" i="68" l="1"/>
  <c r="I31" i="68"/>
  <c r="U14" i="68"/>
  <c r="U31" i="68" s="1"/>
  <c r="T48" i="68"/>
  <c r="Z40" i="68"/>
  <c r="I40" i="68"/>
  <c r="U40" i="68" s="1"/>
  <c r="Z39" i="68"/>
  <c r="Q39" i="68"/>
  <c r="I39" i="68"/>
  <c r="V36" i="68"/>
  <c r="T36" i="68"/>
  <c r="Z35" i="68"/>
  <c r="Z36" i="68" s="1"/>
  <c r="I35" i="68"/>
  <c r="U35" i="68" s="1"/>
  <c r="I34" i="68"/>
  <c r="U34" i="68" s="1"/>
  <c r="V31" i="68"/>
  <c r="T31" i="68"/>
  <c r="G31" i="68"/>
  <c r="A31" i="68"/>
  <c r="X6" i="68"/>
  <c r="E6" i="68"/>
  <c r="G6" i="68" s="1"/>
  <c r="I6" i="68" s="1"/>
  <c r="K6" i="68" s="1"/>
  <c r="M6" i="68" s="1"/>
  <c r="O6" i="68" s="1"/>
  <c r="Q6" i="68" s="1"/>
  <c r="S6" i="68" s="1"/>
  <c r="U6" i="68" s="1"/>
  <c r="W6" i="68" s="1"/>
  <c r="Y6" i="68" s="1"/>
  <c r="Z6" i="68" s="1"/>
  <c r="F10" i="47"/>
  <c r="A29" i="70"/>
  <c r="G86" i="70"/>
  <c r="G56" i="70"/>
  <c r="G63" i="70"/>
  <c r="G17" i="70"/>
  <c r="G64" i="70"/>
  <c r="G61" i="70"/>
  <c r="G57" i="70"/>
  <c r="G66" i="70"/>
  <c r="G58" i="70"/>
  <c r="G59" i="70"/>
  <c r="G60" i="70"/>
  <c r="G62" i="70"/>
  <c r="G55" i="70"/>
  <c r="G87" i="70"/>
  <c r="W86" i="70" l="1"/>
  <c r="I36" i="68"/>
  <c r="W63" i="70"/>
  <c r="W87" i="70"/>
  <c r="W55" i="70"/>
  <c r="W59" i="70"/>
  <c r="W62" i="70"/>
  <c r="W58" i="70"/>
  <c r="W57" i="70"/>
  <c r="W64" i="70"/>
  <c r="W61" i="70"/>
  <c r="W60" i="70"/>
  <c r="W66" i="70"/>
  <c r="W56" i="70"/>
  <c r="W17" i="70"/>
  <c r="Z48" i="68"/>
  <c r="Z50" i="68" s="1"/>
  <c r="U36" i="68"/>
  <c r="U39" i="68"/>
  <c r="U48" i="68" s="1"/>
  <c r="U50" i="68" s="1"/>
  <c r="I48" i="68"/>
  <c r="A33" i="68"/>
  <c r="A34" i="68" s="1"/>
  <c r="A35" i="68" s="1"/>
  <c r="G50" i="68"/>
  <c r="AA6" i="68"/>
  <c r="W67" i="70" l="1"/>
  <c r="Z52" i="68"/>
  <c r="Z53" i="68" s="1"/>
  <c r="Z75" i="68"/>
  <c r="I50" i="68"/>
  <c r="C36" i="68"/>
  <c r="A36" i="68"/>
  <c r="A38" i="68" l="1"/>
  <c r="A39" i="68" l="1"/>
  <c r="A40" i="68" s="1"/>
  <c r="A41" i="68" s="1"/>
  <c r="A42" i="68" s="1"/>
  <c r="A43" i="68" s="1"/>
  <c r="A44" i="68" s="1"/>
  <c r="A45" i="68" s="1"/>
  <c r="A46" i="68" s="1"/>
  <c r="A47" i="68" s="1"/>
  <c r="A48" i="68"/>
  <c r="C48" i="68"/>
  <c r="C50" i="68" l="1"/>
  <c r="A50" i="68"/>
  <c r="A52" i="68" s="1"/>
  <c r="A53" i="68" s="1"/>
  <c r="A56" i="68" s="1"/>
  <c r="A58" i="68" s="1"/>
  <c r="A59" i="68" s="1"/>
  <c r="G78" i="1"/>
  <c r="C14" i="1"/>
  <c r="A60" i="68" l="1"/>
  <c r="A62" i="68" s="1"/>
  <c r="E8" i="72"/>
  <c r="D8" i="72"/>
  <c r="A7" i="72"/>
  <c r="A8" i="72" s="1"/>
  <c r="A9" i="72" s="1"/>
  <c r="A10" i="72" s="1"/>
  <c r="A11" i="72" s="1"/>
  <c r="A12" i="72" s="1"/>
  <c r="A13" i="72" s="1"/>
  <c r="A14" i="72" s="1"/>
  <c r="A15" i="72" s="1"/>
  <c r="A16" i="72" s="1"/>
  <c r="A17" i="72" s="1"/>
  <c r="A18" i="72" s="1"/>
  <c r="A19" i="72" s="1"/>
  <c r="AG24" i="55"/>
  <c r="AK24" i="55" s="1"/>
  <c r="A63" i="68" l="1"/>
  <c r="A64" i="68"/>
  <c r="F8" i="72"/>
  <c r="C20" i="72"/>
  <c r="A20" i="72"/>
  <c r="D9" i="72"/>
  <c r="D10" i="72" s="1"/>
  <c r="D11" i="72" s="1"/>
  <c r="D12" i="72" s="1"/>
  <c r="D13" i="72" s="1"/>
  <c r="D14" i="72" s="1"/>
  <c r="D15" i="72" s="1"/>
  <c r="D16" i="72" s="1"/>
  <c r="D17" i="72" s="1"/>
  <c r="D18" i="72" s="1"/>
  <c r="D19" i="72" s="1"/>
  <c r="H8" i="72" l="1"/>
  <c r="E9" i="72" s="1"/>
  <c r="A66" i="68"/>
  <c r="A68" i="68" l="1"/>
  <c r="C70" i="68" s="1"/>
  <c r="A67" i="68"/>
  <c r="F9" i="72"/>
  <c r="A70" i="68" l="1"/>
  <c r="A72" i="68" s="1"/>
  <c r="A73" i="68" s="1"/>
  <c r="A75" i="68" s="1"/>
  <c r="A76" i="68" s="1"/>
  <c r="H9" i="72"/>
  <c r="E10" i="72" l="1"/>
  <c r="F10" i="72" l="1"/>
  <c r="H10" i="72" l="1"/>
  <c r="E11" i="72" s="1"/>
  <c r="F11" i="72" l="1"/>
  <c r="H11" i="72" l="1"/>
  <c r="E12" i="72" s="1"/>
  <c r="F12" i="72" l="1"/>
  <c r="H12" i="72" s="1"/>
  <c r="E13" i="72" l="1"/>
  <c r="F13" i="72" l="1"/>
  <c r="H13" i="72" s="1"/>
  <c r="E14" i="72" s="1"/>
  <c r="F14" i="72" l="1"/>
  <c r="H14" i="72" s="1"/>
  <c r="E15" i="72" s="1"/>
  <c r="F15" i="72" l="1"/>
  <c r="H15" i="72" s="1"/>
  <c r="E16" i="72" s="1"/>
  <c r="F16" i="72" l="1"/>
  <c r="H16" i="72" s="1"/>
  <c r="E17" i="72" s="1"/>
  <c r="F17" i="72" l="1"/>
  <c r="H17" i="72" s="1"/>
  <c r="E18" i="72" s="1"/>
  <c r="F18" i="72" l="1"/>
  <c r="H18" i="72" s="1"/>
  <c r="E19" i="72" s="1"/>
  <c r="F19" i="72" l="1"/>
  <c r="F20" i="72" l="1"/>
  <c r="D129" i="1" s="1"/>
  <c r="H19" i="72"/>
  <c r="H20" i="72" s="1"/>
  <c r="D78" i="1" s="1"/>
  <c r="I78" i="1" s="1"/>
  <c r="D130" i="1" l="1"/>
  <c r="I129" i="1"/>
  <c r="C29" i="51"/>
  <c r="C21" i="51"/>
  <c r="C24" i="47"/>
  <c r="C18" i="47"/>
  <c r="C12" i="47"/>
  <c r="AE14" i="55" l="1"/>
  <c r="M38" i="59" l="1"/>
  <c r="AK20" i="54"/>
  <c r="E11" i="39" l="1"/>
  <c r="C8" i="14"/>
  <c r="C9" i="14" s="1"/>
  <c r="O7" i="65" l="1"/>
  <c r="Q7" i="65" s="1"/>
  <c r="C9" i="22"/>
  <c r="I7" i="70"/>
  <c r="L7" i="70" s="1"/>
  <c r="Q7" i="57"/>
  <c r="M22" i="57" l="1"/>
  <c r="O22" i="57" s="1"/>
  <c r="Q22" i="57" s="1"/>
  <c r="S22" i="57" s="1"/>
  <c r="U22" i="57" s="1"/>
  <c r="M21" i="57"/>
  <c r="O21" i="57" s="1"/>
  <c r="Q21" i="57" s="1"/>
  <c r="S21" i="57" s="1"/>
  <c r="U21" i="57" s="1"/>
  <c r="W21" i="57" s="1"/>
  <c r="Y21" i="57" s="1"/>
  <c r="M13" i="57"/>
  <c r="O13" i="57" s="1"/>
  <c r="X13" i="57" s="1"/>
  <c r="Z13" i="57" s="1"/>
  <c r="AB13" i="57" s="1"/>
  <c r="AD13" i="57" s="1"/>
  <c r="AF13" i="57" s="1"/>
  <c r="AH13" i="57" s="1"/>
  <c r="AJ13" i="57" s="1"/>
  <c r="AL13" i="57" s="1"/>
  <c r="AN13" i="57" s="1"/>
  <c r="E24" i="57"/>
  <c r="M12" i="57"/>
  <c r="O12" i="57" s="1"/>
  <c r="Q12" i="57" s="1"/>
  <c r="S12" i="57" s="1"/>
  <c r="U12" i="57" s="1"/>
  <c r="W12" i="57" s="1"/>
  <c r="Y12" i="57" s="1"/>
  <c r="E41" i="71"/>
  <c r="E32" i="71"/>
  <c r="E33" i="71" s="1"/>
  <c r="E32" i="64"/>
  <c r="E33" i="64" s="1"/>
  <c r="W22" i="57" l="1"/>
  <c r="Y22" i="57" s="1"/>
  <c r="V22" i="57"/>
  <c r="X22" i="57" s="1"/>
  <c r="Z22" i="57" s="1"/>
  <c r="AB22" i="57" s="1"/>
  <c r="AD22" i="57" s="1"/>
  <c r="AF22" i="57" s="1"/>
  <c r="AH22" i="57" s="1"/>
  <c r="AJ22" i="57" s="1"/>
  <c r="AL22" i="57" s="1"/>
  <c r="AN22" i="57" s="1"/>
  <c r="V21" i="57"/>
  <c r="X21" i="57" s="1"/>
  <c r="Z21" i="57" s="1"/>
  <c r="AB21" i="57" s="1"/>
  <c r="AD21" i="57" s="1"/>
  <c r="AF21" i="57" s="1"/>
  <c r="AH21" i="57" s="1"/>
  <c r="AJ21" i="57" s="1"/>
  <c r="AL21" i="57" s="1"/>
  <c r="AN21" i="57" s="1"/>
  <c r="Q13" i="57"/>
  <c r="AA12" i="57"/>
  <c r="AC12" i="57" s="1"/>
  <c r="AA22" i="57" l="1"/>
  <c r="AC22" i="57" s="1"/>
  <c r="AE22" i="57" s="1"/>
  <c r="U24" i="57"/>
  <c r="S13" i="57"/>
  <c r="U13" i="57" s="1"/>
  <c r="W13" i="57" s="1"/>
  <c r="Y13" i="57" s="1"/>
  <c r="AA13" i="57" s="1"/>
  <c r="AC13" i="57" s="1"/>
  <c r="AG22" i="57" l="1"/>
  <c r="AI22" i="57" s="1"/>
  <c r="AK22" i="57" s="1"/>
  <c r="AM22" i="57" s="1"/>
  <c r="AO22" i="57" s="1"/>
  <c r="AE13" i="57"/>
  <c r="AG13" i="57" s="1"/>
  <c r="AI13" i="57" s="1"/>
  <c r="AK13" i="57" s="1"/>
  <c r="AM13" i="57" s="1"/>
  <c r="AO13" i="57" s="1"/>
  <c r="AQ22" i="57" l="1"/>
  <c r="AA21" i="57"/>
  <c r="AC21" i="57" s="1"/>
  <c r="AE21" i="57" s="1"/>
  <c r="AG21" i="57" s="1"/>
  <c r="AI21" i="57" s="1"/>
  <c r="AK21" i="57" s="1"/>
  <c r="AM21" i="57" s="1"/>
  <c r="AO21" i="57" s="1"/>
  <c r="AW21" i="57" s="1"/>
  <c r="AY21" i="57" s="1"/>
  <c r="AQ13" i="57"/>
  <c r="AQ21" i="57" l="1"/>
  <c r="A10" i="39" l="1"/>
  <c r="I21" i="42"/>
  <c r="O32" i="59" l="1"/>
  <c r="M50" i="59"/>
  <c r="M48" i="59"/>
  <c r="M40" i="59"/>
  <c r="M41" i="59"/>
  <c r="M42" i="59"/>
  <c r="M43" i="59"/>
  <c r="M44" i="59"/>
  <c r="M45" i="59"/>
  <c r="M46" i="59"/>
  <c r="M47" i="59"/>
  <c r="M49" i="59"/>
  <c r="M51" i="59"/>
  <c r="K52" i="59"/>
  <c r="M52" i="59" l="1"/>
  <c r="A14" i="54" l="1"/>
  <c r="L29" i="60"/>
  <c r="L25" i="60"/>
  <c r="L26" i="60"/>
  <c r="L27" i="60"/>
  <c r="L28" i="60"/>
  <c r="L30" i="60"/>
  <c r="L31" i="60"/>
  <c r="L32" i="60"/>
  <c r="L33" i="60"/>
  <c r="L34" i="60"/>
  <c r="L35" i="60"/>
  <c r="L36" i="60"/>
  <c r="L17" i="60"/>
  <c r="L9" i="60"/>
  <c r="L10" i="60"/>
  <c r="L11" i="60"/>
  <c r="L12" i="60"/>
  <c r="L13" i="60"/>
  <c r="L14" i="60"/>
  <c r="L15" i="60"/>
  <c r="L16" i="60"/>
  <c r="L18" i="60"/>
  <c r="L19" i="60"/>
  <c r="L8" i="60"/>
  <c r="E7" i="67" l="1"/>
  <c r="E5" i="70" l="1"/>
  <c r="E10" i="39" l="1"/>
  <c r="E63" i="5" s="1"/>
  <c r="A60" i="71"/>
  <c r="A59" i="71"/>
  <c r="A55" i="71"/>
  <c r="A53" i="71"/>
  <c r="A40" i="71"/>
  <c r="A36" i="71"/>
  <c r="A34" i="71"/>
  <c r="E29" i="71"/>
  <c r="E30" i="71" s="1"/>
  <c r="E26" i="71"/>
  <c r="E27" i="71" s="1"/>
  <c r="E23" i="71"/>
  <c r="E24" i="71" s="1"/>
  <c r="A21" i="71"/>
  <c r="A19" i="71"/>
  <c r="E17" i="71"/>
  <c r="E18" i="71" s="1"/>
  <c r="E14" i="71"/>
  <c r="E15" i="71" s="1"/>
  <c r="E11" i="71"/>
  <c r="E12" i="71" s="1"/>
  <c r="E8" i="71"/>
  <c r="I7" i="71"/>
  <c r="I8" i="71" s="1"/>
  <c r="I9" i="71" s="1"/>
  <c r="C8" i="71"/>
  <c r="E5" i="71"/>
  <c r="G5" i="71" s="1"/>
  <c r="I5" i="71" s="1"/>
  <c r="K5" i="71" s="1"/>
  <c r="M5" i="71" s="1"/>
  <c r="F37" i="60"/>
  <c r="G8" i="71" l="1"/>
  <c r="K8" i="71" s="1"/>
  <c r="E9" i="71"/>
  <c r="C9" i="71"/>
  <c r="C10" i="71" s="1"/>
  <c r="A8" i="71"/>
  <c r="G7" i="71"/>
  <c r="K7" i="71" s="1"/>
  <c r="A32" i="61"/>
  <c r="A35" i="61"/>
  <c r="F20" i="60"/>
  <c r="C13" i="47"/>
  <c r="K13" i="47"/>
  <c r="I13" i="47"/>
  <c r="G13" i="47"/>
  <c r="E13" i="47"/>
  <c r="H10" i="47"/>
  <c r="E29" i="64"/>
  <c r="E30" i="64" s="1"/>
  <c r="A33" i="61" l="1"/>
  <c r="C35" i="61"/>
  <c r="G40" i="47"/>
  <c r="G9" i="71"/>
  <c r="K9" i="71" s="1"/>
  <c r="M9" i="71" s="1"/>
  <c r="I10" i="71" s="1"/>
  <c r="I11" i="71" s="1"/>
  <c r="E15" i="6"/>
  <c r="I61" i="71"/>
  <c r="A9" i="71"/>
  <c r="G10" i="71"/>
  <c r="C11" i="71"/>
  <c r="H17" i="6" l="1"/>
  <c r="H20" i="6"/>
  <c r="H19" i="6"/>
  <c r="H18" i="6"/>
  <c r="A10" i="71"/>
  <c r="A11" i="71" s="1"/>
  <c r="K10" i="71"/>
  <c r="C12" i="71"/>
  <c r="G11" i="71"/>
  <c r="K11" i="71" s="1"/>
  <c r="I12" i="71"/>
  <c r="E42" i="71" l="1"/>
  <c r="A12" i="71"/>
  <c r="C13" i="71"/>
  <c r="G12" i="71"/>
  <c r="K12" i="71" s="1"/>
  <c r="M12" i="71" s="1"/>
  <c r="I13" i="71" s="1"/>
  <c r="I14" i="71" l="1"/>
  <c r="A13" i="71"/>
  <c r="E43" i="71"/>
  <c r="C14" i="71"/>
  <c r="G13" i="71"/>
  <c r="K13" i="71" s="1"/>
  <c r="G14" i="71" l="1"/>
  <c r="K14" i="71" s="1"/>
  <c r="C15" i="71"/>
  <c r="E44" i="71"/>
  <c r="I15" i="71"/>
  <c r="A14" i="71"/>
  <c r="F40" i="47"/>
  <c r="E45" i="71" l="1"/>
  <c r="C16" i="71"/>
  <c r="G15" i="71"/>
  <c r="K15" i="71" s="1"/>
  <c r="M15" i="71" s="1"/>
  <c r="I16" i="71" s="1"/>
  <c r="A15" i="71"/>
  <c r="I17" i="71" l="1"/>
  <c r="A16" i="71"/>
  <c r="E46" i="71"/>
  <c r="G16" i="71"/>
  <c r="K16" i="71" s="1"/>
  <c r="C17" i="71"/>
  <c r="A17" i="71" l="1"/>
  <c r="I18" i="71"/>
  <c r="E47" i="71"/>
  <c r="C18" i="71"/>
  <c r="G17" i="71"/>
  <c r="K17" i="71" s="1"/>
  <c r="A18" i="71" l="1"/>
  <c r="E48" i="71"/>
  <c r="C22" i="71"/>
  <c r="G18" i="71"/>
  <c r="K18" i="71" s="1"/>
  <c r="M18" i="71" s="1"/>
  <c r="I20" i="71" s="1"/>
  <c r="I22" i="71" l="1"/>
  <c r="A20" i="71"/>
  <c r="E49" i="71"/>
  <c r="C23" i="71"/>
  <c r="G22" i="71"/>
  <c r="K22" i="71" s="1"/>
  <c r="E50" i="71" l="1"/>
  <c r="C24" i="71"/>
  <c r="G23" i="71"/>
  <c r="I23" i="71"/>
  <c r="A22" i="71"/>
  <c r="K23" i="71" l="1"/>
  <c r="C25" i="71"/>
  <c r="G24" i="71"/>
  <c r="I24" i="71"/>
  <c r="A23" i="71"/>
  <c r="E51" i="71"/>
  <c r="K24" i="71" l="1"/>
  <c r="M24" i="71" s="1"/>
  <c r="I25" i="71" s="1"/>
  <c r="E52" i="71"/>
  <c r="A24" i="71"/>
  <c r="C26" i="71"/>
  <c r="G25" i="71"/>
  <c r="K25" i="71" l="1"/>
  <c r="C27" i="71"/>
  <c r="G26" i="71"/>
  <c r="I26" i="71"/>
  <c r="A25" i="71"/>
  <c r="K26" i="71" l="1"/>
  <c r="C28" i="71"/>
  <c r="G27" i="71"/>
  <c r="A26" i="71"/>
  <c r="I27" i="71"/>
  <c r="K27" i="71" l="1"/>
  <c r="M27" i="71" s="1"/>
  <c r="I28" i="71" s="1"/>
  <c r="C29" i="71"/>
  <c r="G28" i="71"/>
  <c r="A27" i="71"/>
  <c r="K28" i="71" l="1"/>
  <c r="I29" i="71"/>
  <c r="A28" i="71"/>
  <c r="C30" i="71"/>
  <c r="G29" i="71"/>
  <c r="K29" i="71" l="1"/>
  <c r="C31" i="71"/>
  <c r="G30" i="71"/>
  <c r="I30" i="71"/>
  <c r="A29" i="71"/>
  <c r="K30" i="71" l="1"/>
  <c r="M30" i="71" s="1"/>
  <c r="I31" i="71" s="1"/>
  <c r="A30" i="71"/>
  <c r="C32" i="71"/>
  <c r="G31" i="71"/>
  <c r="A31" i="71" l="1"/>
  <c r="I32" i="71"/>
  <c r="K31" i="71"/>
  <c r="C33" i="71"/>
  <c r="G32" i="71"/>
  <c r="K32" i="71" l="1"/>
  <c r="C41" i="71"/>
  <c r="G33" i="71"/>
  <c r="I33" i="71"/>
  <c r="A32" i="71"/>
  <c r="K33" i="71" l="1"/>
  <c r="M33" i="71" s="1"/>
  <c r="I35" i="71" s="1"/>
  <c r="C42" i="71"/>
  <c r="G41" i="71"/>
  <c r="A33" i="71"/>
  <c r="I37" i="71" l="1"/>
  <c r="A35" i="71"/>
  <c r="C43" i="71"/>
  <c r="G42" i="71"/>
  <c r="I39" i="71" l="1"/>
  <c r="A37" i="71"/>
  <c r="A38" i="71" s="1"/>
  <c r="C44" i="71"/>
  <c r="G43" i="71"/>
  <c r="I56" i="71" l="1"/>
  <c r="I58" i="71" s="1"/>
  <c r="I41" i="71"/>
  <c r="C45" i="71"/>
  <c r="G44" i="71"/>
  <c r="A39" i="71"/>
  <c r="A41" i="71" l="1"/>
  <c r="I42" i="71"/>
  <c r="K41" i="71"/>
  <c r="C46" i="71"/>
  <c r="G45" i="71"/>
  <c r="C47" i="71" l="1"/>
  <c r="G46" i="71"/>
  <c r="I43" i="71"/>
  <c r="A42" i="71"/>
  <c r="K42" i="71"/>
  <c r="A43" i="71" l="1"/>
  <c r="K43" i="71"/>
  <c r="I44" i="71" s="1"/>
  <c r="C48" i="71"/>
  <c r="G47" i="71"/>
  <c r="I45" i="71" l="1"/>
  <c r="A44" i="71"/>
  <c r="K44" i="71"/>
  <c r="C49" i="71"/>
  <c r="G48" i="71"/>
  <c r="C50" i="71" l="1"/>
  <c r="G49" i="71"/>
  <c r="I46" i="71"/>
  <c r="A45" i="71"/>
  <c r="K45" i="71"/>
  <c r="C51" i="71" l="1"/>
  <c r="G50" i="71"/>
  <c r="A46" i="71"/>
  <c r="K46" i="71"/>
  <c r="M46" i="71" s="1"/>
  <c r="I47" i="71" s="1"/>
  <c r="I48" i="71" s="1"/>
  <c r="A47" i="71" l="1"/>
  <c r="K47" i="71"/>
  <c r="C52" i="71"/>
  <c r="G52" i="71" s="1"/>
  <c r="G51" i="71"/>
  <c r="A48" i="71" l="1"/>
  <c r="I49" i="71"/>
  <c r="K48" i="71"/>
  <c r="A49" i="71" l="1"/>
  <c r="K49" i="71"/>
  <c r="M49" i="71" s="1"/>
  <c r="I50" i="71" s="1"/>
  <c r="I51" i="71" s="1"/>
  <c r="I52" i="71" s="1"/>
  <c r="A50" i="71" l="1"/>
  <c r="K50" i="71"/>
  <c r="A51" i="71" l="1"/>
  <c r="K51" i="71"/>
  <c r="K52" i="71" l="1"/>
  <c r="A52" i="71"/>
  <c r="M52" i="71" l="1"/>
  <c r="I54" i="71" s="1"/>
  <c r="A54" i="71" s="1"/>
  <c r="A56" i="71" s="1"/>
  <c r="A57" i="71" s="1"/>
  <c r="A58" i="71" s="1"/>
  <c r="A61" i="71" l="1"/>
  <c r="A62" i="71" s="1"/>
  <c r="A63" i="71" s="1"/>
  <c r="G64" i="71" s="1"/>
  <c r="A64" i="71" s="1"/>
  <c r="A65" i="71" s="1"/>
  <c r="S52" i="59"/>
  <c r="E12" i="67" l="1"/>
  <c r="AI20" i="54" l="1"/>
  <c r="H40" i="47" l="1"/>
  <c r="V98" i="70" l="1"/>
  <c r="T98" i="70"/>
  <c r="S98" i="70"/>
  <c r="Q98" i="70"/>
  <c r="P98" i="70"/>
  <c r="N98" i="70"/>
  <c r="M98" i="70"/>
  <c r="K98" i="70"/>
  <c r="J98" i="70"/>
  <c r="V77" i="70"/>
  <c r="T77" i="70"/>
  <c r="S77" i="70"/>
  <c r="Q77" i="70"/>
  <c r="P77" i="70"/>
  <c r="N77" i="70"/>
  <c r="M77" i="70"/>
  <c r="K77" i="70"/>
  <c r="J77" i="70"/>
  <c r="A11" i="70"/>
  <c r="A12" i="70" s="1"/>
  <c r="V40" i="70"/>
  <c r="J40" i="70"/>
  <c r="K40" i="70"/>
  <c r="M40" i="70"/>
  <c r="N40" i="70"/>
  <c r="P40" i="70"/>
  <c r="Q40" i="70"/>
  <c r="S40" i="70"/>
  <c r="T40" i="70"/>
  <c r="G95" i="70"/>
  <c r="G50" i="70"/>
  <c r="G93" i="70"/>
  <c r="G44" i="70"/>
  <c r="G37" i="70"/>
  <c r="G34" i="70"/>
  <c r="G94" i="70"/>
  <c r="G72" i="70"/>
  <c r="G74" i="70"/>
  <c r="G73" i="70"/>
  <c r="G35" i="70"/>
  <c r="G36" i="70"/>
  <c r="W36" i="70" l="1"/>
  <c r="W37" i="70"/>
  <c r="A13" i="70"/>
  <c r="W73" i="70"/>
  <c r="W95" i="70"/>
  <c r="W94" i="70"/>
  <c r="W93" i="70"/>
  <c r="W74" i="70"/>
  <c r="W72" i="70"/>
  <c r="W50" i="70"/>
  <c r="W44" i="70"/>
  <c r="W35" i="70"/>
  <c r="W34" i="70"/>
  <c r="A32" i="70"/>
  <c r="A34" i="70" s="1"/>
  <c r="K69" i="51" l="1"/>
  <c r="A14" i="70"/>
  <c r="A15" i="70" s="1"/>
  <c r="A17" i="70" s="1"/>
  <c r="A18" i="70" s="1"/>
  <c r="A19" i="70" s="1"/>
  <c r="A20" i="70" s="1"/>
  <c r="A21" i="70" s="1"/>
  <c r="W51" i="70"/>
  <c r="K31" i="13"/>
  <c r="K27" i="13"/>
  <c r="A22" i="70" l="1"/>
  <c r="A23" i="70" s="1"/>
  <c r="A24" i="70" s="1"/>
  <c r="A25" i="70" s="1"/>
  <c r="A26" i="70" s="1"/>
  <c r="A27" i="70" s="1"/>
  <c r="A28" i="70" s="1"/>
  <c r="C29" i="70" s="1"/>
  <c r="I14" i="54"/>
  <c r="G7" i="67" l="1"/>
  <c r="I7" i="67"/>
  <c r="I8" i="64" l="1"/>
  <c r="I9" i="64" s="1"/>
  <c r="E8" i="64"/>
  <c r="E9" i="64" l="1"/>
  <c r="I54" i="31" l="1"/>
  <c r="I53" i="31" l="1"/>
  <c r="A120" i="1"/>
  <c r="A54" i="1"/>
  <c r="A121" i="1" l="1"/>
  <c r="A55" i="1"/>
  <c r="A56" i="1" s="1"/>
  <c r="A14" i="1"/>
  <c r="AW22" i="57" l="1"/>
  <c r="A57" i="1"/>
  <c r="A59" i="1" s="1"/>
  <c r="A60" i="1" s="1"/>
  <c r="A15" i="1"/>
  <c r="AW24" i="57" l="1"/>
  <c r="AY22" i="57"/>
  <c r="A122" i="1"/>
  <c r="A61" i="1"/>
  <c r="A16" i="1"/>
  <c r="A62" i="1" l="1"/>
  <c r="AU22" i="57"/>
  <c r="A123" i="1"/>
  <c r="A18" i="1"/>
  <c r="A63" i="1" l="1"/>
  <c r="A64" i="1" s="1"/>
  <c r="A66" i="1" s="1"/>
  <c r="A67" i="1" s="1"/>
  <c r="A68" i="1" s="1"/>
  <c r="A69" i="1" s="1"/>
  <c r="A70" i="1" s="1"/>
  <c r="A71" i="1" s="1"/>
  <c r="A73" i="1" s="1"/>
  <c r="A74" i="1" s="1"/>
  <c r="A75" i="1" s="1"/>
  <c r="A76" i="1" s="1"/>
  <c r="A77" i="1" s="1"/>
  <c r="A20" i="1"/>
  <c r="A78" i="1" l="1"/>
  <c r="A79" i="1" s="1"/>
  <c r="A81" i="1" s="1"/>
  <c r="A83" i="1" s="1"/>
  <c r="A84" i="1" s="1"/>
  <c r="A85" i="1" s="1"/>
  <c r="A86" i="1" s="1"/>
  <c r="A87" i="1" s="1"/>
  <c r="A89" i="1" s="1"/>
  <c r="A24" i="1"/>
  <c r="A25" i="1" s="1"/>
  <c r="A26" i="1" s="1"/>
  <c r="A29" i="1" s="1"/>
  <c r="A33" i="1" s="1"/>
  <c r="A34" i="1" s="1"/>
  <c r="A35" i="1" s="1"/>
  <c r="A36" i="1" s="1"/>
  <c r="A37" i="1" s="1"/>
  <c r="A124" i="1" l="1"/>
  <c r="A126" i="1" l="1"/>
  <c r="A127" i="1" s="1"/>
  <c r="A128" i="1" s="1"/>
  <c r="A129" i="1" s="1"/>
  <c r="A7" i="67"/>
  <c r="A130" i="1" l="1"/>
  <c r="A132" i="1" s="1"/>
  <c r="A134" i="1" s="1"/>
  <c r="A135" i="1" s="1"/>
  <c r="A137" i="1" s="1"/>
  <c r="A140" i="1" s="1"/>
  <c r="A143" i="1" s="1"/>
  <c r="A145" i="1" s="1"/>
  <c r="A8" i="67"/>
  <c r="A9" i="67" s="1"/>
  <c r="A10" i="67" l="1"/>
  <c r="A11" i="67" l="1"/>
  <c r="A12" i="67" l="1"/>
  <c r="A14" i="67" s="1"/>
  <c r="A15" i="67" l="1"/>
  <c r="A16" i="67" s="1"/>
  <c r="A17" i="67" s="1"/>
  <c r="A18" i="67" l="1"/>
  <c r="A20" i="67" l="1"/>
  <c r="A21" i="67" s="1"/>
  <c r="AY24" i="57" l="1"/>
  <c r="A22" i="67"/>
  <c r="A24" i="67" s="1"/>
  <c r="G54" i="31" s="1"/>
  <c r="A25" i="67" l="1"/>
  <c r="G53" i="31" s="1"/>
  <c r="E5" i="56"/>
  <c r="E5" i="54"/>
  <c r="AK13" i="54"/>
  <c r="AM13" i="54" l="1"/>
  <c r="A15" i="54"/>
  <c r="A26" i="67"/>
  <c r="G5" i="56"/>
  <c r="I5" i="56" s="1"/>
  <c r="K5" i="56" s="1"/>
  <c r="U7" i="70"/>
  <c r="X67" i="70"/>
  <c r="R7" i="70"/>
  <c r="O7" i="70"/>
  <c r="G102" i="70"/>
  <c r="W102" i="70" l="1"/>
  <c r="W45" i="70"/>
  <c r="A27" i="67"/>
  <c r="G28" i="67" s="1"/>
  <c r="G55" i="31"/>
  <c r="G5" i="70"/>
  <c r="I5" i="70" s="1"/>
  <c r="L5" i="70" s="1"/>
  <c r="O5" i="70" s="1"/>
  <c r="R5" i="70" s="1"/>
  <c r="U5" i="70" s="1"/>
  <c r="W5" i="70" s="1"/>
  <c r="Y5" i="70" s="1"/>
  <c r="W103" i="70" l="1"/>
  <c r="A28" i="67"/>
  <c r="A29" i="67" s="1"/>
  <c r="G31" i="67" s="1"/>
  <c r="A35" i="70"/>
  <c r="A36" i="70" s="1"/>
  <c r="A37" i="70" s="1"/>
  <c r="A38" i="70" s="1"/>
  <c r="A39" i="70" s="1"/>
  <c r="A40" i="70"/>
  <c r="A31" i="67" l="1"/>
  <c r="C135" i="1" s="1"/>
  <c r="C40" i="70"/>
  <c r="A42" i="70"/>
  <c r="A44" i="70" s="1"/>
  <c r="C45" i="70" l="1"/>
  <c r="A45" i="70"/>
  <c r="A48" i="70" l="1"/>
  <c r="A12" i="54" l="1"/>
  <c r="A12" i="55"/>
  <c r="A12" i="57"/>
  <c r="C20" i="56" l="1"/>
  <c r="A13" i="54"/>
  <c r="C14" i="54" s="1"/>
  <c r="A51" i="70"/>
  <c r="A50" i="70"/>
  <c r="A13" i="55"/>
  <c r="C14" i="55" s="1"/>
  <c r="A13" i="57"/>
  <c r="C15" i="57" s="1"/>
  <c r="K8" i="67"/>
  <c r="K12" i="67"/>
  <c r="K11" i="67"/>
  <c r="E14" i="67" l="1"/>
  <c r="E18" i="67" s="1"/>
  <c r="C51" i="70"/>
  <c r="A53" i="70"/>
  <c r="A55" i="70" s="1"/>
  <c r="C11" i="67"/>
  <c r="Z73" i="68" l="1"/>
  <c r="I48" i="31"/>
  <c r="I52" i="31" s="1"/>
  <c r="I58" i="31" s="1"/>
  <c r="I72" i="68"/>
  <c r="A67" i="70"/>
  <c r="A70" i="70" s="1"/>
  <c r="A56" i="70"/>
  <c r="A57" i="70" s="1"/>
  <c r="A58" i="70" s="1"/>
  <c r="A59" i="70" s="1"/>
  <c r="A60" i="70" s="1"/>
  <c r="A61" i="70" s="1"/>
  <c r="A62" i="70" s="1"/>
  <c r="A63" i="70" s="1"/>
  <c r="A64" i="70" s="1"/>
  <c r="C12" i="67"/>
  <c r="AM14" i="65"/>
  <c r="AK14" i="65"/>
  <c r="AI14" i="65"/>
  <c r="AG14" i="65"/>
  <c r="AE14" i="65"/>
  <c r="AC14" i="65"/>
  <c r="AA14" i="65"/>
  <c r="Y14" i="65"/>
  <c r="W14" i="65"/>
  <c r="U14" i="65"/>
  <c r="S14" i="65"/>
  <c r="Q14" i="65"/>
  <c r="O14" i="65"/>
  <c r="AM7" i="65"/>
  <c r="AK7" i="65"/>
  <c r="AI7" i="65"/>
  <c r="AG7" i="65"/>
  <c r="AE7" i="65"/>
  <c r="AC7" i="65"/>
  <c r="AA7" i="65"/>
  <c r="Y7" i="65"/>
  <c r="W7" i="65"/>
  <c r="U7" i="65"/>
  <c r="S7" i="65"/>
  <c r="E5" i="65"/>
  <c r="G5" i="65" s="1"/>
  <c r="I5" i="65" s="1"/>
  <c r="K5" i="65" s="1"/>
  <c r="M5" i="65" s="1"/>
  <c r="O5" i="65" s="1"/>
  <c r="A59" i="64"/>
  <c r="A60" i="64"/>
  <c r="G7" i="64"/>
  <c r="K7" i="64" s="1"/>
  <c r="A19" i="64"/>
  <c r="A21" i="64"/>
  <c r="A34" i="64"/>
  <c r="A36" i="64"/>
  <c r="A40" i="64"/>
  <c r="A53" i="64"/>
  <c r="A55" i="64"/>
  <c r="E5" i="64"/>
  <c r="G5" i="64" s="1"/>
  <c r="I5" i="64" s="1"/>
  <c r="K5" i="64" s="1"/>
  <c r="M5" i="64" s="1"/>
  <c r="E26" i="64"/>
  <c r="E27" i="64" s="1"/>
  <c r="E23" i="64"/>
  <c r="E17" i="64"/>
  <c r="E14" i="64"/>
  <c r="E15" i="64" s="1"/>
  <c r="E11" i="64"/>
  <c r="A65" i="70" l="1"/>
  <c r="A66" i="70" s="1"/>
  <c r="C67" i="70" s="1"/>
  <c r="Z76" i="68"/>
  <c r="A72" i="70"/>
  <c r="A73" i="70" s="1"/>
  <c r="A74" i="70" s="1"/>
  <c r="A75" i="70" s="1"/>
  <c r="A76" i="70" s="1"/>
  <c r="A77" i="70"/>
  <c r="Q5" i="65"/>
  <c r="S5" i="65" s="1"/>
  <c r="U5" i="65" s="1"/>
  <c r="W5" i="65" s="1"/>
  <c r="Y5" i="65" s="1"/>
  <c r="AA5" i="65" s="1"/>
  <c r="AC5" i="65" s="1"/>
  <c r="AE5" i="65" s="1"/>
  <c r="AG5" i="65" s="1"/>
  <c r="AI5" i="65" s="1"/>
  <c r="AK5" i="65" s="1"/>
  <c r="AM5" i="65" s="1"/>
  <c r="AO5" i="65" s="1"/>
  <c r="AQ5" i="65" s="1"/>
  <c r="AR5" i="65" s="1"/>
  <c r="AT5" i="65" s="1"/>
  <c r="AO14" i="65"/>
  <c r="D77" i="1"/>
  <c r="I77" i="1" s="1"/>
  <c r="C8" i="64"/>
  <c r="E18" i="64"/>
  <c r="E24" i="64"/>
  <c r="E12" i="64"/>
  <c r="C77" i="70" l="1"/>
  <c r="C9" i="64"/>
  <c r="G8" i="64"/>
  <c r="K8" i="64" s="1"/>
  <c r="A79" i="70"/>
  <c r="A8" i="64"/>
  <c r="C10" i="64" l="1"/>
  <c r="G9" i="64"/>
  <c r="K9" i="64" s="1"/>
  <c r="E43" i="64"/>
  <c r="A81" i="70"/>
  <c r="A88" i="70"/>
  <c r="A9" i="64"/>
  <c r="E44" i="64" l="1"/>
  <c r="E45" i="64" s="1"/>
  <c r="E46" i="64" s="1"/>
  <c r="E47" i="64" s="1"/>
  <c r="E48" i="64" s="1"/>
  <c r="E49" i="64" s="1"/>
  <c r="E50" i="64" s="1"/>
  <c r="E51" i="64" s="1"/>
  <c r="E52" i="64" s="1"/>
  <c r="A82" i="70"/>
  <c r="A83" i="70" s="1"/>
  <c r="C11" i="64"/>
  <c r="G10" i="64"/>
  <c r="A91" i="70"/>
  <c r="A93" i="70" s="1"/>
  <c r="M9" i="64"/>
  <c r="I10" i="64" s="1"/>
  <c r="A84" i="70" l="1"/>
  <c r="A85" i="70" s="1"/>
  <c r="A86" i="70" s="1"/>
  <c r="A87" i="70" s="1"/>
  <c r="C88" i="70" s="1"/>
  <c r="C12" i="64"/>
  <c r="G11" i="64"/>
  <c r="A98" i="70"/>
  <c r="A10" i="64"/>
  <c r="K10" i="64"/>
  <c r="I11" i="64"/>
  <c r="I12" i="64" s="1"/>
  <c r="A94" i="70" l="1"/>
  <c r="A95" i="70" s="1"/>
  <c r="A96" i="70" s="1"/>
  <c r="A97" i="70" s="1"/>
  <c r="A11" i="64"/>
  <c r="A12" i="64" s="1"/>
  <c r="K11" i="64"/>
  <c r="C13" i="64"/>
  <c r="G12" i="64"/>
  <c r="K12" i="64" s="1"/>
  <c r="A100" i="70"/>
  <c r="C98" i="70" l="1"/>
  <c r="M12" i="64"/>
  <c r="I13" i="64" s="1"/>
  <c r="I14" i="64" s="1"/>
  <c r="C14" i="64"/>
  <c r="G13" i="64"/>
  <c r="A102" i="70"/>
  <c r="C103" i="70" s="1"/>
  <c r="A103" i="70"/>
  <c r="K13" i="64" l="1"/>
  <c r="A13" i="64"/>
  <c r="A14" i="64" s="1"/>
  <c r="G14" i="64"/>
  <c r="K14" i="64" s="1"/>
  <c r="C15" i="64"/>
  <c r="A105" i="70"/>
  <c r="I15" i="64"/>
  <c r="C16" i="64" l="1"/>
  <c r="G15" i="64"/>
  <c r="K15" i="64" s="1"/>
  <c r="A15" i="64"/>
  <c r="G16" i="64" l="1"/>
  <c r="C17" i="64"/>
  <c r="M15" i="64"/>
  <c r="I16" i="64" s="1"/>
  <c r="I17" i="64" s="1"/>
  <c r="I18" i="64" s="1"/>
  <c r="G17" i="64" l="1"/>
  <c r="K17" i="64" s="1"/>
  <c r="C18" i="64"/>
  <c r="A16" i="64"/>
  <c r="K16" i="64"/>
  <c r="C22" i="64" l="1"/>
  <c r="G18" i="64"/>
  <c r="A17" i="64"/>
  <c r="A18" i="64" s="1"/>
  <c r="G22" i="64" l="1"/>
  <c r="C23" i="64"/>
  <c r="K18" i="64"/>
  <c r="M18" i="64" s="1"/>
  <c r="I20" i="64" s="1"/>
  <c r="I22" i="64" s="1"/>
  <c r="C24" i="64" l="1"/>
  <c r="G23" i="64"/>
  <c r="K22" i="64"/>
  <c r="A20" i="64"/>
  <c r="A22" i="64" s="1"/>
  <c r="I23" i="64"/>
  <c r="C25" i="64" l="1"/>
  <c r="G24" i="64"/>
  <c r="A23" i="64"/>
  <c r="I24" i="64"/>
  <c r="K23" i="64"/>
  <c r="C26" i="64" l="1"/>
  <c r="G25" i="64"/>
  <c r="K24" i="64"/>
  <c r="M24" i="64" s="1"/>
  <c r="I25" i="64" s="1"/>
  <c r="A24" i="64"/>
  <c r="C27" i="64" l="1"/>
  <c r="G26" i="64"/>
  <c r="I26" i="64"/>
  <c r="I27" i="64" s="1"/>
  <c r="G27" i="64" l="1"/>
  <c r="K27" i="64" s="1"/>
  <c r="C28" i="64"/>
  <c r="A25" i="64"/>
  <c r="A26" i="64" s="1"/>
  <c r="A27" i="64" s="1"/>
  <c r="K25" i="64"/>
  <c r="K26" i="64"/>
  <c r="G28" i="64" l="1"/>
  <c r="C29" i="64"/>
  <c r="M27" i="64"/>
  <c r="I28" i="64" s="1"/>
  <c r="I29" i="64" s="1"/>
  <c r="G29" i="64" l="1"/>
  <c r="K29" i="64" s="1"/>
  <c r="C30" i="64"/>
  <c r="A28" i="64"/>
  <c r="A29" i="64" s="1"/>
  <c r="K28" i="64"/>
  <c r="I30" i="64"/>
  <c r="C31" i="64" l="1"/>
  <c r="G30" i="64"/>
  <c r="K30" i="64" s="1"/>
  <c r="M30" i="64" s="1"/>
  <c r="A30" i="64"/>
  <c r="G31" i="64" l="1"/>
  <c r="C32" i="64"/>
  <c r="G32" i="64" s="1"/>
  <c r="I31" i="64"/>
  <c r="K31" i="64" l="1"/>
  <c r="C33" i="64"/>
  <c r="A31" i="64"/>
  <c r="I32" i="64"/>
  <c r="I33" i="64" s="1"/>
  <c r="G33" i="64" l="1"/>
  <c r="K33" i="64" s="1"/>
  <c r="C41" i="64"/>
  <c r="G41" i="64" s="1"/>
  <c r="K32" i="64"/>
  <c r="A32" i="64"/>
  <c r="A33" i="64" s="1"/>
  <c r="C42" i="64" l="1"/>
  <c r="M33" i="64"/>
  <c r="I35" i="64" s="1"/>
  <c r="G42" i="64" l="1"/>
  <c r="C43" i="64"/>
  <c r="I37" i="64"/>
  <c r="I39" i="64" s="1"/>
  <c r="I56" i="64" s="1"/>
  <c r="I58" i="64" s="1"/>
  <c r="A35" i="64"/>
  <c r="I41" i="64" l="1"/>
  <c r="G43" i="64"/>
  <c r="C44" i="64"/>
  <c r="A37" i="64"/>
  <c r="A38" i="64" s="1"/>
  <c r="A39" i="64" s="1"/>
  <c r="I42" i="64" l="1"/>
  <c r="I43" i="64" s="1"/>
  <c r="K43" i="64" s="1"/>
  <c r="K41" i="64"/>
  <c r="C45" i="64"/>
  <c r="G44" i="64"/>
  <c r="A41" i="64"/>
  <c r="A42" i="64" s="1"/>
  <c r="K42" i="64" l="1"/>
  <c r="M43" i="64" s="1"/>
  <c r="I44" i="64" s="1"/>
  <c r="I45" i="64" s="1"/>
  <c r="C46" i="64"/>
  <c r="G45" i="64"/>
  <c r="A43" i="64"/>
  <c r="G46" i="64" l="1"/>
  <c r="C47" i="64"/>
  <c r="A44" i="64"/>
  <c r="A45" i="64" s="1"/>
  <c r="K44" i="64"/>
  <c r="I46" i="64"/>
  <c r="K45" i="64"/>
  <c r="G47" i="64" l="1"/>
  <c r="C48" i="64"/>
  <c r="K46" i="64"/>
  <c r="M46" i="64" s="1"/>
  <c r="I47" i="64" s="1"/>
  <c r="A46" i="64"/>
  <c r="C49" i="64" l="1"/>
  <c r="G48" i="64"/>
  <c r="K47" i="64"/>
  <c r="I48" i="64"/>
  <c r="A47" i="64"/>
  <c r="C50" i="64" l="1"/>
  <c r="G49" i="64"/>
  <c r="A48" i="64"/>
  <c r="K48" i="64"/>
  <c r="I49" i="64"/>
  <c r="C51" i="64" l="1"/>
  <c r="G50" i="64"/>
  <c r="K49" i="64"/>
  <c r="M49" i="64" s="1"/>
  <c r="I50" i="64" s="1"/>
  <c r="A49" i="64"/>
  <c r="C52" i="64" l="1"/>
  <c r="G52" i="64" s="1"/>
  <c r="G51" i="64"/>
  <c r="I51" i="64"/>
  <c r="K50" i="64"/>
  <c r="A50" i="64"/>
  <c r="A51" i="64" l="1"/>
  <c r="I52" i="64"/>
  <c r="K51" i="64"/>
  <c r="K52" i="64" l="1"/>
  <c r="A52" i="64"/>
  <c r="M52" i="64" l="1"/>
  <c r="A54" i="64" s="1"/>
  <c r="A56" i="64" s="1"/>
  <c r="A57" i="64" s="1"/>
  <c r="A58" i="64" s="1"/>
  <c r="A61" i="64" l="1"/>
  <c r="A62" i="64" s="1"/>
  <c r="A63" i="64" s="1"/>
  <c r="G64" i="64" s="1"/>
  <c r="A64" i="64" s="1"/>
  <c r="A65" i="64" s="1"/>
  <c r="F5" i="60" l="1"/>
  <c r="H5" i="60" s="1"/>
  <c r="J5" i="60" s="1"/>
  <c r="L5" i="60" s="1"/>
  <c r="B9" i="60"/>
  <c r="B10" i="60" s="1"/>
  <c r="I61" i="64" l="1"/>
  <c r="B11" i="60"/>
  <c r="B12" i="60" s="1"/>
  <c r="A11" i="61"/>
  <c r="G5" i="59"/>
  <c r="I5" i="59" s="1"/>
  <c r="K5" i="59" s="1"/>
  <c r="M5" i="59" s="1"/>
  <c r="O5" i="59" s="1"/>
  <c r="Q5" i="59" s="1"/>
  <c r="S5" i="59" s="1"/>
  <c r="U5" i="59" s="1"/>
  <c r="W5" i="59" s="1"/>
  <c r="I179" i="1"/>
  <c r="B13" i="60" l="1"/>
  <c r="B14" i="60" s="1"/>
  <c r="A12" i="61"/>
  <c r="C14" i="61" s="1"/>
  <c r="A14" i="61"/>
  <c r="A8" i="59"/>
  <c r="D14" i="1" l="1"/>
  <c r="B15" i="60"/>
  <c r="A9" i="59"/>
  <c r="A10" i="59" s="1"/>
  <c r="A11" i="59" s="1"/>
  <c r="E15" i="57"/>
  <c r="A15" i="57"/>
  <c r="E5" i="57"/>
  <c r="G5" i="57" s="1"/>
  <c r="I5" i="57" s="1"/>
  <c r="K5" i="57" s="1"/>
  <c r="M5" i="57" s="1"/>
  <c r="O5" i="57" s="1"/>
  <c r="Q5" i="57" s="1"/>
  <c r="S5" i="57" s="1"/>
  <c r="U5" i="57" s="1"/>
  <c r="W5" i="57" s="1"/>
  <c r="Y5" i="57" s="1"/>
  <c r="AA5" i="57" s="1"/>
  <c r="AC5" i="57" s="1"/>
  <c r="AE5" i="57" s="1"/>
  <c r="AG5" i="57" s="1"/>
  <c r="AI5" i="57" s="1"/>
  <c r="AK5" i="57" s="1"/>
  <c r="AM5" i="57" s="1"/>
  <c r="AO5" i="57" s="1"/>
  <c r="AQ5" i="57" s="1"/>
  <c r="AS5" i="57" s="1"/>
  <c r="AU5" i="57" s="1"/>
  <c r="AW5" i="57" s="1"/>
  <c r="AY5" i="57" s="1"/>
  <c r="BA5" i="57" s="1"/>
  <c r="AO7" i="57"/>
  <c r="AM7" i="57"/>
  <c r="AK7" i="57"/>
  <c r="AI7" i="57"/>
  <c r="AG7" i="57"/>
  <c r="AE7" i="57"/>
  <c r="AC7" i="57"/>
  <c r="AA7" i="57"/>
  <c r="Y7" i="57"/>
  <c r="W7" i="57"/>
  <c r="U7" i="57"/>
  <c r="S7" i="57"/>
  <c r="B16" i="60" l="1"/>
  <c r="A12" i="59"/>
  <c r="A13" i="59" s="1"/>
  <c r="A16" i="57"/>
  <c r="B17" i="60" l="1"/>
  <c r="O15" i="57"/>
  <c r="A18" i="61"/>
  <c r="A14" i="59"/>
  <c r="A20" i="56"/>
  <c r="AW13" i="57" l="1"/>
  <c r="AY13" i="57" s="1"/>
  <c r="B18" i="60"/>
  <c r="AE12" i="57"/>
  <c r="Q15" i="57"/>
  <c r="A19" i="61"/>
  <c r="C21" i="61" s="1"/>
  <c r="A21" i="56"/>
  <c r="C132" i="1"/>
  <c r="AU13" i="57"/>
  <c r="A21" i="61"/>
  <c r="A15" i="59"/>
  <c r="A17" i="54"/>
  <c r="A20" i="54" s="1"/>
  <c r="AE44" i="55"/>
  <c r="AC44" i="55"/>
  <c r="AA44" i="55"/>
  <c r="Y44" i="55"/>
  <c r="W44" i="55"/>
  <c r="U44" i="55"/>
  <c r="S44" i="55"/>
  <c r="Q44" i="55"/>
  <c r="O44" i="55"/>
  <c r="M44" i="55"/>
  <c r="K44" i="55"/>
  <c r="I44" i="55"/>
  <c r="G44" i="55"/>
  <c r="AG43" i="55"/>
  <c r="AK43" i="55" s="1"/>
  <c r="AG42" i="55"/>
  <c r="AK42" i="55" s="1"/>
  <c r="AE38" i="55"/>
  <c r="AC38" i="55"/>
  <c r="AA38" i="55"/>
  <c r="Y38" i="55"/>
  <c r="W38" i="55"/>
  <c r="U38" i="55"/>
  <c r="S38" i="55"/>
  <c r="Q38" i="55"/>
  <c r="O38" i="55"/>
  <c r="M38" i="55"/>
  <c r="K38" i="55"/>
  <c r="I38" i="55"/>
  <c r="G38" i="55"/>
  <c r="AG37" i="55"/>
  <c r="AK37" i="55" s="1"/>
  <c r="AE32" i="55"/>
  <c r="AC32" i="55"/>
  <c r="AA32" i="55"/>
  <c r="Y32" i="55"/>
  <c r="W32" i="55"/>
  <c r="U32" i="55"/>
  <c r="S32" i="55"/>
  <c r="Q32" i="55"/>
  <c r="O32" i="55"/>
  <c r="M32" i="55"/>
  <c r="K32" i="55"/>
  <c r="I32" i="55"/>
  <c r="G32" i="55"/>
  <c r="AG31" i="55"/>
  <c r="AK31" i="55" s="1"/>
  <c r="AG30" i="55"/>
  <c r="AK30" i="55" s="1"/>
  <c r="AE26" i="55"/>
  <c r="AC26" i="55"/>
  <c r="AA26" i="55"/>
  <c r="Y26" i="55"/>
  <c r="W26" i="55"/>
  <c r="U26" i="55"/>
  <c r="S26" i="55"/>
  <c r="Q26" i="55"/>
  <c r="O26" i="55"/>
  <c r="M26" i="55"/>
  <c r="K26" i="55"/>
  <c r="I26" i="55"/>
  <c r="G26" i="55"/>
  <c r="AG25" i="55"/>
  <c r="AE20" i="55"/>
  <c r="AC20" i="55"/>
  <c r="AA20" i="55"/>
  <c r="Y20" i="55"/>
  <c r="W20" i="55"/>
  <c r="U20" i="55"/>
  <c r="S20" i="55"/>
  <c r="Q20" i="55"/>
  <c r="O20" i="55"/>
  <c r="M20" i="55"/>
  <c r="K20" i="55"/>
  <c r="I20" i="55"/>
  <c r="G20" i="55"/>
  <c r="AG19" i="55"/>
  <c r="AK19" i="55" s="1"/>
  <c r="AG18" i="55"/>
  <c r="A14" i="55"/>
  <c r="A16" i="55" s="1"/>
  <c r="AK25" i="55" l="1"/>
  <c r="AK26" i="55" s="1"/>
  <c r="AK18" i="55"/>
  <c r="AK20" i="55" s="1"/>
  <c r="AK32" i="55"/>
  <c r="AK44" i="55"/>
  <c r="AG20" i="55"/>
  <c r="AG12" i="57"/>
  <c r="AI12" i="57" s="1"/>
  <c r="U15" i="57"/>
  <c r="S15" i="57"/>
  <c r="B19" i="60"/>
  <c r="B20" i="60" s="1"/>
  <c r="B25" i="60" s="1"/>
  <c r="B26" i="60" s="1"/>
  <c r="B27" i="60" s="1"/>
  <c r="B28" i="60" s="1"/>
  <c r="B29" i="60" s="1"/>
  <c r="B30" i="60" s="1"/>
  <c r="B31" i="60" s="1"/>
  <c r="B32" i="60" s="1"/>
  <c r="B33" i="60" s="1"/>
  <c r="B34" i="60" s="1"/>
  <c r="B35" i="60" s="1"/>
  <c r="B36" i="60" s="1"/>
  <c r="B37" i="60" s="1"/>
  <c r="A18" i="55"/>
  <c r="AG44" i="55"/>
  <c r="AG38" i="55"/>
  <c r="A16" i="59"/>
  <c r="W15" i="57"/>
  <c r="AG32" i="55"/>
  <c r="AG26" i="55"/>
  <c r="AC14" i="55"/>
  <c r="AA14" i="55"/>
  <c r="Y14" i="55"/>
  <c r="W14" i="55"/>
  <c r="U14" i="55"/>
  <c r="S14" i="55"/>
  <c r="Q14" i="55"/>
  <c r="O14" i="55"/>
  <c r="M14" i="55"/>
  <c r="K14" i="55"/>
  <c r="I14" i="55"/>
  <c r="G14" i="55"/>
  <c r="AG13" i="55"/>
  <c r="AK13" i="55" s="1"/>
  <c r="AK14" i="55" s="1"/>
  <c r="AE7" i="55"/>
  <c r="AC7" i="55"/>
  <c r="AA7" i="55"/>
  <c r="Y7" i="55"/>
  <c r="W7" i="55"/>
  <c r="U7" i="55"/>
  <c r="S7" i="55"/>
  <c r="Q7" i="55"/>
  <c r="O7" i="55"/>
  <c r="M7" i="55"/>
  <c r="K7" i="55"/>
  <c r="I7" i="55"/>
  <c r="K7" i="54"/>
  <c r="M7" i="54"/>
  <c r="O7" i="54"/>
  <c r="Q7" i="54"/>
  <c r="S7" i="54"/>
  <c r="U7" i="54"/>
  <c r="W7" i="54"/>
  <c r="Y7" i="54"/>
  <c r="AA7" i="54"/>
  <c r="AC7" i="54"/>
  <c r="AE7" i="54"/>
  <c r="AG7" i="54"/>
  <c r="K14" i="54"/>
  <c r="M14" i="54"/>
  <c r="O14" i="54"/>
  <c r="Q14" i="54"/>
  <c r="S14" i="54"/>
  <c r="U14" i="54"/>
  <c r="W14" i="54"/>
  <c r="Y14" i="54"/>
  <c r="AA14" i="54"/>
  <c r="AC14" i="54"/>
  <c r="AE14" i="54"/>
  <c r="AG14" i="54"/>
  <c r="AG14" i="55" l="1"/>
  <c r="AG46" i="55" s="1"/>
  <c r="A20" i="55"/>
  <c r="A22" i="55" s="1"/>
  <c r="AK12" i="57"/>
  <c r="AM12" i="57" s="1"/>
  <c r="AO12" i="57" s="1"/>
  <c r="A24" i="57"/>
  <c r="A21" i="57"/>
  <c r="G5" i="55"/>
  <c r="I5" i="55" s="1"/>
  <c r="K5" i="55" s="1"/>
  <c r="M5" i="55" s="1"/>
  <c r="O5" i="55" s="1"/>
  <c r="Q5" i="55" s="1"/>
  <c r="S5" i="55" s="1"/>
  <c r="U5" i="55" s="1"/>
  <c r="W5" i="55" s="1"/>
  <c r="Y5" i="55" s="1"/>
  <c r="AA5" i="55" s="1"/>
  <c r="AC5" i="55" s="1"/>
  <c r="AE5" i="55" s="1"/>
  <c r="AG5" i="55" s="1"/>
  <c r="AH5" i="55" s="1"/>
  <c r="AI5" i="55" s="1"/>
  <c r="AK5" i="55" s="1"/>
  <c r="A19" i="55"/>
  <c r="C20" i="55" s="1"/>
  <c r="G5" i="54"/>
  <c r="I5" i="54" s="1"/>
  <c r="K5" i="54" s="1"/>
  <c r="M5" i="54" s="1"/>
  <c r="O5" i="54" s="1"/>
  <c r="Q5" i="54" s="1"/>
  <c r="S5" i="54" s="1"/>
  <c r="U5" i="54" s="1"/>
  <c r="W5" i="54" s="1"/>
  <c r="Y5" i="54" s="1"/>
  <c r="AA5" i="54" s="1"/>
  <c r="AC5" i="54" s="1"/>
  <c r="AE5" i="54" s="1"/>
  <c r="AG5" i="54" s="1"/>
  <c r="AI5" i="54" s="1"/>
  <c r="A17" i="59"/>
  <c r="A18" i="59" s="1"/>
  <c r="A19" i="59" s="1"/>
  <c r="A20" i="59" s="1"/>
  <c r="A21" i="59" s="1"/>
  <c r="Y15" i="57"/>
  <c r="AW12" i="57" l="1"/>
  <c r="AY12" i="57" s="1"/>
  <c r="AQ12" i="57"/>
  <c r="AU12" i="57" s="1"/>
  <c r="A25" i="57"/>
  <c r="C27" i="57"/>
  <c r="A22" i="57"/>
  <c r="C24" i="57"/>
  <c r="AK5" i="54"/>
  <c r="AM5" i="54" s="1"/>
  <c r="A25" i="61"/>
  <c r="A22" i="59"/>
  <c r="A23" i="59" s="1"/>
  <c r="AA15" i="57"/>
  <c r="A24" i="55" l="1"/>
  <c r="A26" i="55"/>
  <c r="A28" i="55" s="1"/>
  <c r="AW15" i="57"/>
  <c r="AY15" i="57"/>
  <c r="AY27" i="57" s="1"/>
  <c r="D123" i="1" s="1"/>
  <c r="I123" i="1" s="1"/>
  <c r="A26" i="61"/>
  <c r="C28" i="61" s="1"/>
  <c r="A27" i="57"/>
  <c r="A28" i="61"/>
  <c r="A24" i="59"/>
  <c r="A25" i="59" s="1"/>
  <c r="A26" i="59" s="1"/>
  <c r="A27" i="59" s="1"/>
  <c r="A28" i="59" s="1"/>
  <c r="A29" i="59" s="1"/>
  <c r="A30" i="59" s="1"/>
  <c r="A31" i="59" s="1"/>
  <c r="AC15" i="57"/>
  <c r="A25" i="55" l="1"/>
  <c r="C26" i="55"/>
  <c r="A32" i="59"/>
  <c r="E32" i="59"/>
  <c r="AE15" i="57"/>
  <c r="A30" i="55" l="1"/>
  <c r="A32" i="55"/>
  <c r="A34" i="55" s="1"/>
  <c r="A38" i="59"/>
  <c r="A39" i="59" s="1"/>
  <c r="A40" i="59" s="1"/>
  <c r="A41" i="59" s="1"/>
  <c r="A42" i="59" s="1"/>
  <c r="A43" i="59" s="1"/>
  <c r="A44" i="59" s="1"/>
  <c r="A45" i="59" s="1"/>
  <c r="A46" i="59" s="1"/>
  <c r="A47" i="59" s="1"/>
  <c r="A48" i="59" s="1"/>
  <c r="A49" i="59" s="1"/>
  <c r="A50" i="59" s="1"/>
  <c r="A51" i="59" s="1"/>
  <c r="AG15" i="57"/>
  <c r="A31" i="55" l="1"/>
  <c r="C32" i="55" s="1"/>
  <c r="A52" i="59"/>
  <c r="E52" i="59"/>
  <c r="AI15" i="57"/>
  <c r="C122" i="1" l="1"/>
  <c r="U54" i="59"/>
  <c r="A36" i="55"/>
  <c r="A37" i="55" s="1"/>
  <c r="C38" i="55" s="1"/>
  <c r="A38" i="55"/>
  <c r="A40" i="55" s="1"/>
  <c r="A54" i="59"/>
  <c r="AK15" i="57"/>
  <c r="AO15" i="57" l="1"/>
  <c r="AM15" i="57"/>
  <c r="A42" i="55" l="1"/>
  <c r="A44" i="55"/>
  <c r="AQ15" i="57"/>
  <c r="AU15" i="57"/>
  <c r="A46" i="55" l="1"/>
  <c r="A48" i="55" s="1"/>
  <c r="C46" i="55"/>
  <c r="A43" i="55"/>
  <c r="C44" i="55" s="1"/>
  <c r="T12" i="39"/>
  <c r="T13" i="39"/>
  <c r="T11" i="39"/>
  <c r="T10" i="39"/>
  <c r="E12" i="39"/>
  <c r="E13" i="39"/>
  <c r="AI13" i="39" l="1"/>
  <c r="K29" i="13"/>
  <c r="Q46" i="42" l="1"/>
  <c r="Q19" i="42"/>
  <c r="K33" i="13"/>
  <c r="G191" i="1"/>
  <c r="S46" i="42" l="1"/>
  <c r="K19" i="42"/>
  <c r="G6" i="39"/>
  <c r="H6" i="39" s="1"/>
  <c r="I6" i="39" s="1"/>
  <c r="J6" i="39" s="1"/>
  <c r="C17" i="42"/>
  <c r="F44" i="47" l="1"/>
  <c r="F42" i="47"/>
  <c r="F46" i="47" l="1"/>
  <c r="E10" i="33"/>
  <c r="E12" i="33" s="1"/>
  <c r="I46" i="47" l="1"/>
  <c r="J40" i="47" l="1"/>
  <c r="F71" i="51" l="1"/>
  <c r="F69" i="51"/>
  <c r="E56" i="51"/>
  <c r="F54" i="51"/>
  <c r="F52" i="51"/>
  <c r="K31" i="51"/>
  <c r="I31" i="51"/>
  <c r="G31" i="51"/>
  <c r="E31" i="51"/>
  <c r="C31" i="51"/>
  <c r="K30" i="51"/>
  <c r="I30" i="51"/>
  <c r="G30" i="51"/>
  <c r="E30" i="51"/>
  <c r="C30" i="51"/>
  <c r="F27" i="51"/>
  <c r="H27" i="51" s="1"/>
  <c r="J27" i="51" s="1"/>
  <c r="L27" i="51" s="1"/>
  <c r="F26" i="51"/>
  <c r="H26" i="51" s="1"/>
  <c r="J26" i="51" s="1"/>
  <c r="L26" i="51" s="1"/>
  <c r="K23" i="51"/>
  <c r="I23" i="51"/>
  <c r="G23" i="51"/>
  <c r="E23" i="51"/>
  <c r="C23" i="51"/>
  <c r="K22" i="51"/>
  <c r="I22" i="51"/>
  <c r="G22" i="51"/>
  <c r="E22" i="51"/>
  <c r="C22" i="51"/>
  <c r="F19" i="51"/>
  <c r="H19" i="51" s="1"/>
  <c r="J19" i="51" s="1"/>
  <c r="L19" i="51" s="1"/>
  <c r="F18" i="51"/>
  <c r="H18" i="51" s="1"/>
  <c r="J18" i="51" s="1"/>
  <c r="L18" i="51" s="1"/>
  <c r="K15" i="51"/>
  <c r="C15" i="51"/>
  <c r="K14" i="51"/>
  <c r="C14" i="51"/>
  <c r="C13" i="51"/>
  <c r="F10" i="51"/>
  <c r="H10" i="51" s="1"/>
  <c r="J10" i="51" s="1"/>
  <c r="L10" i="51" s="1"/>
  <c r="K25" i="47"/>
  <c r="I25" i="47"/>
  <c r="G25" i="47"/>
  <c r="E25" i="47"/>
  <c r="C25" i="47"/>
  <c r="F22" i="47"/>
  <c r="H22" i="47" s="1"/>
  <c r="J22" i="47" s="1"/>
  <c r="L22" i="47" s="1"/>
  <c r="K19" i="47"/>
  <c r="I19" i="47"/>
  <c r="G19" i="47"/>
  <c r="E19" i="47"/>
  <c r="C19" i="47"/>
  <c r="F16" i="47"/>
  <c r="H16" i="47" s="1"/>
  <c r="J16" i="47" s="1"/>
  <c r="L16" i="47" s="1"/>
  <c r="J10" i="47"/>
  <c r="L10" i="47" s="1"/>
  <c r="G67" i="51" l="1"/>
  <c r="G50" i="51"/>
  <c r="H50" i="51" s="1"/>
  <c r="G42" i="47"/>
  <c r="H42" i="47" s="1"/>
  <c r="J42" i="47" s="1"/>
  <c r="G44" i="47"/>
  <c r="G54" i="51"/>
  <c r="H54" i="51" s="1"/>
  <c r="F56" i="51"/>
  <c r="G71" i="51"/>
  <c r="F73" i="51"/>
  <c r="G52" i="51"/>
  <c r="H52" i="51" s="1"/>
  <c r="J52" i="51" s="1"/>
  <c r="K52" i="51" s="1"/>
  <c r="G69" i="51"/>
  <c r="H69" i="51" s="1"/>
  <c r="G56" i="51" l="1"/>
  <c r="J54" i="51"/>
  <c r="K54" i="51" s="1"/>
  <c r="H56" i="51"/>
  <c r="I69" i="51"/>
  <c r="G46" i="47"/>
  <c r="G73" i="51"/>
  <c r="K50" i="51" l="1"/>
  <c r="K56" i="51" s="1"/>
  <c r="J56" i="51"/>
  <c r="L69" i="51"/>
  <c r="W76" i="70" l="1"/>
  <c r="M69" i="51"/>
  <c r="U77" i="70" l="1"/>
  <c r="Q47" i="42"/>
  <c r="K20" i="42" s="1"/>
  <c r="S47" i="42" l="1"/>
  <c r="U19" i="42"/>
  <c r="Q50" i="42"/>
  <c r="Q49" i="42"/>
  <c r="K22" i="42" s="1"/>
  <c r="F62" i="14" l="1"/>
  <c r="I62" i="13"/>
  <c r="F62" i="13"/>
  <c r="G62" i="13"/>
  <c r="I41" i="13"/>
  <c r="E41" i="13"/>
  <c r="F41" i="13"/>
  <c r="H41" i="13"/>
  <c r="F62" i="1"/>
  <c r="A47" i="42" l="1"/>
  <c r="A48" i="42"/>
  <c r="A49" i="42"/>
  <c r="A46" i="42"/>
  <c r="I32" i="1" l="1"/>
  <c r="A11" i="39" l="1"/>
  <c r="C11" i="39"/>
  <c r="D11" i="39"/>
  <c r="A12" i="39"/>
  <c r="C12" i="39"/>
  <c r="D12" i="39"/>
  <c r="A13" i="39"/>
  <c r="C13" i="39"/>
  <c r="D13" i="39"/>
  <c r="D10" i="39"/>
  <c r="C10" i="39"/>
  <c r="I20" i="14" l="1"/>
  <c r="I19" i="14"/>
  <c r="I18" i="14"/>
  <c r="I17" i="14"/>
  <c r="I16" i="14"/>
  <c r="I15" i="14"/>
  <c r="I14" i="14"/>
  <c r="I13" i="14"/>
  <c r="I12" i="14"/>
  <c r="I11" i="14"/>
  <c r="I10" i="14"/>
  <c r="I9" i="14"/>
  <c r="I8" i="14"/>
  <c r="H20" i="14"/>
  <c r="H19" i="14"/>
  <c r="H18" i="14"/>
  <c r="H17" i="14"/>
  <c r="H16" i="14"/>
  <c r="H15" i="14"/>
  <c r="H14" i="14"/>
  <c r="H13" i="14"/>
  <c r="H12" i="14"/>
  <c r="H11" i="14"/>
  <c r="H10" i="14"/>
  <c r="H9" i="14"/>
  <c r="H8" i="14"/>
  <c r="G20" i="14"/>
  <c r="G19" i="14"/>
  <c r="G18" i="14"/>
  <c r="G17" i="14"/>
  <c r="G16" i="14"/>
  <c r="G15" i="14"/>
  <c r="G14" i="14"/>
  <c r="G13" i="14"/>
  <c r="G12" i="14"/>
  <c r="G11" i="14"/>
  <c r="G10" i="14"/>
  <c r="G9" i="14"/>
  <c r="G8" i="14"/>
  <c r="E20" i="14"/>
  <c r="E19" i="14"/>
  <c r="E18" i="14"/>
  <c r="E17" i="14"/>
  <c r="E16" i="14"/>
  <c r="E15" i="14"/>
  <c r="E14" i="14"/>
  <c r="E13" i="14"/>
  <c r="E12" i="14"/>
  <c r="E11" i="14"/>
  <c r="E10" i="14"/>
  <c r="E9" i="14"/>
  <c r="E8" i="14"/>
  <c r="I62" i="14"/>
  <c r="H62" i="14"/>
  <c r="G62" i="14"/>
  <c r="E62" i="14"/>
  <c r="C48" i="14"/>
  <c r="C49" i="14" s="1"/>
  <c r="C50" i="14" s="1"/>
  <c r="C51" i="14" s="1"/>
  <c r="C52" i="14" s="1"/>
  <c r="C53" i="14" s="1"/>
  <c r="C54" i="14" s="1"/>
  <c r="C55" i="14" s="1"/>
  <c r="C56" i="14" s="1"/>
  <c r="C57" i="14" s="1"/>
  <c r="C58" i="14" s="1"/>
  <c r="C59" i="14" s="1"/>
  <c r="C60" i="14" s="1"/>
  <c r="I20" i="13"/>
  <c r="I19" i="13"/>
  <c r="I18" i="13"/>
  <c r="I17" i="13"/>
  <c r="I16" i="13"/>
  <c r="I15" i="13"/>
  <c r="I14" i="13"/>
  <c r="I13" i="13"/>
  <c r="I12" i="13"/>
  <c r="I11" i="13"/>
  <c r="I10" i="13"/>
  <c r="I9" i="13"/>
  <c r="I8" i="13"/>
  <c r="H20" i="13"/>
  <c r="H19" i="13"/>
  <c r="H18" i="13"/>
  <c r="H17" i="13"/>
  <c r="H16" i="13"/>
  <c r="H15" i="13"/>
  <c r="H14" i="13"/>
  <c r="H13" i="13"/>
  <c r="H12" i="13"/>
  <c r="H11" i="13"/>
  <c r="H10" i="13"/>
  <c r="H9" i="13"/>
  <c r="H8" i="13"/>
  <c r="G20" i="13"/>
  <c r="G19" i="13"/>
  <c r="G18" i="13"/>
  <c r="G17" i="13"/>
  <c r="G16" i="13"/>
  <c r="G15" i="13"/>
  <c r="G14" i="13"/>
  <c r="G13" i="13"/>
  <c r="G12" i="13"/>
  <c r="G11" i="13"/>
  <c r="G10" i="13"/>
  <c r="G9" i="13"/>
  <c r="G8" i="13"/>
  <c r="E20" i="13"/>
  <c r="E19" i="13"/>
  <c r="E18" i="13"/>
  <c r="E17" i="13"/>
  <c r="E16" i="13"/>
  <c r="E15" i="13"/>
  <c r="E14" i="13"/>
  <c r="E13" i="13"/>
  <c r="E12" i="13"/>
  <c r="E11" i="13"/>
  <c r="E10" i="13"/>
  <c r="E9" i="13"/>
  <c r="H62" i="13"/>
  <c r="E62" i="13"/>
  <c r="H22" i="13" l="1"/>
  <c r="E22" i="13"/>
  <c r="H22" i="14"/>
  <c r="I22" i="14"/>
  <c r="G22" i="14"/>
  <c r="H66" i="5" l="1"/>
  <c r="E66" i="5"/>
  <c r="Q20" i="42" l="1"/>
  <c r="Q22" i="42"/>
  <c r="I20" i="42"/>
  <c r="I22" i="42"/>
  <c r="Q48" i="42"/>
  <c r="S48" i="42" s="1"/>
  <c r="Q25" i="42" l="1"/>
  <c r="S20" i="42" s="1"/>
  <c r="K23" i="42"/>
  <c r="S49" i="42"/>
  <c r="Y49" i="42" s="1"/>
  <c r="U22" i="42" s="1"/>
  <c r="Y48" i="42"/>
  <c r="Y47" i="42"/>
  <c r="U20" i="42" s="1"/>
  <c r="S23" i="42" l="1"/>
  <c r="S24" i="42"/>
  <c r="W24" i="42" s="1"/>
  <c r="K41" i="1"/>
  <c r="K109" i="1" s="1"/>
  <c r="K161" i="1" s="1"/>
  <c r="K225" i="1" s="1"/>
  <c r="AI1" i="39"/>
  <c r="J10" i="22" l="1"/>
  <c r="J12" i="22"/>
  <c r="J14" i="22"/>
  <c r="J15" i="22"/>
  <c r="J17" i="22"/>
  <c r="J18" i="22"/>
  <c r="J19" i="22"/>
  <c r="J20" i="22"/>
  <c r="I23" i="22"/>
  <c r="E65" i="5" l="1"/>
  <c r="AI12" i="39" l="1"/>
  <c r="H65" i="5" s="1"/>
  <c r="C27" i="14" l="1"/>
  <c r="C48" i="13"/>
  <c r="C27" i="13"/>
  <c r="U6" i="39"/>
  <c r="H23" i="22"/>
  <c r="I19" i="31" s="1"/>
  <c r="V6" i="39" l="1"/>
  <c r="W6" i="39"/>
  <c r="X6" i="39" l="1"/>
  <c r="K6" i="39" l="1"/>
  <c r="Y6" i="39"/>
  <c r="L6" i="39" l="1"/>
  <c r="Z6" i="39"/>
  <c r="M6" i="39" l="1"/>
  <c r="AA6" i="39"/>
  <c r="N6" i="39" l="1"/>
  <c r="AB6" i="39"/>
  <c r="O6" i="39" l="1"/>
  <c r="AC6" i="39"/>
  <c r="P6" i="39" l="1"/>
  <c r="AD6" i="39"/>
  <c r="Q6" i="39" l="1"/>
  <c r="AE6" i="39"/>
  <c r="R6" i="39" l="1"/>
  <c r="AG6" i="39" s="1"/>
  <c r="AF6" i="39"/>
  <c r="I19" i="42" l="1"/>
  <c r="W23" i="42" l="1"/>
  <c r="S22" i="42"/>
  <c r="W22" i="42" s="1"/>
  <c r="S19" i="42"/>
  <c r="S21" i="42"/>
  <c r="W21" i="42" s="1"/>
  <c r="W20" i="42"/>
  <c r="S25" i="42" l="1"/>
  <c r="W19" i="42"/>
  <c r="W25" i="42" s="1"/>
  <c r="G202" i="1" l="1"/>
  <c r="T1" i="39"/>
  <c r="S47" i="5"/>
  <c r="S3" i="5"/>
  <c r="E64" i="5"/>
  <c r="AI11" i="39" l="1"/>
  <c r="H64" i="5" s="1"/>
  <c r="AI10" i="39"/>
  <c r="H63" i="5" s="1"/>
  <c r="S49" i="5"/>
  <c r="S3" i="39"/>
  <c r="AI3" i="39" l="1"/>
  <c r="M3" i="6"/>
  <c r="K3" i="71" l="1"/>
  <c r="J3" i="60" s="1"/>
  <c r="AK3" i="54" s="1"/>
  <c r="AH3" i="55" s="1"/>
  <c r="I3" i="67" s="1"/>
  <c r="Y3" i="68" s="1"/>
  <c r="I3" i="72" s="1"/>
  <c r="AT3" i="65" s="1"/>
  <c r="I3" i="61" s="1"/>
  <c r="AZ3" i="57" s="1"/>
  <c r="V3" i="59" s="1"/>
  <c r="K3" i="64"/>
  <c r="F9" i="14"/>
  <c r="F10" i="14"/>
  <c r="F11" i="14"/>
  <c r="F12" i="14"/>
  <c r="F13" i="14"/>
  <c r="F14" i="14"/>
  <c r="F15" i="14"/>
  <c r="F16" i="14"/>
  <c r="F17" i="14"/>
  <c r="F18" i="14"/>
  <c r="F19" i="14"/>
  <c r="F20" i="14"/>
  <c r="F8" i="14"/>
  <c r="C10" i="14"/>
  <c r="C11" i="14" s="1"/>
  <c r="C12" i="14" s="1"/>
  <c r="C13" i="14" s="1"/>
  <c r="C14" i="14" s="1"/>
  <c r="C15" i="14" s="1"/>
  <c r="C16" i="14" s="1"/>
  <c r="C17" i="14" s="1"/>
  <c r="C18" i="14" s="1"/>
  <c r="C19" i="14" s="1"/>
  <c r="C20" i="14" s="1"/>
  <c r="F9" i="13"/>
  <c r="F10" i="13"/>
  <c r="F11" i="13"/>
  <c r="F12" i="13"/>
  <c r="F13" i="13"/>
  <c r="K13" i="13" s="1"/>
  <c r="F14" i="13"/>
  <c r="F15" i="13"/>
  <c r="F16" i="13"/>
  <c r="F17" i="13"/>
  <c r="K17" i="13" s="1"/>
  <c r="F18" i="13"/>
  <c r="F19" i="13"/>
  <c r="F20" i="13"/>
  <c r="F8" i="13"/>
  <c r="K8" i="13" s="1"/>
  <c r="G22" i="13"/>
  <c r="D55" i="1" s="1"/>
  <c r="C9" i="13"/>
  <c r="C10" i="13" s="1"/>
  <c r="C11" i="13" s="1"/>
  <c r="C12" i="13" s="1"/>
  <c r="C13" i="13" s="1"/>
  <c r="C14" i="13" s="1"/>
  <c r="C15" i="13" s="1"/>
  <c r="C16" i="13" s="1"/>
  <c r="C17" i="13" s="1"/>
  <c r="C18" i="13" s="1"/>
  <c r="C19" i="13" s="1"/>
  <c r="C20" i="13" s="1"/>
  <c r="F22" i="13" l="1"/>
  <c r="D54" i="1" s="1"/>
  <c r="I171" i="1" s="1"/>
  <c r="D53" i="1"/>
  <c r="D62" i="1"/>
  <c r="K15" i="13"/>
  <c r="K13" i="14"/>
  <c r="K19" i="14"/>
  <c r="K17" i="14"/>
  <c r="K11" i="14"/>
  <c r="K9" i="14"/>
  <c r="I22" i="13"/>
  <c r="K18" i="13"/>
  <c r="K14" i="13"/>
  <c r="K10" i="13"/>
  <c r="K11" i="13"/>
  <c r="K9" i="13"/>
  <c r="K19" i="13"/>
  <c r="K18" i="14"/>
  <c r="K14" i="14"/>
  <c r="K10" i="14"/>
  <c r="K15" i="14"/>
  <c r="D63" i="1"/>
  <c r="K20" i="14"/>
  <c r="K16" i="14"/>
  <c r="K12" i="14"/>
  <c r="F22" i="14"/>
  <c r="D61" i="1" s="1"/>
  <c r="K8" i="14"/>
  <c r="E22" i="14"/>
  <c r="D60" i="1" s="1"/>
  <c r="K20" i="13"/>
  <c r="K16" i="13"/>
  <c r="K12" i="13"/>
  <c r="I174" i="1" l="1"/>
  <c r="I175" i="1" s="1"/>
  <c r="E189" i="1" s="1"/>
  <c r="G189" i="1" s="1"/>
  <c r="D64" i="1"/>
  <c r="K22" i="13"/>
  <c r="D56" i="1"/>
  <c r="D57" i="1" s="1"/>
  <c r="K22" i="14"/>
  <c r="A7" i="33"/>
  <c r="A8" i="33" s="1"/>
  <c r="G192" i="1" l="1"/>
  <c r="I192" i="1" s="1"/>
  <c r="I183" i="1"/>
  <c r="A9" i="33"/>
  <c r="A10" i="33" s="1"/>
  <c r="A11" i="33" s="1"/>
  <c r="A12" i="33" s="1"/>
  <c r="A14" i="33" s="1"/>
  <c r="A15" i="33" s="1"/>
  <c r="G11" i="70"/>
  <c r="I15" i="56"/>
  <c r="I13" i="56"/>
  <c r="I14" i="56"/>
  <c r="I12" i="56"/>
  <c r="K15" i="56" l="1"/>
  <c r="K13" i="56"/>
  <c r="K14" i="56"/>
  <c r="G127" i="1"/>
  <c r="I14" i="1"/>
  <c r="I14" i="31"/>
  <c r="A14" i="31" l="1"/>
  <c r="A17" i="31" l="1"/>
  <c r="A18" i="31" s="1"/>
  <c r="A19" i="31" s="1"/>
  <c r="A20" i="31" s="1"/>
  <c r="A21" i="31" s="1"/>
  <c r="A25" i="31" s="1"/>
  <c r="A26" i="31" s="1"/>
  <c r="A27" i="31" s="1"/>
  <c r="A28" i="31" s="1"/>
  <c r="A30" i="31" s="1"/>
  <c r="A31" i="31" s="1"/>
  <c r="A32" i="31" l="1"/>
  <c r="A34" i="31" l="1"/>
  <c r="A35" i="31" l="1"/>
  <c r="A36" i="31" l="1"/>
  <c r="A38" i="31" l="1"/>
  <c r="A39" i="31" l="1"/>
  <c r="A40" i="31" s="1"/>
  <c r="A41" i="31" s="1"/>
  <c r="G41" i="31" l="1"/>
  <c r="A43" i="31"/>
  <c r="G43" i="31"/>
  <c r="A48" i="31" l="1"/>
  <c r="A49" i="31" s="1"/>
  <c r="G23" i="22" l="1"/>
  <c r="I20" i="31" s="1"/>
  <c r="F23" i="22"/>
  <c r="E23" i="22"/>
  <c r="I17" i="31" s="1"/>
  <c r="C10" i="22"/>
  <c r="C11" i="22" s="1"/>
  <c r="C12" i="22" s="1"/>
  <c r="C13" i="22" s="1"/>
  <c r="C14" i="22" s="1"/>
  <c r="C15" i="22" s="1"/>
  <c r="C16" i="22" s="1"/>
  <c r="C17" i="22" s="1"/>
  <c r="C18" i="22" s="1"/>
  <c r="C19" i="22" s="1"/>
  <c r="C20" i="22" s="1"/>
  <c r="C21" i="22" s="1"/>
  <c r="C49" i="13"/>
  <c r="C50" i="13" s="1"/>
  <c r="C51" i="13" s="1"/>
  <c r="C52" i="13" s="1"/>
  <c r="C53" i="13" s="1"/>
  <c r="C54" i="13" s="1"/>
  <c r="C55" i="13" s="1"/>
  <c r="C56" i="13" s="1"/>
  <c r="C57" i="13" s="1"/>
  <c r="C58" i="13" s="1"/>
  <c r="C59" i="13" s="1"/>
  <c r="C60" i="13" s="1"/>
  <c r="I41" i="14"/>
  <c r="F41" i="14"/>
  <c r="E41" i="14"/>
  <c r="K39" i="14"/>
  <c r="K38" i="14"/>
  <c r="K37" i="14"/>
  <c r="K36" i="14"/>
  <c r="K35" i="14"/>
  <c r="K34" i="14"/>
  <c r="K33" i="14"/>
  <c r="K32" i="14"/>
  <c r="K31" i="14"/>
  <c r="K30" i="14"/>
  <c r="K29" i="14"/>
  <c r="K27" i="14"/>
  <c r="K28" i="14"/>
  <c r="C28" i="14"/>
  <c r="C29" i="14" s="1"/>
  <c r="C30" i="14" s="1"/>
  <c r="C31" i="14" s="1"/>
  <c r="C32" i="14" s="1"/>
  <c r="C33" i="14" s="1"/>
  <c r="C34" i="14" s="1"/>
  <c r="C35" i="14" s="1"/>
  <c r="C36" i="14" s="1"/>
  <c r="C37" i="14" s="1"/>
  <c r="C38" i="14" s="1"/>
  <c r="C39" i="14" s="1"/>
  <c r="K28" i="13"/>
  <c r="K30" i="13"/>
  <c r="K32" i="13"/>
  <c r="K34" i="13"/>
  <c r="K35" i="13"/>
  <c r="K36" i="13"/>
  <c r="K37" i="13"/>
  <c r="K38" i="13"/>
  <c r="K39" i="13"/>
  <c r="G41" i="13"/>
  <c r="C28" i="13"/>
  <c r="C29" i="13" s="1"/>
  <c r="C30" i="13" s="1"/>
  <c r="C31" i="13" s="1"/>
  <c r="C32" i="13" s="1"/>
  <c r="C33" i="13" s="1"/>
  <c r="C34" i="13" s="1"/>
  <c r="C35" i="13" s="1"/>
  <c r="C36" i="13" s="1"/>
  <c r="C37" i="13" s="1"/>
  <c r="C38" i="13" s="1"/>
  <c r="C39" i="13" s="1"/>
  <c r="A56" i="5"/>
  <c r="A55" i="5"/>
  <c r="J3" i="2"/>
  <c r="M39" i="51" s="1"/>
  <c r="D10" i="2"/>
  <c r="D13" i="2" s="1"/>
  <c r="K164" i="1"/>
  <c r="K228" i="1"/>
  <c r="K112" i="1"/>
  <c r="K44" i="1"/>
  <c r="D47" i="1"/>
  <c r="B60" i="1"/>
  <c r="B67" i="1" s="1"/>
  <c r="F60" i="1"/>
  <c r="G60" i="1"/>
  <c r="B61" i="1"/>
  <c r="B68" i="1" s="1"/>
  <c r="F61" i="1"/>
  <c r="B62" i="1"/>
  <c r="B69" i="1" s="1"/>
  <c r="G62" i="1"/>
  <c r="B63" i="1"/>
  <c r="B70" i="1" s="1"/>
  <c r="D115" i="1"/>
  <c r="B127" i="1"/>
  <c r="D167" i="1"/>
  <c r="D231" i="1"/>
  <c r="I211" i="1"/>
  <c r="K23" i="22"/>
  <c r="D202" i="1" s="1"/>
  <c r="J23" i="22"/>
  <c r="D204" i="1" s="1"/>
  <c r="I25" i="31" l="1"/>
  <c r="G54" i="1"/>
  <c r="G61" i="1" s="1"/>
  <c r="M4" i="51"/>
  <c r="M4" i="47"/>
  <c r="D203" i="1"/>
  <c r="I18" i="31"/>
  <c r="I27" i="31"/>
  <c r="I21" i="31"/>
  <c r="M3" i="22"/>
  <c r="H3" i="33"/>
  <c r="K3" i="56" s="1"/>
  <c r="K3" i="14"/>
  <c r="Y3" i="70" s="1"/>
  <c r="I3" i="26"/>
  <c r="K3" i="13"/>
  <c r="K41" i="13"/>
  <c r="K3" i="31"/>
  <c r="AA3" i="42"/>
  <c r="D67" i="1"/>
  <c r="D70" i="1"/>
  <c r="K41" i="14"/>
  <c r="D69" i="1"/>
  <c r="D68" i="1"/>
  <c r="I34" i="31"/>
  <c r="I26" i="31" l="1"/>
  <c r="D205" i="1"/>
  <c r="I28" i="31" s="1"/>
  <c r="D71" i="1"/>
  <c r="I54" i="1"/>
  <c r="G203" i="1"/>
  <c r="I35" i="31" s="1"/>
  <c r="G12" i="70"/>
  <c r="AI36" i="55"/>
  <c r="G38" i="70"/>
  <c r="G13" i="70"/>
  <c r="I11" i="56"/>
  <c r="I10" i="56"/>
  <c r="G84" i="70"/>
  <c r="G15" i="70"/>
  <c r="G14" i="70"/>
  <c r="G83" i="70"/>
  <c r="G22" i="70"/>
  <c r="G23" i="70"/>
  <c r="G97" i="70"/>
  <c r="G24" i="70"/>
  <c r="G16" i="70"/>
  <c r="G82" i="70"/>
  <c r="W97" i="70" l="1"/>
  <c r="K71" i="51" s="1"/>
  <c r="W38" i="70"/>
  <c r="W24" i="70"/>
  <c r="W23" i="70"/>
  <c r="K10" i="56"/>
  <c r="W22" i="70"/>
  <c r="W16" i="70"/>
  <c r="W84" i="70"/>
  <c r="W82" i="70"/>
  <c r="W12" i="70"/>
  <c r="W13" i="70"/>
  <c r="W83" i="70"/>
  <c r="W14" i="70"/>
  <c r="W15" i="70"/>
  <c r="W11" i="70"/>
  <c r="AK36" i="55"/>
  <c r="AK38" i="55" s="1"/>
  <c r="AK46" i="55" s="1"/>
  <c r="K12" i="56"/>
  <c r="K11" i="56"/>
  <c r="O48" i="59"/>
  <c r="Q48" i="59" s="1"/>
  <c r="U48" i="59" s="1"/>
  <c r="O43" i="59"/>
  <c r="Q43" i="59" s="1"/>
  <c r="U43" i="59" s="1"/>
  <c r="O39" i="59"/>
  <c r="O45" i="59"/>
  <c r="Q45" i="59" s="1"/>
  <c r="U45" i="59" s="1"/>
  <c r="O44" i="59"/>
  <c r="Q44" i="59" s="1"/>
  <c r="U44" i="59" s="1"/>
  <c r="Q46" i="59"/>
  <c r="U46" i="59" s="1"/>
  <c r="O51" i="59"/>
  <c r="Q51" i="59" s="1"/>
  <c r="U51" i="59" s="1"/>
  <c r="O47" i="59"/>
  <c r="Q47" i="59" s="1"/>
  <c r="U47" i="59" s="1"/>
  <c r="O42" i="59"/>
  <c r="Q42" i="59" s="1"/>
  <c r="U42" i="59" s="1"/>
  <c r="O38" i="59"/>
  <c r="Q38" i="59" s="1"/>
  <c r="U38" i="59" s="1"/>
  <c r="O50" i="59"/>
  <c r="U50" i="59" s="1"/>
  <c r="O41" i="59"/>
  <c r="Q41" i="59" s="1"/>
  <c r="U41" i="59" s="1"/>
  <c r="O49" i="59"/>
  <c r="U49" i="59" s="1"/>
  <c r="O40" i="59"/>
  <c r="Q40" i="59" s="1"/>
  <c r="U40" i="59" s="1"/>
  <c r="E15" i="33"/>
  <c r="E16" i="33" s="1"/>
  <c r="E18" i="33" s="1"/>
  <c r="G56" i="1"/>
  <c r="I56" i="1" s="1"/>
  <c r="I57" i="1" s="1"/>
  <c r="G18" i="5"/>
  <c r="I61" i="1"/>
  <c r="J73" i="51" l="1"/>
  <c r="K67" i="51"/>
  <c r="K73" i="51" s="1"/>
  <c r="D75" i="1"/>
  <c r="I75" i="1" s="1"/>
  <c r="Q39" i="59"/>
  <c r="U39" i="59" s="1"/>
  <c r="U52" i="59" s="1"/>
  <c r="D121" i="1"/>
  <c r="I55" i="31"/>
  <c r="I59" i="31" s="1"/>
  <c r="I68" i="1"/>
  <c r="G63" i="1"/>
  <c r="I63" i="1" s="1"/>
  <c r="I70" i="1" s="1"/>
  <c r="G128" i="1"/>
  <c r="I128" i="1" s="1"/>
  <c r="E204" i="1"/>
  <c r="I204" i="1" s="1"/>
  <c r="E203" i="1"/>
  <c r="E202" i="1"/>
  <c r="I127" i="1"/>
  <c r="Q52" i="59" l="1"/>
  <c r="I121" i="1"/>
  <c r="G19" i="5"/>
  <c r="I71" i="1"/>
  <c r="I64" i="1"/>
  <c r="G57" i="1"/>
  <c r="I32" i="31"/>
  <c r="I40" i="31" s="1"/>
  <c r="I202" i="1"/>
  <c r="I30" i="31"/>
  <c r="I38" i="31" s="1"/>
  <c r="I203" i="1"/>
  <c r="I31" i="31"/>
  <c r="I39" i="31" s="1"/>
  <c r="G20" i="70"/>
  <c r="I18" i="56"/>
  <c r="I16" i="56"/>
  <c r="G85" i="70"/>
  <c r="I19" i="56"/>
  <c r="I17" i="56"/>
  <c r="AK17" i="54"/>
  <c r="G81" i="70"/>
  <c r="E25" i="67"/>
  <c r="AK12" i="54"/>
  <c r="K16" i="56" l="1"/>
  <c r="D122" i="1"/>
  <c r="K17" i="56"/>
  <c r="E27" i="67"/>
  <c r="E28" i="67" s="1"/>
  <c r="W20" i="70"/>
  <c r="W85" i="70"/>
  <c r="W81" i="70"/>
  <c r="AM12" i="54"/>
  <c r="AM14" i="54" s="1"/>
  <c r="K19" i="56"/>
  <c r="K18" i="56"/>
  <c r="I41" i="31"/>
  <c r="I49" i="31" s="1"/>
  <c r="AM17" i="54"/>
  <c r="AM20" i="54"/>
  <c r="I57" i="31"/>
  <c r="I205" i="1"/>
  <c r="E15" i="67" s="1"/>
  <c r="E21" i="67" s="1"/>
  <c r="W29" i="70" l="1"/>
  <c r="K20" i="56"/>
  <c r="W88" i="70"/>
  <c r="E29" i="67"/>
  <c r="D81" i="1"/>
  <c r="I81" i="1" s="1"/>
  <c r="D85" i="1"/>
  <c r="AO24" i="57"/>
  <c r="H71" i="51" l="1"/>
  <c r="I71" i="51" s="1"/>
  <c r="L71" i="51" s="1"/>
  <c r="I85" i="1"/>
  <c r="D132" i="1"/>
  <c r="O24" i="57"/>
  <c r="AW27" i="57"/>
  <c r="Q24" i="57"/>
  <c r="E73" i="51" l="1"/>
  <c r="W96" i="70"/>
  <c r="H67" i="51"/>
  <c r="I67" i="51" s="1"/>
  <c r="M71" i="51"/>
  <c r="I132" i="1"/>
  <c r="S24" i="57"/>
  <c r="K42" i="47"/>
  <c r="H73" i="51" l="1"/>
  <c r="U98" i="70"/>
  <c r="L67" i="51"/>
  <c r="I73" i="51"/>
  <c r="W77" i="70"/>
  <c r="M67" i="51" l="1"/>
  <c r="M73" i="51" s="1"/>
  <c r="W39" i="70"/>
  <c r="W24" i="57"/>
  <c r="Y24" i="57" l="1"/>
  <c r="AA24" i="57" l="1"/>
  <c r="AC24" i="57" l="1"/>
  <c r="AE24" i="57" l="1"/>
  <c r="AG24" i="57" l="1"/>
  <c r="AI24" i="57" l="1"/>
  <c r="AK24" i="57" l="1"/>
  <c r="AM24" i="57" l="1"/>
  <c r="AQ24" i="57" l="1"/>
  <c r="AQ27" i="57" s="1"/>
  <c r="AU21" i="57"/>
  <c r="I130" i="1"/>
  <c r="AU24" i="57" l="1"/>
  <c r="AU27" i="57" s="1"/>
  <c r="D76" i="1" s="1"/>
  <c r="I76" i="1" s="1"/>
  <c r="G26" i="5"/>
  <c r="G27" i="5" s="1"/>
  <c r="I27" i="5" l="1"/>
  <c r="I122" i="1" l="1"/>
  <c r="G30" i="5"/>
  <c r="G31" i="5" l="1"/>
  <c r="I31" i="5" s="1"/>
  <c r="K40" i="47"/>
  <c r="H44" i="47"/>
  <c r="E46" i="47"/>
  <c r="J44" i="47" l="1"/>
  <c r="J46" i="47" s="1"/>
  <c r="H46" i="47"/>
  <c r="K44" i="47" l="1"/>
  <c r="K46" i="47" s="1"/>
  <c r="W98" i="70" l="1"/>
  <c r="D86" i="1"/>
  <c r="AI14" i="54"/>
  <c r="I86" i="1" l="1"/>
  <c r="I181" i="1" l="1"/>
  <c r="I182" i="1" s="1"/>
  <c r="I184" i="1" s="1"/>
  <c r="K8" i="59" l="1"/>
  <c r="M8" i="59" s="1"/>
  <c r="Q8" i="59" s="1"/>
  <c r="K12" i="59"/>
  <c r="M12" i="59" s="1"/>
  <c r="Q12" i="59" s="1"/>
  <c r="K16" i="59"/>
  <c r="M16" i="59" s="1"/>
  <c r="Q16" i="59" s="1"/>
  <c r="K20" i="59"/>
  <c r="M20" i="59" s="1"/>
  <c r="Q20" i="59" s="1"/>
  <c r="K24" i="59"/>
  <c r="M24" i="59" s="1"/>
  <c r="Q24" i="59" s="1"/>
  <c r="K28" i="59"/>
  <c r="M28" i="59" s="1"/>
  <c r="Q28" i="59" s="1"/>
  <c r="K7" i="59"/>
  <c r="M7" i="59" s="1"/>
  <c r="Q7" i="59" s="1"/>
  <c r="K10" i="59"/>
  <c r="M10" i="59" s="1"/>
  <c r="Q10" i="59" s="1"/>
  <c r="K14" i="59"/>
  <c r="M14" i="59" s="1"/>
  <c r="Q14" i="59" s="1"/>
  <c r="K18" i="59"/>
  <c r="M18" i="59" s="1"/>
  <c r="Q18" i="59" s="1"/>
  <c r="K26" i="59"/>
  <c r="M26" i="59" s="1"/>
  <c r="Q26" i="59" s="1"/>
  <c r="K30" i="59"/>
  <c r="M30" i="59" s="1"/>
  <c r="Q30" i="59" s="1"/>
  <c r="K15" i="59"/>
  <c r="M15" i="59" s="1"/>
  <c r="Q15" i="59" s="1"/>
  <c r="K23" i="59"/>
  <c r="M23" i="59" s="1"/>
  <c r="Q23" i="59" s="1"/>
  <c r="K31" i="59"/>
  <c r="M31" i="59" s="1"/>
  <c r="Q31" i="59" s="1"/>
  <c r="K9" i="59"/>
  <c r="M9" i="59" s="1"/>
  <c r="Q9" i="59" s="1"/>
  <c r="K13" i="59"/>
  <c r="M13" i="59" s="1"/>
  <c r="Q13" i="59" s="1"/>
  <c r="K17" i="59"/>
  <c r="M17" i="59" s="1"/>
  <c r="Q17" i="59" s="1"/>
  <c r="K21" i="59"/>
  <c r="M21" i="59" s="1"/>
  <c r="Q21" i="59" s="1"/>
  <c r="K25" i="59"/>
  <c r="M25" i="59" s="1"/>
  <c r="Q25" i="59" s="1"/>
  <c r="K29" i="59"/>
  <c r="M29" i="59" s="1"/>
  <c r="Q29" i="59" s="1"/>
  <c r="K22" i="59"/>
  <c r="M22" i="59" s="1"/>
  <c r="Q22" i="59" s="1"/>
  <c r="K11" i="59"/>
  <c r="M11" i="59" s="1"/>
  <c r="Q11" i="59" s="1"/>
  <c r="K19" i="59"/>
  <c r="M19" i="59" s="1"/>
  <c r="Q19" i="59" s="1"/>
  <c r="K27" i="59"/>
  <c r="M27" i="59" s="1"/>
  <c r="Q27" i="59" s="1"/>
  <c r="Q32" i="59" l="1"/>
  <c r="W54" i="59" s="1"/>
  <c r="M32" i="59"/>
  <c r="D120" i="1" l="1"/>
  <c r="I120" i="1" s="1"/>
  <c r="I124" i="1" s="1"/>
  <c r="I84" i="1" s="1"/>
  <c r="D124" i="1" l="1"/>
  <c r="D84" i="1" s="1"/>
  <c r="G22" i="5"/>
  <c r="I87" i="1"/>
  <c r="D87" i="1" l="1"/>
  <c r="G23" i="5"/>
  <c r="I23" i="5" l="1"/>
  <c r="I33" i="5" l="1"/>
  <c r="F63" i="5" s="1"/>
  <c r="G63" i="5" s="1"/>
  <c r="L73" i="51"/>
  <c r="F65" i="5" l="1"/>
  <c r="G65" i="5" s="1"/>
  <c r="F64" i="5"/>
  <c r="G64" i="5" s="1"/>
  <c r="F66" i="5"/>
  <c r="G66" i="5" s="1"/>
  <c r="U40" i="70"/>
  <c r="W40" i="70"/>
  <c r="Y105" i="70" s="1"/>
  <c r="D74" i="1" l="1"/>
  <c r="D79" i="1" s="1"/>
  <c r="D89" i="1" s="1"/>
  <c r="D137" i="1" s="1"/>
  <c r="I74" i="1" l="1"/>
  <c r="I79" i="1" s="1"/>
  <c r="I89" i="1" s="1"/>
  <c r="I11" i="31" s="1"/>
  <c r="I43" i="31" s="1"/>
  <c r="I71" i="31" l="1"/>
  <c r="I137" i="1"/>
  <c r="I66" i="31" s="1"/>
  <c r="Q40" i="5"/>
  <c r="Q41" i="5" s="1"/>
  <c r="S41" i="5" s="1"/>
  <c r="I56" i="31"/>
  <c r="I60" i="31" s="1"/>
  <c r="Q36" i="5" s="1"/>
  <c r="Q37" i="5" s="1"/>
  <c r="S37" i="5" s="1"/>
  <c r="G40" i="5" l="1"/>
  <c r="G41" i="5" s="1"/>
  <c r="I41" i="5" s="1"/>
  <c r="E20" i="67"/>
  <c r="E22" i="67" s="1"/>
  <c r="E31" i="67" s="1"/>
  <c r="I64" i="31"/>
  <c r="I69" i="31" s="1"/>
  <c r="S43" i="5"/>
  <c r="D135" i="1" l="1"/>
  <c r="D140" i="1" s="1"/>
  <c r="I135" i="1" l="1"/>
  <c r="I67" i="31" s="1"/>
  <c r="I68" i="31" s="1"/>
  <c r="I70" i="31" s="1"/>
  <c r="I72" i="31" s="1"/>
  <c r="I140" i="1" l="1"/>
  <c r="G36" i="5"/>
  <c r="G37" i="5" s="1"/>
  <c r="I37" i="5" s="1"/>
  <c r="I43" i="5" s="1"/>
  <c r="I64" i="5" s="1"/>
  <c r="J64" i="5" s="1"/>
  <c r="L64" i="5" s="1"/>
  <c r="S45" i="5" l="1"/>
  <c r="M64" i="5" s="1"/>
  <c r="N64" i="5" s="1"/>
  <c r="P64" i="5" s="1"/>
  <c r="J18" i="6" s="1"/>
  <c r="I65" i="5"/>
  <c r="J65" i="5" s="1"/>
  <c r="L65" i="5" s="1"/>
  <c r="I63" i="5"/>
  <c r="I66" i="5"/>
  <c r="J66" i="5" s="1"/>
  <c r="L66" i="5" s="1"/>
  <c r="J63" i="5" l="1"/>
  <c r="L63" i="5" s="1"/>
  <c r="M65" i="5"/>
  <c r="N65" i="5" s="1"/>
  <c r="P65" i="5" s="1"/>
  <c r="J19" i="6" s="1"/>
  <c r="M63" i="5"/>
  <c r="M66" i="5"/>
  <c r="N66" i="5" s="1"/>
  <c r="P66" i="5" s="1"/>
  <c r="J20" i="6" s="1"/>
  <c r="N63" i="5" l="1"/>
  <c r="P63" i="5" s="1"/>
  <c r="J17" i="6" s="1"/>
  <c r="M80" i="5"/>
  <c r="J34" i="6" l="1"/>
  <c r="I34" i="6"/>
  <c r="I62" i="71" s="1"/>
  <c r="I63" i="71" s="1"/>
  <c r="I64" i="71" s="1"/>
  <c r="L36" i="6" s="1"/>
  <c r="N79" i="5"/>
  <c r="D15" i="1" s="1"/>
  <c r="I15" i="1" s="1"/>
  <c r="D143" i="1"/>
  <c r="D145" i="1" s="1"/>
  <c r="K17" i="6" l="1"/>
  <c r="L17" i="6" s="1"/>
  <c r="I16" i="1"/>
  <c r="I65" i="71"/>
  <c r="K19" i="6"/>
  <c r="L19" i="6" s="1"/>
  <c r="K20" i="6"/>
  <c r="L20" i="6" s="1"/>
  <c r="K18" i="6"/>
  <c r="L18" i="6" s="1"/>
  <c r="D16" i="1"/>
  <c r="I143" i="1"/>
  <c r="I145" i="1" s="1"/>
  <c r="I11" i="1" s="1"/>
  <c r="I20" i="1" l="1"/>
  <c r="L34" i="6"/>
  <c r="D33" i="1" l="1"/>
  <c r="D35" i="1" s="1"/>
  <c r="D36" i="1" s="1"/>
  <c r="I63" i="64"/>
  <c r="I64" i="64" s="1"/>
  <c r="I65" i="64" s="1"/>
  <c r="D29" i="1"/>
  <c r="I33" i="1"/>
  <c r="I37" i="1" s="1"/>
  <c r="D37" i="1" l="1"/>
  <c r="D34" i="1"/>
  <c r="I35" i="1"/>
  <c r="I36" i="1" s="1"/>
  <c r="I34" i="1"/>
</calcChain>
</file>

<file path=xl/sharedStrings.xml><?xml version="1.0" encoding="utf-8"?>
<sst xmlns="http://schemas.openxmlformats.org/spreadsheetml/2006/main" count="2203" uniqueCount="1166">
  <si>
    <t>page 1 of 5</t>
  </si>
  <si>
    <t xml:space="preserve">Formula Rate - Non-Levelized </t>
  </si>
  <si>
    <t xml:space="preserve">     Rate Formula Template</t>
  </si>
  <si>
    <t xml:space="preserve"> </t>
  </si>
  <si>
    <t xml:space="preserve"> Utilizing FERC Form 1 Data</t>
  </si>
  <si>
    <t>Line</t>
  </si>
  <si>
    <t>Allocated</t>
  </si>
  <si>
    <t>No.</t>
  </si>
  <si>
    <t>Amount</t>
  </si>
  <si>
    <t>Total</t>
  </si>
  <si>
    <t>Allocator</t>
  </si>
  <si>
    <t>TP</t>
  </si>
  <si>
    <t xml:space="preserve">DIVISOR </t>
  </si>
  <si>
    <t>(Note A)</t>
  </si>
  <si>
    <t>(Note B)</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</si>
  <si>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</si>
  <si>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</si>
  <si>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</si>
  <si>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</si>
  <si>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</si>
  <si>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</si>
  <si>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</si>
  <si>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</si>
  <si>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</si>
  <si>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</si>
  <si>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</si>
  <si>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</si>
  <si>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</si>
  <si>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</si>
  <si>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</si>
  <si>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</si>
  <si>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</si>
  <si>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</si>
  <si>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</si>
  <si>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GP=</t>
  </si>
  <si>
    <t>ACCUMULATED DEPRECIATION</t>
  </si>
  <si>
    <t>219.20-24.c</t>
  </si>
  <si>
    <t>219.26.c</t>
  </si>
  <si>
    <t>NET PLANT IN SERVICE</t>
  </si>
  <si>
    <t xml:space="preserve">LAND HELD FOR FUTURE USE </t>
  </si>
  <si>
    <t xml:space="preserve">  CWC  </t>
  </si>
  <si>
    <t xml:space="preserve">  Prepayments (Account 165)</t>
  </si>
  <si>
    <t xml:space="preserve">  Transmission </t>
  </si>
  <si>
    <t>263.i</t>
  </si>
  <si>
    <t xml:space="preserve">INCOME TAXES          </t>
  </si>
  <si>
    <t xml:space="preserve">     T=1 - {[(1 - SIT) * (1 - FIT)] / (1 - SIT * FIT * p)} =</t>
  </si>
  <si>
    <t xml:space="preserve">     CIT=(T/1-T) * (1-(WCLTD/R)) =</t>
  </si>
  <si>
    <t>Total Income Taxes</t>
  </si>
  <si>
    <t xml:space="preserve">RETURN </t>
  </si>
  <si>
    <t xml:space="preserve">                SUPPORTING CALCULATIONS AND NOTES</t>
  </si>
  <si>
    <t>TRANSMISSION PLANT INCLUDED IN ISO RATES</t>
  </si>
  <si>
    <t>Transmission plant included in ISO rates  (line 1 less lines 2 &amp; 3)</t>
  </si>
  <si>
    <t>TP=</t>
  </si>
  <si>
    <t>WAGES &amp; SALARY ALLOCATOR   (W&amp;S)</t>
  </si>
  <si>
    <t>Form 1 Reference</t>
  </si>
  <si>
    <t>$</t>
  </si>
  <si>
    <t>Allocation</t>
  </si>
  <si>
    <t>W&amp;S Allocator</t>
  </si>
  <si>
    <t xml:space="preserve">  Other</t>
  </si>
  <si>
    <t>($ / Allocation)</t>
  </si>
  <si>
    <t>=</t>
  </si>
  <si>
    <t>RETURN (R)</t>
  </si>
  <si>
    <t>Common Stock</t>
  </si>
  <si>
    <t>Cost</t>
  </si>
  <si>
    <t>%</t>
  </si>
  <si>
    <t>Weighted</t>
  </si>
  <si>
    <t>=WCLTD</t>
  </si>
  <si>
    <t>REVENUE CREDITS</t>
  </si>
  <si>
    <t>ACCOUNT 447 (SALES FOR RESALE)</t>
  </si>
  <si>
    <t>(310-311)</t>
  </si>
  <si>
    <t xml:space="preserve">  Total of (a)-(b)</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</si>
  <si>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</si>
  <si>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</si>
  <si>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</si>
  <si>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</si>
  <si>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</si>
  <si>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</si>
  <si>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</si>
  <si>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</si>
  <si>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</si>
  <si>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</si>
  <si>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</si>
  <si>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</si>
  <si>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</si>
  <si>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</si>
  <si>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</si>
  <si>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</si>
  <si>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L</t>
  </si>
  <si>
    <t>M</t>
  </si>
  <si>
    <t>N</t>
  </si>
  <si>
    <t>O</t>
  </si>
  <si>
    <t>Enter dollar amounts</t>
  </si>
  <si>
    <t>P</t>
  </si>
  <si>
    <t>Q</t>
  </si>
  <si>
    <t>T</t>
  </si>
  <si>
    <t>205.46.g</t>
  </si>
  <si>
    <t>207.75.g</t>
  </si>
  <si>
    <t>354.20.b</t>
  </si>
  <si>
    <t>354.21.b</t>
  </si>
  <si>
    <t>354.23.b</t>
  </si>
  <si>
    <t>page 3 of 5</t>
  </si>
  <si>
    <t>page 4 of 5</t>
  </si>
  <si>
    <t>(Note E)</t>
  </si>
  <si>
    <t>References to data from FERC Form 1 are indicated as:   #.y.x  (page, line, column)</t>
  </si>
  <si>
    <t>(line 1- line 7)</t>
  </si>
  <si>
    <t>(line 2- line 8)</t>
  </si>
  <si>
    <t>(line 3 - line 9)</t>
  </si>
  <si>
    <t>(line 4 - line 10)</t>
  </si>
  <si>
    <t>Total transmission plant  (page 2, line 2, column 3)</t>
  </si>
  <si>
    <t>= WS</t>
  </si>
  <si>
    <t>Percentage of transmission plant included in ISO Rates  (line 4 divided by line 1)</t>
  </si>
  <si>
    <t>Preferred Dividends  (118.29c) (positive number)</t>
  </si>
  <si>
    <t>Revenue Credits for Sched 1A  - Note A</t>
  </si>
  <si>
    <t>Net Schedule 1A Expenses (Line 1 - Line 2)</t>
  </si>
  <si>
    <t>Note:</t>
  </si>
  <si>
    <t>Gross Transmission Plant - Total</t>
  </si>
  <si>
    <t>Net Transmission Plant - Total</t>
  </si>
  <si>
    <t>O&amp;M EXPENSE</t>
  </si>
  <si>
    <t>Total O&amp;M Allocated to Transmission</t>
  </si>
  <si>
    <t>Annual Allocation Factor for O&amp;M</t>
  </si>
  <si>
    <t>TAXES OTHER THAN INCOME TAXES</t>
  </si>
  <si>
    <t>Total Other Taxes</t>
  </si>
  <si>
    <t>Annual Allocation Factor for Other Taxes</t>
  </si>
  <si>
    <t>7</t>
  </si>
  <si>
    <t>Annual Allocation Factor for Expense</t>
  </si>
  <si>
    <t>INCOME TAXES</t>
  </si>
  <si>
    <t>8</t>
  </si>
  <si>
    <t>9</t>
  </si>
  <si>
    <t>Annual Allocation Factor for Income Taxes</t>
  </si>
  <si>
    <t>10</t>
  </si>
  <si>
    <t>Return on Rate Base</t>
  </si>
  <si>
    <t>11</t>
  </si>
  <si>
    <t>Annual Allocation Factor for Return on Rate Base</t>
  </si>
  <si>
    <t>12</t>
  </si>
  <si>
    <t>Annual Allocation Factor for Return</t>
  </si>
  <si>
    <t>Line No.</t>
  </si>
  <si>
    <t>Project Name</t>
  </si>
  <si>
    <t>Annual Expense Charge</t>
  </si>
  <si>
    <t xml:space="preserve">Project Net Plant </t>
  </si>
  <si>
    <t>Annual Return Charge</t>
  </si>
  <si>
    <t>Project Depreciation Expense</t>
  </si>
  <si>
    <t>(Col. 3 * Col. 4)</t>
  </si>
  <si>
    <t>(Col. 6 * Col. 7)</t>
  </si>
  <si>
    <t>Project Net Plant is the Project Gross Plant Identified in Column 3 less the associated Accumulated Depreciation.</t>
  </si>
  <si>
    <t>page 1 of 1</t>
  </si>
  <si>
    <t>Schedule 1A Rate Calculation</t>
  </si>
  <si>
    <t>Reference</t>
  </si>
  <si>
    <t>page 1 of 2</t>
  </si>
  <si>
    <t>(line 3 divided by line 1, col. 3)</t>
  </si>
  <si>
    <t>(line 5 divided by line 1, col. 3)</t>
  </si>
  <si>
    <t>page 2 of 2</t>
  </si>
  <si>
    <t>1 Coincident Peak (CP) (MW)</t>
  </si>
  <si>
    <t>RTEP Project Number</t>
  </si>
  <si>
    <t>Notes</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</si>
  <si>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</si>
  <si>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</si>
  <si>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 xml:space="preserve">DEPRECIATION AND AMORTIZATION EXPENSE </t>
  </si>
  <si>
    <t>December</t>
  </si>
  <si>
    <t>January</t>
  </si>
  <si>
    <t>February</t>
  </si>
  <si>
    <t>March</t>
  </si>
  <si>
    <t>April</t>
  </si>
  <si>
    <t>May</t>
  </si>
  <si>
    <t>July</t>
  </si>
  <si>
    <t>August</t>
  </si>
  <si>
    <t>September</t>
  </si>
  <si>
    <t>November</t>
  </si>
  <si>
    <t>October</t>
  </si>
  <si>
    <t>3</t>
  </si>
  <si>
    <t>4</t>
  </si>
  <si>
    <t>13</t>
  </si>
  <si>
    <t>14</t>
  </si>
  <si>
    <t>15</t>
  </si>
  <si>
    <t>June</t>
  </si>
  <si>
    <t>Production</t>
  </si>
  <si>
    <t>Distribution</t>
  </si>
  <si>
    <t>General</t>
  </si>
  <si>
    <t>Intangible</t>
  </si>
  <si>
    <t>207.58.g</t>
  </si>
  <si>
    <t>205.5.g</t>
  </si>
  <si>
    <t>207.99.g</t>
  </si>
  <si>
    <t>13-month Average</t>
  </si>
  <si>
    <t>[A]</t>
  </si>
  <si>
    <t>Notes:</t>
  </si>
  <si>
    <t>Reference for December balances as would be reported in FERC Form 1.</t>
  </si>
  <si>
    <t>219.25.c</t>
  </si>
  <si>
    <t>200.21.c</t>
  </si>
  <si>
    <t>219.28.c</t>
  </si>
  <si>
    <t>December 31</t>
  </si>
  <si>
    <t>[B]</t>
  </si>
  <si>
    <t>Proprietary</t>
  </si>
  <si>
    <t>Capital</t>
  </si>
  <si>
    <t>Preferred Stock</t>
  </si>
  <si>
    <t>Account 216.1</t>
  </si>
  <si>
    <t>Long Term Debt</t>
  </si>
  <si>
    <t>112.16.c</t>
  </si>
  <si>
    <t>112.12.c</t>
  </si>
  <si>
    <t>207.57.g</t>
  </si>
  <si>
    <t>True-up Adjustment</t>
  </si>
  <si>
    <t>Projected Annual Revenue Requirement</t>
  </si>
  <si>
    <t>Actual Annual Revenue Requirement</t>
  </si>
  <si>
    <t>Subtotal</t>
  </si>
  <si>
    <t>(a)</t>
  </si>
  <si>
    <t>(b)</t>
  </si>
  <si>
    <t xml:space="preserve">(c) </t>
  </si>
  <si>
    <t>(d)</t>
  </si>
  <si>
    <t>(e)</t>
  </si>
  <si>
    <t>(f)</t>
  </si>
  <si>
    <t>(g)</t>
  </si>
  <si>
    <t>(h)</t>
  </si>
  <si>
    <t>(i)</t>
  </si>
  <si>
    <t>(j)</t>
  </si>
  <si>
    <t>NOTE</t>
  </si>
  <si>
    <t>Amortized Investment Tax Credit (266.8.f) (enter negative)</t>
  </si>
  <si>
    <t xml:space="preserve">  a. Bundled Non-RQ Sales for Resale (311.x.h)</t>
  </si>
  <si>
    <t xml:space="preserve">  b. Bundled Sales for Resale included in Divisor on page 1</t>
  </si>
  <si>
    <t>Calculate using a 13 month average balance.</t>
  </si>
  <si>
    <t>Months</t>
  </si>
  <si>
    <t>Monthly</t>
  </si>
  <si>
    <t>Project Gross Plant</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</si>
  <si>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</si>
  <si>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[C]</t>
  </si>
  <si>
    <t>Formula Rate Protocols</t>
  </si>
  <si>
    <t>1. Rate of Return on Common Equity ("ROE")</t>
  </si>
  <si>
    <t>2. Postretirement Benefits Other Than Pension ("PBOP")</t>
  </si>
  <si>
    <t>*sometimes referred to as Other Post Employment Benefits, or "OPEB"</t>
  </si>
  <si>
    <t>FERC Account</t>
  </si>
  <si>
    <t>Depr %</t>
  </si>
  <si>
    <t>Section VIII.A</t>
  </si>
  <si>
    <t>Return Calculation</t>
  </si>
  <si>
    <t>Source  Reference</t>
  </si>
  <si>
    <t>Income Tax Rates</t>
  </si>
  <si>
    <t>Source</t>
  </si>
  <si>
    <t xml:space="preserve">  CWIP</t>
  </si>
  <si>
    <t>Tax Effect of Permanent Differences and AFUDC Equity</t>
  </si>
  <si>
    <t xml:space="preserve">       Less Preferred Stock </t>
  </si>
  <si>
    <t xml:space="preserve">       Less Accumulated Other Comprehensive Income Account 219</t>
  </si>
  <si>
    <t>Income Taxes</t>
  </si>
  <si>
    <t>Income Tax Calculation</t>
  </si>
  <si>
    <t xml:space="preserve">ITC adjustment </t>
  </si>
  <si>
    <t xml:space="preserve">Permanent Differences and AFUDC Equity Tax Adjustment </t>
  </si>
  <si>
    <t>(Excess)/Deficient Deferred Income Taxes</t>
  </si>
  <si>
    <t xml:space="preserve">(Excess)/Deficient Deferred Income Tax Adjustment </t>
  </si>
  <si>
    <t>Calculated</t>
  </si>
  <si>
    <t xml:space="preserve">      1 / (1 - T)  = (from line 23)</t>
  </si>
  <si>
    <t>Calculation of PBOP Expenses</t>
  </si>
  <si>
    <t>Increased Return and Taxes</t>
  </si>
  <si>
    <t>(line 7 divided by line 1, col. 3)</t>
  </si>
  <si>
    <t xml:space="preserve">Annual Revenue Requirement </t>
  </si>
  <si>
    <t>(Sum Col. 5, 8, &amp; 9)</t>
  </si>
  <si>
    <t>DA</t>
  </si>
  <si>
    <t>company records</t>
  </si>
  <si>
    <t>(Line 12 * Line 15)</t>
  </si>
  <si>
    <t>(Line 13 * Line 16)</t>
  </si>
  <si>
    <t>(Line 14 * Line 17)</t>
  </si>
  <si>
    <t>Sum lines 29 to 32</t>
  </si>
  <si>
    <t>(line 22 * line 24)</t>
  </si>
  <si>
    <t>(Line 22 + Line 33)</t>
  </si>
  <si>
    <t>Line 34</t>
  </si>
  <si>
    <t>Return without incentive adder</t>
  </si>
  <si>
    <t>Income Tax without incentive adder</t>
  </si>
  <si>
    <t>Line 1</t>
  </si>
  <si>
    <t xml:space="preserve">Rate Base </t>
  </si>
  <si>
    <t>(Note G)</t>
  </si>
  <si>
    <t>Jersey Central Power &amp; Light</t>
  </si>
  <si>
    <t>Accumulated Depreciation</t>
  </si>
  <si>
    <t>Project Net Plant</t>
  </si>
  <si>
    <t>Net Plant Detail</t>
  </si>
  <si>
    <t>Project Gross Plant is the total capital investment for the project, including subsequent capital investments required to maintain the project in-service.  Utilizing a 13-month average.</t>
  </si>
  <si>
    <t>Based on a 13-month average</t>
  </si>
  <si>
    <t>12b</t>
  </si>
  <si>
    <t>13b</t>
  </si>
  <si>
    <t>14b</t>
  </si>
  <si>
    <t>(7)</t>
  </si>
  <si>
    <t>(8)</t>
  </si>
  <si>
    <t>(9)</t>
  </si>
  <si>
    <t xml:space="preserve">Transmission </t>
  </si>
  <si>
    <t>(line 12 divided by line 2, col. 3)</t>
  </si>
  <si>
    <t>(line 12b divided by line 2, col. 3)</t>
  </si>
  <si>
    <t>Line 35 + Line 36</t>
  </si>
  <si>
    <t>Line 38 - Line 37</t>
  </si>
  <si>
    <t>Line 39 / Line 40</t>
  </si>
  <si>
    <t xml:space="preserve">TABLE 1:  Summary Cost of Long Term Debt  </t>
  </si>
  <si>
    <t>CALCULATION OF COST OF DEBT</t>
  </si>
  <si>
    <t>YEAR ENDED</t>
  </si>
  <si>
    <t>(c)</t>
  </si>
  <si>
    <t>Net</t>
  </si>
  <si>
    <t>Average Net</t>
  </si>
  <si>
    <t>Outstanding</t>
  </si>
  <si>
    <t>Effective</t>
  </si>
  <si>
    <t>Debt Cost</t>
  </si>
  <si>
    <t>ORIGINAL</t>
  </si>
  <si>
    <t>Net Proceeds</t>
  </si>
  <si>
    <t>in Year*</t>
  </si>
  <si>
    <t>Cost Rate</t>
  </si>
  <si>
    <t>at t = N</t>
  </si>
  <si>
    <t>t=N</t>
  </si>
  <si>
    <t>Issue Date</t>
  </si>
  <si>
    <t>Maturity Date</t>
  </si>
  <si>
    <t>ISSUANCE</t>
  </si>
  <si>
    <t>At Issuance</t>
  </si>
  <si>
    <t>at t=N</t>
  </si>
  <si>
    <t>z*</t>
  </si>
  <si>
    <t>Ratios</t>
  </si>
  <si>
    <t>(h) * (i)</t>
  </si>
  <si>
    <t>Long Term Debt Cost at Year Ended:</t>
  </si>
  <si>
    <t>First Mortgage Bonds:</t>
  </si>
  <si>
    <t>**</t>
  </si>
  <si>
    <t>t = time</t>
  </si>
  <si>
    <t>The current portion of long term debt is included in the Net Amount Outstanding at t = N in these calculations.</t>
  </si>
  <si>
    <t>The outstanding amount (column (e)) for debt retired during the year is the outstanding amount at the last month it was outstanding.</t>
  </si>
  <si>
    <t>*  z = Average of monthly balances for months outstanding during the year (averge of the balances for the 12 months of the year, with zero in months that the issuance is not outstanding in a month.).</t>
  </si>
  <si>
    <t>Interim (individual debenture) debt cost calculations shall be taken to four decimals in percentages (7.2300%, 5.2582%); Final Total Weighted Average Debt Cost for the Formula Rate shall be rounded to two decimals of a percent (7.03%).</t>
  </si>
  <si>
    <t>TABLE 2:  Effective Cost Rates For Traditional Front-Loaded Debt Issuances:</t>
  </si>
  <si>
    <t>(aa)</t>
  </si>
  <si>
    <t>(bb)</t>
  </si>
  <si>
    <t>(cc)</t>
  </si>
  <si>
    <t>(dd)</t>
  </si>
  <si>
    <t>(ee)</t>
  </si>
  <si>
    <t>(ff)</t>
  </si>
  <si>
    <t>(gg)</t>
  </si>
  <si>
    <t>(hh)</t>
  </si>
  <si>
    <t>(ii)</t>
  </si>
  <si>
    <t>(jj)</t>
  </si>
  <si>
    <t>(kk)</t>
  </si>
  <si>
    <t>(Discount)</t>
  </si>
  <si>
    <t xml:space="preserve">Loss/Gain on </t>
  </si>
  <si>
    <t>Effective Cost Rate*</t>
  </si>
  <si>
    <t>Issue</t>
  </si>
  <si>
    <t>Maturity</t>
  </si>
  <si>
    <t>Premium</t>
  </si>
  <si>
    <t>Issuance</t>
  </si>
  <si>
    <t>Reacquired</t>
  </si>
  <si>
    <t>Proceeds</t>
  </si>
  <si>
    <t>Coupon</t>
  </si>
  <si>
    <t xml:space="preserve">Annual </t>
  </si>
  <si>
    <t>(Yield to Maturity</t>
  </si>
  <si>
    <t xml:space="preserve">Long Term Debt Issuances </t>
  </si>
  <si>
    <t>Affiliate</t>
  </si>
  <si>
    <t>Date</t>
  </si>
  <si>
    <t>Issued</t>
  </si>
  <si>
    <t>at Issuance</t>
  </si>
  <si>
    <t>Expense</t>
  </si>
  <si>
    <t>Debt</t>
  </si>
  <si>
    <t>Ratio</t>
  </si>
  <si>
    <t>Rate</t>
  </si>
  <si>
    <t>Interest</t>
  </si>
  <si>
    <t>at Issuance, t = 0)</t>
  </si>
  <si>
    <t>TOTALS</t>
  </si>
  <si>
    <t>* YTM at issuance calculated from an acceptable bond table or from YTM = Internal Rate of Return (IRR) calculation</t>
  </si>
  <si>
    <t>112.15.c</t>
  </si>
  <si>
    <t>Account 219</t>
  </si>
  <si>
    <t>Total Annual Revenue Requirement</t>
  </si>
  <si>
    <t>Net Revenue Requirement
with True-up</t>
  </si>
  <si>
    <t>(Sum Col. 10 &amp; 11)</t>
  </si>
  <si>
    <t>Additional Annual Allocation Factor for Return</t>
  </si>
  <si>
    <t>Pro-rated Q1</t>
  </si>
  <si>
    <t>Pro-rated Q2</t>
  </si>
  <si>
    <t>Pro-rated Q3</t>
  </si>
  <si>
    <t>Pro-rated Q4</t>
  </si>
  <si>
    <t>Amount included in revenues reported on pages 328-330 of FERC Form 1.</t>
  </si>
  <si>
    <t>% of Total Revenue Requirement</t>
  </si>
  <si>
    <t>Revenue Received</t>
  </si>
  <si>
    <t>Col c, line 1 * Col e</t>
  </si>
  <si>
    <t>Col. f - Col. G</t>
  </si>
  <si>
    <t>2a</t>
  </si>
  <si>
    <t>2b</t>
  </si>
  <si>
    <t>2c</t>
  </si>
  <si>
    <t>ADDITIONAL INCENTIVE REVENUE</t>
  </si>
  <si>
    <t>GROSS REV. REQUIREMENT (WITHOUT INCENTIVE)</t>
  </si>
  <si>
    <t>NET REVENUE REQUIREMENT</t>
  </si>
  <si>
    <t>True-up Adjustment with Interest</t>
  </si>
  <si>
    <t>Actual RTEP Credit Revenues for true-up year</t>
  </si>
  <si>
    <t xml:space="preserve">Col. h + Col. i </t>
  </si>
  <si>
    <t>Sum of line 4, 6, &amp; 8</t>
  </si>
  <si>
    <t>10b</t>
  </si>
  <si>
    <t>11b</t>
  </si>
  <si>
    <t>(line 10b divided by line 2, col. 3)</t>
  </si>
  <si>
    <t>Sum of line 11b and 13b</t>
  </si>
  <si>
    <t>Line 14 b, col. 9 less line 14, col. 4</t>
  </si>
  <si>
    <t>Sum of line 11 and 13</t>
  </si>
  <si>
    <t xml:space="preserve">  TEC Revenue </t>
  </si>
  <si>
    <t>Goodwill</t>
  </si>
  <si>
    <t>(1) - (2) - (3) - (4) - (5)</t>
  </si>
  <si>
    <t>(Page 1, line 9)</t>
  </si>
  <si>
    <t>Page 1, line 14</t>
  </si>
  <si>
    <t>(Note C &amp; H)</t>
  </si>
  <si>
    <t>(Note D &amp; H)</t>
  </si>
  <si>
    <t xml:space="preserve">(Sum Col. 12 &amp; 13) </t>
  </si>
  <si>
    <t>Any actual ROE incentive must be approved by the Commission</t>
  </si>
  <si>
    <t>Additional Incentive Annual Allocation Factor for Return (Note F)</t>
  </si>
  <si>
    <t>Attachment 11, Page 2, Line 3, Col. 12</t>
  </si>
  <si>
    <t>[1]</t>
  </si>
  <si>
    <t>[2]</t>
  </si>
  <si>
    <t>[3]</t>
  </si>
  <si>
    <t>[4]</t>
  </si>
  <si>
    <t>[5]</t>
  </si>
  <si>
    <t>[6]</t>
  </si>
  <si>
    <t>[7]</t>
  </si>
  <si>
    <t xml:space="preserve">Includes only CWIP authorized by the Commission for inclusion in rate base.  </t>
  </si>
  <si>
    <t>Any actual ROE incentive must be approved by the Commission; therefore, line will remain zero until a project(s) is granted an ROE incentive adder.</t>
  </si>
  <si>
    <t>Rate Base</t>
  </si>
  <si>
    <t>Preferred Dividends</t>
  </si>
  <si>
    <t xml:space="preserve"> enter positive</t>
  </si>
  <si>
    <t>Proprietary Capital</t>
  </si>
  <si>
    <t>Capitalization</t>
  </si>
  <si>
    <t>Total  Capitalization</t>
  </si>
  <si>
    <t>Debt %</t>
  </si>
  <si>
    <t>Total Long Term Debt</t>
  </si>
  <si>
    <t>Preferred %</t>
  </si>
  <si>
    <t>Common %</t>
  </si>
  <si>
    <t>Preferred Cost</t>
  </si>
  <si>
    <t>Common Cost</t>
  </si>
  <si>
    <t>Weighted Cost of Debt</t>
  </si>
  <si>
    <t>Total Long Term Debt (WCLTD)</t>
  </si>
  <si>
    <t>Weighted Cost of Preferred</t>
  </si>
  <si>
    <t>Weighted Cost of Common</t>
  </si>
  <si>
    <t>Rate of Return on Rate Base ( ROR )</t>
  </si>
  <si>
    <t>Investment Return = Rate Base * Rate of Return</t>
  </si>
  <si>
    <t>Incentive ROE Calculation</t>
  </si>
  <si>
    <t>Gross Plant Calculation</t>
  </si>
  <si>
    <t>Accumulated Depreciation Calculation</t>
  </si>
  <si>
    <t>Capital Structure Calculation</t>
  </si>
  <si>
    <t>Stated Value Inputs</t>
  </si>
  <si>
    <t>Debt Cost Calculation</t>
  </si>
  <si>
    <t>Columns 5-9 (page 1) only applies with incentive ROE project(s) (Note F)</t>
  </si>
  <si>
    <t>To be completed after Attachment 11 for the True-up Year is updated using actual data</t>
  </si>
  <si>
    <t>Income Tax Adjustments</t>
  </si>
  <si>
    <t xml:space="preserve">       Less Account 216.1 &amp; Goodwill</t>
  </si>
  <si>
    <t>Attachment 8, Line 14, Col. 1</t>
  </si>
  <si>
    <t>Attachment 8, Line 14, Col. 2</t>
  </si>
  <si>
    <t>Attachment 8, Line 14, Col. 6</t>
  </si>
  <si>
    <t>Attachment 8, Line 14, Col. 3 &amp; 5</t>
  </si>
  <si>
    <t>Attachment 8, Line 14, Col. 4</t>
  </si>
  <si>
    <t>Attachment 2, line 33</t>
  </si>
  <si>
    <t>Attachment 2, line 22</t>
  </si>
  <si>
    <t>Actual Revenues for Attachment 11</t>
  </si>
  <si>
    <t>Transmission-related only</t>
  </si>
  <si>
    <t>112.3.c</t>
  </si>
  <si>
    <t>207.98.g</t>
  </si>
  <si>
    <t>JCP&amp;L</t>
  </si>
  <si>
    <t>Annual MWh in JCP&amp;L Zone - Note B</t>
  </si>
  <si>
    <t>Load expressed in MWh consistent with load used for billing under Schedule 1A for the JCP&amp;L zone.  Data from RTO settlement systems for the calendar year prior to the rate year.</t>
  </si>
  <si>
    <r>
      <t xml:space="preserve">Return and Income taxes </t>
    </r>
    <r>
      <rPr>
        <u/>
        <sz val="12"/>
        <rFont val="Arial"/>
        <family val="2"/>
      </rPr>
      <t>without</t>
    </r>
    <r>
      <rPr>
        <sz val="12"/>
        <rFont val="Arial"/>
        <family val="2"/>
      </rPr>
      <t xml:space="preserve"> increase in ROE</t>
    </r>
  </si>
  <si>
    <t>Return and Income taxes with increase in ROE</t>
  </si>
  <si>
    <t>Incremental Return and incomes taxes for increase in ROE</t>
  </si>
  <si>
    <t>Incremental Return and incomes taxes for increase in ROE divided by rate base</t>
  </si>
  <si>
    <t>True-up adjustment is calculated on the project true-up schedule, attachment 12 column j</t>
  </si>
  <si>
    <t>Attachment  H-4A</t>
  </si>
  <si>
    <t>Attachment  H-4A, Attachment 1</t>
  </si>
  <si>
    <t>Revenues received pursuant to PJM Schedule 1A revenue allocation procedures for transmission service outside of JCP&amp;L's zone during the year used to calculate rates under Attachment H-4A.</t>
  </si>
  <si>
    <t>Attachment  H-4A, Attachment 2</t>
  </si>
  <si>
    <t>Attachment  H-4A, Attachment 3</t>
  </si>
  <si>
    <t>Attachment  H-4A, Attachment 4</t>
  </si>
  <si>
    <t>Attachment  H-4A, Attachment 6</t>
  </si>
  <si>
    <t>Attachment  H-4A, Attachment 8</t>
  </si>
  <si>
    <t>Attachment  H-4A, Attachment 9</t>
  </si>
  <si>
    <t>Attachment  H-4A, Attachment 10</t>
  </si>
  <si>
    <t>Attachment  H-4A, Attachment 11</t>
  </si>
  <si>
    <t>To be completed in conjunction with Attachment H-4A</t>
  </si>
  <si>
    <t>Attach. H-4A, p. 2, line 2, col. 5 (Note A)</t>
  </si>
  <si>
    <t>Attach. H-4A, p. 2, line 14, col. 5 (Note B)</t>
  </si>
  <si>
    <t xml:space="preserve">Gross Transmission Plant is that identified on page 2 line 2 of Attachment H-4A. </t>
  </si>
  <si>
    <t>Net Transmission Plant is that identified on page 2 line 14 of Attachment H-4A.</t>
  </si>
  <si>
    <t>Attachment  H-4A, Attachment 11a</t>
  </si>
  <si>
    <t>Attachment  H-4A, Attachment 12</t>
  </si>
  <si>
    <t>New Jersey</t>
  </si>
  <si>
    <t xml:space="preserve">ADJUSTMENTS TO RATE BASE  </t>
  </si>
  <si>
    <t>Annual Rate ($/MW/Yr)</t>
  </si>
  <si>
    <t>(table 2, col. cc)</t>
  </si>
  <si>
    <t>(col. g/col. g total)</t>
  </si>
  <si>
    <t>((col e. * col. F)/12)</t>
  </si>
  <si>
    <t>(line 10 divided by line 2, col. 3)</t>
  </si>
  <si>
    <t>[A] [C]</t>
  </si>
  <si>
    <t>Asset Retirement Costs</t>
  </si>
  <si>
    <t>cost per labor dollar (line 3 / line 4)</t>
  </si>
  <si>
    <t>PBOP Expense for current year (line 5 * line 6)</t>
  </si>
  <si>
    <t>(Col. 6 * Page 1, line 15, Col. 9)</t>
  </si>
  <si>
    <t>True-up Adjustment Principal
Over/(Under)</t>
  </si>
  <si>
    <t>Applicable Interest Rate on 
Over/(Under)</t>
  </si>
  <si>
    <t>Total True-up Adjustment with Interest
Over(Under)</t>
  </si>
  <si>
    <t>Col. H line 2x / Col. H line 3  * Col. J line 4</t>
  </si>
  <si>
    <t>2d</t>
  </si>
  <si>
    <t xml:space="preserve">Total FirstEnergy PBOP expenses </t>
  </si>
  <si>
    <t>Labor dollars (FirstEnergy)</t>
  </si>
  <si>
    <t>Company Records</t>
  </si>
  <si>
    <t>207.74.g</t>
  </si>
  <si>
    <t xml:space="preserve">GROSS REV. REQUIREMENT </t>
  </si>
  <si>
    <t>Average 12 CPs (MW)</t>
  </si>
  <si>
    <t>Point-to-Point Rate ($/MW/Year)</t>
  </si>
  <si>
    <t>Point-to-Point Rate ($/MW/Month)</t>
  </si>
  <si>
    <t>Point-to-Point Rate ($/MW/Week)</t>
  </si>
  <si>
    <t>Point-to-Point Rate ($/MW/Day)</t>
  </si>
  <si>
    <t>Point-to-Point Rate ($/MWh)</t>
  </si>
  <si>
    <t>Peak Rate</t>
  </si>
  <si>
    <t>Off-Peak Rate</t>
  </si>
  <si>
    <t xml:space="preserve">As provided by PJM and in effect at the time of the annual rate calculations pursuant to Section 34.1 of the PJM OATT.  </t>
  </si>
  <si>
    <t>Line 17 to include an incentive ROE that is used only to determine the increase in return and incomes taxes associated with a specific increase in ROE.  Any actual ROE incentive must be approved by the Commission.  Until an ROE incentive is approved, line 17 will reflect the current ROE.</t>
  </si>
  <si>
    <t>Reserve for Depreciation of Asset Retirement Costs</t>
  </si>
  <si>
    <t>Balance excludes Asset Retirements Costs</t>
  </si>
  <si>
    <t>Balance excludes reserve for depreciation of asset retirement costs</t>
  </si>
  <si>
    <t>Q1 Activity</t>
  </si>
  <si>
    <t>Ending Q1</t>
  </si>
  <si>
    <t>Q2 Activity</t>
  </si>
  <si>
    <t xml:space="preserve">Ending Q2 </t>
  </si>
  <si>
    <t>Q3 Activity</t>
  </si>
  <si>
    <t xml:space="preserve">Ending Q3 </t>
  </si>
  <si>
    <t>Q4 Activity</t>
  </si>
  <si>
    <t>Ending Q4</t>
  </si>
  <si>
    <r>
      <t>Effective Cost Rate of Individual Debenture (YTM at issuance):  the t=0 Cashflow C</t>
    </r>
    <r>
      <rPr>
        <vertAlign val="subscript"/>
        <sz val="10"/>
        <rFont val="Arial"/>
        <family val="2"/>
      </rPr>
      <t xml:space="preserve">o </t>
    </r>
    <r>
      <rPr>
        <sz val="10"/>
        <rFont val="Arial"/>
        <family val="2"/>
      </rPr>
      <t>equals Net Proceeds column (gg); Semi-annual (or other) interest cashflows (C</t>
    </r>
    <r>
      <rPr>
        <vertAlign val="subscript"/>
        <sz val="10"/>
        <rFont val="Arial"/>
        <family val="2"/>
      </rPr>
      <t>t=1</t>
    </r>
    <r>
      <rPr>
        <sz val="10"/>
        <rFont val="Arial"/>
        <family val="2"/>
      </rPr>
      <t>, C</t>
    </r>
    <r>
      <rPr>
        <vertAlign val="subscript"/>
        <sz val="10"/>
        <rFont val="Arial"/>
        <family val="2"/>
      </rPr>
      <t>t=2</t>
    </r>
    <r>
      <rPr>
        <sz val="10"/>
        <rFont val="Arial"/>
        <family val="2"/>
      </rPr>
      <t>, etc.).</t>
    </r>
  </si>
  <si>
    <t>Peak as would be reported on page 401, column d of Form 1 at the time of the zonal peak for the twelve month period ending October 31 of the calendar year used to calculate rates.  The projection year will utilize the most recent preceding 12-month period at the time of the filing.</t>
  </si>
  <si>
    <t>Transmission Enhancement Charge (TEC) Worksheet</t>
  </si>
  <si>
    <t>TEC Worksheet Support</t>
  </si>
  <si>
    <t>TEC - True-up</t>
  </si>
  <si>
    <t>205.44.g</t>
  </si>
  <si>
    <t>Removes transmission plant determined by Commission order to be state-jurisdictional according to the seven-factor test (until Form 1 balances are adjusted to reflect application of seven-factor test).</t>
  </si>
  <si>
    <t>Col d, line 2 / Col. d, line 3</t>
  </si>
  <si>
    <t>Lines 3-4 cannot change absent a Section 205 or 206 filing approved or accepted by FERC in a separate proceeding</t>
  </si>
  <si>
    <t>JCP&amp;L Labor: Company Records</t>
  </si>
  <si>
    <t>JCP&amp;L Account 926: Company Records</t>
  </si>
  <si>
    <t>Description</t>
  </si>
  <si>
    <t>ARAM</t>
  </si>
  <si>
    <t>PTRR</t>
  </si>
  <si>
    <t>Page 1, B+D+F+H</t>
  </si>
  <si>
    <t>Page 1, row 3,7,11 Column A+B+D+F+H</t>
  </si>
  <si>
    <t>A-C</t>
  </si>
  <si>
    <t>D-E</t>
  </si>
  <si>
    <t>Account</t>
  </si>
  <si>
    <t xml:space="preserve">Projected Activity </t>
  </si>
  <si>
    <t>Prorated Ending Balance</t>
  </si>
  <si>
    <t>Prorated - Estimated End (Before Adjustments)</t>
  </si>
  <si>
    <t>Sum of end ADIT Adjustments</t>
  </si>
  <si>
    <t>Total Account 190</t>
  </si>
  <si>
    <t>Total Account 282</t>
  </si>
  <si>
    <t>Total Account 283</t>
  </si>
  <si>
    <t>Total ADIT Subject to Normalization</t>
  </si>
  <si>
    <t xml:space="preserve"> Notes:</t>
  </si>
  <si>
    <t>ATRR</t>
  </si>
  <si>
    <t>Page 1, row 4,8,12 column   A+B+D+F+H</t>
  </si>
  <si>
    <t>H-J</t>
  </si>
  <si>
    <t>D-K</t>
  </si>
  <si>
    <t>E-M</t>
  </si>
  <si>
    <t>K+L-M-N</t>
  </si>
  <si>
    <t>Actual Activity</t>
  </si>
  <si>
    <t>Prorated - Actual End (Before Adjustments)</t>
  </si>
  <si>
    <t>Prorated Activity  Not Projected</t>
  </si>
  <si>
    <t>ADIT Adjustments not projected</t>
  </si>
  <si>
    <t>FirstEnergy 2018 Actuarial Study</t>
  </si>
  <si>
    <t>FirstEnergy 2018 Actual: Company Records</t>
  </si>
  <si>
    <t>Page 1, row 2,4,6 Column A+B+D+F+H</t>
  </si>
  <si>
    <t>J-L</t>
  </si>
  <si>
    <t>M-N</t>
  </si>
  <si>
    <t>Line 7= J-N-O                               Lines 8-9= -J+N+O</t>
  </si>
  <si>
    <t>Beginning 190 (including adjustments)</t>
  </si>
  <si>
    <t xml:space="preserve">Beginning 282 (including adjustments) </t>
  </si>
  <si>
    <t xml:space="preserve">Beginning 190 (including adjustments) </t>
  </si>
  <si>
    <t xml:space="preserve">labor (labor not capitalized) current year, transmission only </t>
  </si>
  <si>
    <t>Total FirstEnergy PBOP expenses</t>
  </si>
  <si>
    <t>PBOP expense in Account 926 for current year, total company</t>
  </si>
  <si>
    <t xml:space="preserve">W&amp;S Labor Allocator </t>
  </si>
  <si>
    <t>Allocated Transmission PBOP (line 8 * line 9)</t>
  </si>
  <si>
    <t>354.24, 354.25, 354.26.b</t>
  </si>
  <si>
    <t>Line 1= A-E-F                               Lines 2-3= -A+E+F</t>
  </si>
  <si>
    <t>Line 5= H-M-O                               Lines 6-7= -H+M+O</t>
  </si>
  <si>
    <t>Attach. H-4A, p. 3, line 14, col. 5</t>
  </si>
  <si>
    <t>Operation Supervision and Engineering</t>
  </si>
  <si>
    <t>Load Dispatch-Reliability</t>
  </si>
  <si>
    <t>Load Dispatch-Monitor and Operate Transmission System</t>
  </si>
  <si>
    <t>Load-Dispatch-Transmission Service and Scheduling</t>
  </si>
  <si>
    <t>Scheduling, System Control and Dispatch Services</t>
  </si>
  <si>
    <t>Reliability, Planning and Standards Development</t>
  </si>
  <si>
    <t>Transmission Service Studies</t>
  </si>
  <si>
    <t>Generation Interconnection Studies</t>
  </si>
  <si>
    <t>Reliability, Planning and Standards Development Services</t>
  </si>
  <si>
    <t>Station Expenses</t>
  </si>
  <si>
    <t>Overhead Lines Expense</t>
  </si>
  <si>
    <t>Underground Lines Expense</t>
  </si>
  <si>
    <t>Transmission of Electricity by Others</t>
  </si>
  <si>
    <t>Miscellaneous Transmission Expense</t>
  </si>
  <si>
    <t>Rents</t>
  </si>
  <si>
    <t>Maintenance Supervision and Engineering</t>
  </si>
  <si>
    <t>Maintenance of Structures</t>
  </si>
  <si>
    <t>Maintenance of Computer Hardware</t>
  </si>
  <si>
    <t>Maintenance of Computer Software</t>
  </si>
  <si>
    <t>Maintenance of Communication Equipment</t>
  </si>
  <si>
    <t>Maintenance of Miscellaneous Regional Transmission Plant</t>
  </si>
  <si>
    <t>Maintenance of Station Equipment</t>
  </si>
  <si>
    <t>Maintenance of Overhead Lines</t>
  </si>
  <si>
    <t>Maintenance of Underground Lines</t>
  </si>
  <si>
    <t>Maintenance of Miscellaneous Transmission Plant</t>
  </si>
  <si>
    <t>Administrative and General Salaries</t>
  </si>
  <si>
    <t>Office Supplies and Expenses</t>
  </si>
  <si>
    <t>Administrative Expenses Transferred - Credit</t>
  </si>
  <si>
    <t>Outside Services Employed</t>
  </si>
  <si>
    <t>Property Insurance</t>
  </si>
  <si>
    <t>Injuries and Damages</t>
  </si>
  <si>
    <t>Employee Pensions and Benefits</t>
  </si>
  <si>
    <t>Franchise Requirements</t>
  </si>
  <si>
    <t>Regulatory Commission Expense</t>
  </si>
  <si>
    <t>(Less) Duplicate Charges-Cr.</t>
  </si>
  <si>
    <t>General Advertising Expenses</t>
  </si>
  <si>
    <t>Miscellaneous General Expenses</t>
  </si>
  <si>
    <t>Maintenance of General Plant</t>
  </si>
  <si>
    <t>3. Depreciation Rates (1)(2)</t>
  </si>
  <si>
    <t xml:space="preserve">Note:        (1) </t>
  </si>
  <si>
    <t xml:space="preserve">Account 303 amortization period is 7 years. </t>
  </si>
  <si>
    <t xml:space="preserve">cost per labor dollar </t>
  </si>
  <si>
    <t>$-0.0658</t>
  </si>
  <si>
    <t xml:space="preserve">Ending ADIT Balance Included in Formula Rate </t>
  </si>
  <si>
    <t xml:space="preserve">Normalization </t>
  </si>
  <si>
    <t xml:space="preserve">Estimated  Ending Balance (Before Adjustments) </t>
  </si>
  <si>
    <t xml:space="preserve">Actual  Ending Balance (Before Adjustments) </t>
  </si>
  <si>
    <t xml:space="preserve">FERC Account No. 165 </t>
  </si>
  <si>
    <t>November 30</t>
  </si>
  <si>
    <t>October 31</t>
  </si>
  <si>
    <t>September 30</t>
  </si>
  <si>
    <t>August 31</t>
  </si>
  <si>
    <t>July 31</t>
  </si>
  <si>
    <t>June 30</t>
  </si>
  <si>
    <t>May 31</t>
  </si>
  <si>
    <t>April 30</t>
  </si>
  <si>
    <t>March 31</t>
  </si>
  <si>
    <t>February 28/29</t>
  </si>
  <si>
    <t>January 31</t>
  </si>
  <si>
    <t>Exp. Acct.</t>
  </si>
  <si>
    <t>Text Description</t>
  </si>
  <si>
    <t xml:space="preserve">Line Item </t>
  </si>
  <si>
    <t>(A)</t>
  </si>
  <si>
    <r>
      <t xml:space="preserve">(a) Average calculated as [Sum of Columns (D) through (P)] </t>
    </r>
    <r>
      <rPr>
        <sz val="12"/>
        <rFont val="Calibri"/>
        <family val="2"/>
      </rPr>
      <t>÷</t>
    </r>
    <r>
      <rPr>
        <sz val="12"/>
        <rFont val="Times New Roman"/>
        <family val="1"/>
      </rPr>
      <t xml:space="preserve"> 13.</t>
    </r>
  </si>
  <si>
    <t>Average (a)</t>
  </si>
  <si>
    <t>Ln.</t>
  </si>
  <si>
    <t>Taxes Other Than Income</t>
  </si>
  <si>
    <t>Amort. Start Date</t>
  </si>
  <si>
    <t>Amort. End Date</t>
  </si>
  <si>
    <t>Monthly Amort. Expense</t>
  </si>
  <si>
    <t>Total Amort. Exp.</t>
  </si>
  <si>
    <t>To Rate Base</t>
  </si>
  <si>
    <t>FERC Docket No.</t>
  </si>
  <si>
    <t>FERC A/C</t>
  </si>
  <si>
    <t>Title</t>
  </si>
  <si>
    <t>FERC Form No. 1 Balance</t>
  </si>
  <si>
    <t>-</t>
  </si>
  <si>
    <t>×</t>
  </si>
  <si>
    <t>FERC Form No. 1 Citation</t>
  </si>
  <si>
    <t>Page 321.83.b</t>
  </si>
  <si>
    <t>Page 321.85.b</t>
  </si>
  <si>
    <t>Page 321.86.b</t>
  </si>
  <si>
    <t>Page 321.87.b</t>
  </si>
  <si>
    <t>Page 321.88.b</t>
  </si>
  <si>
    <t>Page 321.89.b</t>
  </si>
  <si>
    <t>Page 321.90.b</t>
  </si>
  <si>
    <t>Page 321.91.b</t>
  </si>
  <si>
    <t>Page 321.92.b</t>
  </si>
  <si>
    <t>Page 321.93.b</t>
  </si>
  <si>
    <t>Page 321.94.b</t>
  </si>
  <si>
    <t>Page 321.95.b</t>
  </si>
  <si>
    <t>Page 321.96.b</t>
  </si>
  <si>
    <t>Page 321.97.b</t>
  </si>
  <si>
    <t>Page 321.98.b</t>
  </si>
  <si>
    <t>Page 321.101.b</t>
  </si>
  <si>
    <t>Page 321.102.b</t>
  </si>
  <si>
    <t>Page 321.103.b</t>
  </si>
  <si>
    <t>Page 321.104.b</t>
  </si>
  <si>
    <t>Page 321.105.b</t>
  </si>
  <si>
    <t>Page 321.106.b</t>
  </si>
  <si>
    <t>Page 321.107.b</t>
  </si>
  <si>
    <t>Page 321.108.b</t>
  </si>
  <si>
    <t>Page 321.109.b</t>
  </si>
  <si>
    <t>Page 321.110.b</t>
  </si>
  <si>
    <t>Page 323.181.b</t>
  </si>
  <si>
    <t>Page 323.182.b</t>
  </si>
  <si>
    <t>Page 323.183.b</t>
  </si>
  <si>
    <t>Page 323.184.b</t>
  </si>
  <si>
    <t>Page 323.185.b</t>
  </si>
  <si>
    <t>Page 323.186.b</t>
  </si>
  <si>
    <t>Page 323.187.b</t>
  </si>
  <si>
    <t>Page 323.188.b</t>
  </si>
  <si>
    <t>Page 323.189.b</t>
  </si>
  <si>
    <t>Page 323.190.b</t>
  </si>
  <si>
    <t>Page 323.191.b</t>
  </si>
  <si>
    <t>Page 323.192.b</t>
  </si>
  <si>
    <t>Page 323.193.b</t>
  </si>
  <si>
    <t>Page 323.196.b</t>
  </si>
  <si>
    <t>Operating Expenses</t>
  </si>
  <si>
    <t xml:space="preserve">  Unfunded Reserves</t>
  </si>
  <si>
    <t>Month</t>
  </si>
  <si>
    <t>+</t>
  </si>
  <si>
    <t>254 Item 2</t>
  </si>
  <si>
    <t>Annual Rate</t>
  </si>
  <si>
    <t>True-Up Adj.</t>
  </si>
  <si>
    <t>Compounding</t>
  </si>
  <si>
    <t>Year 1 True-Up Adjustment + Interest EB</t>
  </si>
  <si>
    <t>Year 2 True-Up Adjustment + Interest EB</t>
  </si>
  <si>
    <t>Principle Amortization</t>
  </si>
  <si>
    <t>Interest Amortization</t>
  </si>
  <si>
    <t>Year 3 Monthly Amortization</t>
  </si>
  <si>
    <t>Year 3 True-Up Adjustment + Interest EB</t>
  </si>
  <si>
    <t>Total Amount Refunded/Surcharged</t>
  </si>
  <si>
    <t>True-Up Before Interest</t>
  </si>
  <si>
    <t>Interest Refunded/Surcharged</t>
  </si>
  <si>
    <t>Base Refund or (Surcharge):</t>
  </si>
  <si>
    <t>Total Refund or (Surcharge):</t>
  </si>
  <si>
    <t>Construction Work in Progress</t>
  </si>
  <si>
    <t>Project ID</t>
  </si>
  <si>
    <t>Project Start Date</t>
  </si>
  <si>
    <t>Original In-Service Date</t>
  </si>
  <si>
    <t>Revised In-Service Date</t>
  </si>
  <si>
    <t>Item</t>
  </si>
  <si>
    <t>Nominal Federal Tax Rate (FIT)</t>
  </si>
  <si>
    <t>FIT</t>
  </si>
  <si>
    <t>p</t>
  </si>
  <si>
    <t>SIT</t>
  </si>
  <si>
    <t>Percent of Federal Deducted for State</t>
  </si>
  <si>
    <t xml:space="preserve">  Revenue Credits</t>
  </si>
  <si>
    <t xml:space="preserve">  PBOPs Expense Adjustment</t>
  </si>
  <si>
    <t>State</t>
  </si>
  <si>
    <t xml:space="preserve">Nominal State Tax Rate </t>
  </si>
  <si>
    <t>Apportionment Percentage (p)</t>
  </si>
  <si>
    <t>Combined Tax Rate</t>
  </si>
  <si>
    <t>Composite Tax Factor</t>
  </si>
  <si>
    <t xml:space="preserve">1 - {[(1 - SIT) * (1 - FIT)] / (1 - SIT * FIT * p)} </t>
  </si>
  <si>
    <t xml:space="preserve">(T / (1 - T)) * (1 - (WCLTD / ROR)) </t>
  </si>
  <si>
    <t>=ROR</t>
  </si>
  <si>
    <t>Amort. Period</t>
  </si>
  <si>
    <t>Protected / 
Non-protected</t>
  </si>
  <si>
    <t>Property / 
Non-property</t>
  </si>
  <si>
    <t>FERC Account No. 281</t>
  </si>
  <si>
    <t>Allocator Output</t>
  </si>
  <si>
    <t>December 31 Balance</t>
  </si>
  <si>
    <t>December Balance</t>
  </si>
  <si>
    <t>If JCP&amp;L is including an ITC amortization as part of its income tax calculation on Attachment 15, it does not need to input data for FERC Account No. 255 on this Attachment.</t>
  </si>
  <si>
    <t xml:space="preserve">  Accumulated Deferred Income Taxes</t>
  </si>
  <si>
    <t>TOTAL OTHER TAXES</t>
  </si>
  <si>
    <t>FERC Form No. 1 p.111.57.d &amp; c</t>
  </si>
  <si>
    <t>FERC Form No. 1 p.227.8.b &amp; c</t>
  </si>
  <si>
    <t>FERC Account No. 154 (Transmission Only)</t>
  </si>
  <si>
    <t xml:space="preserve">(b) JCP&amp;L may add or remove sublines without a FPA Section 205 filing. </t>
  </si>
  <si>
    <t xml:space="preserve">(c) JCP&amp;L may add or remove sublines for prepayments without a FPA Section 205 filing. </t>
  </si>
  <si>
    <t>Average</t>
  </si>
  <si>
    <t>Composite Tax Factor (CTF)</t>
  </si>
  <si>
    <t>JPC&amp;L may add or remove sublines without making a Section 205 filing.</t>
  </si>
  <si>
    <t>[Placeholder 1]</t>
  </si>
  <si>
    <t>[Placeholder 2]</t>
  </si>
  <si>
    <t>Total CWIP in Rate Base</t>
  </si>
  <si>
    <t>Amortization Account</t>
  </si>
  <si>
    <t>Amortization Start Date</t>
  </si>
  <si>
    <t>Tax Gross-up Factor (TGUF)</t>
  </si>
  <si>
    <t>(T / (1 - T))</t>
  </si>
  <si>
    <t>Grossed-Up Income Tax Adjustments</t>
  </si>
  <si>
    <t>Income Taxes Allowable</t>
  </si>
  <si>
    <t>Preliminary Income Taxes Allowable</t>
  </si>
  <si>
    <t>Gross-up on Income Tax Adjustments</t>
  </si>
  <si>
    <t>(b) JCP&amp;L shall add or remove as many sublines as needed to adequately show the detail of its balances.</t>
  </si>
  <si>
    <t>Protected Property &amp; Non-Protected Property:</t>
  </si>
  <si>
    <t>Non-Protected, Non-Property:</t>
  </si>
  <si>
    <t>Protected, Non-Property:</t>
  </si>
  <si>
    <t>CATEGORY 1</t>
  </si>
  <si>
    <t>CATEGORY 3</t>
  </si>
  <si>
    <t>CATEGORY 4</t>
  </si>
  <si>
    <t>CATEGORY 5</t>
  </si>
  <si>
    <t>(d) Per settlement of Docket No. ER20-227, the amortization schedule of the DDIT/EDIT balances related to Tax Cuts and Job Act of 2017 by classification is:</t>
  </si>
  <si>
    <t>(h) Column (W) shall equal Column (U) × Column (V) unless the FERC orders JCP&amp;L to exclude the unamortized balance from rate base, at which point Column (W) shall equal zero.</t>
  </si>
  <si>
    <t>GP</t>
  </si>
  <si>
    <t xml:space="preserve">  A&amp;G </t>
  </si>
  <si>
    <t>TOTAL REVENUE CREDITS  (sum lines 2-3)</t>
  </si>
  <si>
    <t>(Line 1 - Line 4 + Line 5)</t>
  </si>
  <si>
    <t>TOTAL GROSS PLANT (sum lines 1-4)</t>
  </si>
  <si>
    <t>TOTAL ACCUM. DEPRECIATION  (sum lines 7-10)</t>
  </si>
  <si>
    <t>TOTAL NET PLANT (sum lines 13-16)</t>
  </si>
  <si>
    <t>Total G &amp; I depreciation expense</t>
  </si>
  <si>
    <t>Annual allocation factor for G &amp; I depreciation expense</t>
  </si>
  <si>
    <t>Attach. H-4A, p. 3, line 9, col. 5</t>
  </si>
  <si>
    <t>254 Item 1</t>
  </si>
  <si>
    <t>Taken to Attachment H-4A, page 2, lines 7-10, Col. 3</t>
  </si>
  <si>
    <t>Taken to Attachment H-4A, page 2, lines 1-4, Col. 3</t>
  </si>
  <si>
    <t>1/8*(Page 3, Line 6 minus Page 3, Line 5)</t>
  </si>
  <si>
    <t>(b) JCP&amp;L may add or remove as many sublines as necessary to list all of the FERC Account No. 182.3 regulatory assets and FERC Account No. 254 regulatory liabilities recorded on its books (in the case of the ATRR) or projected to be on its books (in the case of the PTRR) without filing a Section 205 filing to do so.  Adding or removing sublines does not constitute FERC approval for cost recovery.</t>
  </si>
  <si>
    <t>FERC Form No. 1, p.232</t>
  </si>
  <si>
    <t>FERC Form No. 1, p.278</t>
  </si>
  <si>
    <t>FERC Account No. 281 ADIT Adjustments</t>
  </si>
  <si>
    <t>FERC Account No. 282 ADIT Adjustments</t>
  </si>
  <si>
    <t>FERC Account No. 283 ADIT Adjustments</t>
  </si>
  <si>
    <t>FERC Account No. 105 (Transmission Only)</t>
  </si>
  <si>
    <t>Allocator Output (b)</t>
  </si>
  <si>
    <t xml:space="preserve">  Materials &amp; Supplies</t>
  </si>
  <si>
    <t>Attachment H-4A, Page 3, Line 14, Col. 5</t>
  </si>
  <si>
    <r>
      <t xml:space="preserve">(a) Average calculated as [Sum of Columns (G) through (S)] </t>
    </r>
    <r>
      <rPr>
        <sz val="12"/>
        <rFont val="Calibri"/>
        <family val="2"/>
      </rPr>
      <t>÷</t>
    </r>
    <r>
      <rPr>
        <sz val="12"/>
        <rFont val="Times New Roman"/>
        <family val="1"/>
      </rPr>
      <t xml:space="preserve"> 13.</t>
    </r>
  </si>
  <si>
    <t>FERC Approved Regulatory Assets and Liabilities</t>
  </si>
  <si>
    <t>FERC Approved Reg. Asset/Liab. Amortizations</t>
  </si>
  <si>
    <t>FF1, Page 115.14g</t>
  </si>
  <si>
    <t>GENERAL &amp; INTANGIBLE (G &amp; I) DEPRECIATION EXPENSE</t>
  </si>
  <si>
    <t>PJM Bill</t>
  </si>
  <si>
    <t>NITS Charge Code</t>
  </si>
  <si>
    <t>Attachment 13b - PJM Billings, Line 13, Col. E:</t>
  </si>
  <si>
    <t>TEC Charge Code</t>
  </si>
  <si>
    <t>Attachment 13b - PJM Billings, Line 26, Col. E:</t>
  </si>
  <si>
    <t>Total Interest (Sourced from Attachment 13a, line 49)</t>
  </si>
  <si>
    <t>PTRR (True-up Vintage)
Attachment 11
p 2 of 2, col. 14</t>
  </si>
  <si>
    <t>ATRR (True-up Vintage)
Attachment 11
p 2 of 2, col. 14</t>
  </si>
  <si>
    <t>March 
Balance</t>
  </si>
  <si>
    <t>June 
Balance</t>
  </si>
  <si>
    <t>September 
Balance</t>
  </si>
  <si>
    <t>Attachment 6, Line 11 (Note C)</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</si>
  <si>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t>
  </si>
  <si>
    <t>(Note K)</t>
  </si>
  <si>
    <t>Line 22 must equal zero since all short-term power sales must be unbundled and the transmission component reflected in Account No. 456.1 and all other uses are to be included in the divisor.</t>
  </si>
  <si>
    <t>Additional Incentive Revenue taken to Attachment H-4A, Page 3, Line 16</t>
  </si>
  <si>
    <t>Project Depreciation Expense is the actual value booked for the project and included in the Depreciation Expense in Attachment H-4A, page 3, line 8.</t>
  </si>
  <si>
    <t>PBOP Adjustment for Attachment H-4A, page 3, line 3 (line 7 - line 10)</t>
  </si>
  <si>
    <t>To Transmission</t>
  </si>
  <si>
    <t>Attach. H-4A, p. 3, line 6, col. 5</t>
  </si>
  <si>
    <t>Attach. H-4A, p. 3, line 11, col. 5</t>
  </si>
  <si>
    <t>Attach. H-4A, p. 3, line 13, col. 5</t>
  </si>
  <si>
    <t>Attachment 13b line 26, col E</t>
  </si>
  <si>
    <t>Exp. Acct. (e)</t>
  </si>
  <si>
    <t>(e) The expense account will only be populated with prepaid expense items included in transmission rates.</t>
  </si>
  <si>
    <t>To Transmission OpEx</t>
  </si>
  <si>
    <t>Sum of Lines 2, 4, 6, and 8</t>
  </si>
  <si>
    <t>where WCLTD = Attachment H4-A, page 4, line 12, and</t>
  </si>
  <si>
    <t xml:space="preserve"> R= (page 4, line 15)</t>
  </si>
  <si>
    <t>112.18-21.c</t>
  </si>
  <si>
    <t>Total Excluding Production</t>
  </si>
  <si>
    <t xml:space="preserve">Total Transmission </t>
  </si>
  <si>
    <t>x</t>
  </si>
  <si>
    <t>Transmission Exclusions (a)</t>
  </si>
  <si>
    <t xml:space="preserve">To Revenue Req. </t>
  </si>
  <si>
    <t>1. Attachment 5a will only be populated within the PTRR</t>
  </si>
  <si>
    <t>1. Attachment 5b will only be populated within the ATRR</t>
  </si>
  <si>
    <t>Normalization is sourced from Attachment 5a, page 1, col. O for PTRR &amp; Attachment 5b, page 2, col. O for ATRR.</t>
  </si>
  <si>
    <t>TOTAL OPERATING EXPENSES  (sum lines 2 through 5)</t>
  </si>
  <si>
    <t>FERC Account No. 255 (a)</t>
  </si>
  <si>
    <t>(f) Any line item allocated by "EXCL" will only show year-end balances.</t>
  </si>
  <si>
    <t>FERC Account No. 190 (e)</t>
  </si>
  <si>
    <t xml:space="preserve">FERC Account No. 190 ADIT Adjustments </t>
  </si>
  <si>
    <t>FERC Account No. 282 (e)</t>
  </si>
  <si>
    <t xml:space="preserve">FERC Account No. 283 (e) </t>
  </si>
  <si>
    <t>(line 6 / line 8)</t>
  </si>
  <si>
    <t>(line 6 / line 9)</t>
  </si>
  <si>
    <t>(line 11/12)</t>
  </si>
  <si>
    <t>(line 11/52)</t>
  </si>
  <si>
    <t>(line 13/5; line 13/7)</t>
  </si>
  <si>
    <t>(line 11/4,160; line 11/8,760)</t>
  </si>
  <si>
    <t>(a) No costs listed on this attachment shall be recoverable in any way from FERC-jurisdictional ratepayers without explicit authorization from the Federal Energy Regulatory Commission. This page will only be populated at such time that it's approved by FERC.</t>
  </si>
  <si>
    <t>(b) The allocator in Col. (U) must be zero unless otherwise authorized by order from the FERC. This page will only be populated at such time that CWIP is approved to be included within rate base by FERC.</t>
  </si>
  <si>
    <t xml:space="preserve">ARAM/Years Remaining </t>
  </si>
  <si>
    <t>T from Attachment 15, line 8</t>
  </si>
  <si>
    <t>Normalization (d)</t>
  </si>
  <si>
    <t xml:space="preserve">Beginning 283 (Including adjustments) </t>
  </si>
  <si>
    <t>(a) Gross receipts taxes are not included in transmission revenue requirement in the Formula Rate Template since they are recovered elsewhere.</t>
  </si>
  <si>
    <t>Attachment H-4A, Attachment 16</t>
  </si>
  <si>
    <t>Abandoned Plant</t>
  </si>
  <si>
    <t>Monthly Balance</t>
  </si>
  <si>
    <t>Months Remaining In Amortization Period</t>
  </si>
  <si>
    <t>BegInning Balance</t>
  </si>
  <si>
    <t>Amortization Expense                               ( p114.10.c)</t>
  </si>
  <si>
    <t>Additions   (Deductions)</t>
  </si>
  <si>
    <t>Ending Balance</t>
  </si>
  <si>
    <t>p111.71.d (and Notes)</t>
  </si>
  <si>
    <t xml:space="preserve">January                                                                                                                         </t>
  </si>
  <si>
    <t>FERC Account 182.2</t>
  </si>
  <si>
    <t xml:space="preserve">June </t>
  </si>
  <si>
    <t xml:space="preserve">October </t>
  </si>
  <si>
    <t>p111.71.c (and Notes) Detail on p230b</t>
  </si>
  <si>
    <t xml:space="preserve">Ending Balance 13-Month Average </t>
  </si>
  <si>
    <t>Recovery of abandoned plant is limited to any abandoned plant recovery authorized by FERC and will be zero until the Commission accepts or approves recovery of the cost of abandoned plant</t>
  </si>
  <si>
    <t>ARAM Amortization</t>
  </si>
  <si>
    <t>Net Transmission EDIT/DDIT Amortization</t>
  </si>
  <si>
    <t xml:space="preserve">  Amortization of Abandoned Plant</t>
  </si>
  <si>
    <t>TOTAL DEPRECIATION  (sum lines 8 -10)</t>
  </si>
  <si>
    <t>Unamortized Abandoned Plant, Amortization of Abandoned Plant, and Regulatory assets and liabilities will be zero until the Commission accepts or approves recovery or refund. Utility must submit a Section 205 filing to recover or refund.</t>
  </si>
  <si>
    <t>Attachment H-4A, page 3, Line 10</t>
  </si>
  <si>
    <t xml:space="preserve">  Unamortized Abandoned Plant</t>
  </si>
  <si>
    <t>Attachment H-4A, page 2, Line 23</t>
  </si>
  <si>
    <t>TOTAL ADJUSTMENTS  (sum lines 19-23)</t>
  </si>
  <si>
    <t>TOTAL WORKING CAPITAL  (sum lines 27 - 29)</t>
  </si>
  <si>
    <t>RATE BASE  (sum lines 17, 24, 25, &amp; 30)</t>
  </si>
  <si>
    <t xml:space="preserve">  (sum lines 6, 11, 12, 14, 15)</t>
  </si>
  <si>
    <t>(line 16 + line 17)</t>
  </si>
  <si>
    <t>Attachment H-4A, page 2, Line 31, Col. 5</t>
  </si>
  <si>
    <t>Attachment H-4A, Page 3, Line 15, Col. 5</t>
  </si>
  <si>
    <t>True-up (a)</t>
  </si>
  <si>
    <t>Alloc. (b)</t>
  </si>
  <si>
    <t>(a) JCP&amp;L shall provide workpapers supporting amounts shown in Column (B) for all DDIT and EDIT items for any future tax rate changes.</t>
  </si>
  <si>
    <t>Current Period Other Activity</t>
  </si>
  <si>
    <t>(Excess)/Deficient ADIT Transmission - Beg Balance of Year (c)</t>
  </si>
  <si>
    <t>Net Transmission EDIT/DDIT Balance (B + C)</t>
  </si>
  <si>
    <t>Amortization
for
non-ARAM)</t>
  </si>
  <si>
    <t>Unamortized Balance at Year End (D - K)</t>
  </si>
  <si>
    <t>GROSS REVENUE REQUIREMENT [page 3, line 18, col 5]</t>
  </si>
  <si>
    <t>Transmission Enhancement Credit taken to Attachment H-4A Page 1, Line 3, Col. 3</t>
  </si>
  <si>
    <t>Attachment 20, Lines 2+3+4, Col. C</t>
  </si>
  <si>
    <t>(a) Interest rate inputs will be equal to C.F.R. 35.19a.</t>
  </si>
  <si>
    <t>410.1/411.1</t>
  </si>
  <si>
    <t>EDIT/DDIT Non-Property</t>
  </si>
  <si>
    <t>EDIT/DDIT Property</t>
  </si>
  <si>
    <t>FERC Account No. 190 EDIT/DDIT</t>
  </si>
  <si>
    <t>FERC Account No. 282 EDIT/DDIT</t>
  </si>
  <si>
    <t>FERC Account No. 283 EDIT/DDIT</t>
  </si>
  <si>
    <t>Total EDIT/DDIT before Gross-up (Line 8 + Line 18)</t>
  </si>
  <si>
    <t>(b) The interest rate to be applied to the True-up will be determined as follows: (i) for time periods for which there is an interest rate posted on FERC’s website, the True-up will reflect each applicable quarter’s annual rate; (ii) for time periods for which there is no interest rate posted on FERC’s website (i.e., future time periods, in which an interest rate is not yet available), the True-up will reflect the last known quarter’s annual rate, as posted on FERC’s website and as determined prior to the posting of the JCP&amp;L PTRR that includes the applicable True-up.</t>
  </si>
  <si>
    <t>Non-Property Gross-up (Line 8 × TGUF)</t>
  </si>
  <si>
    <t>Property Gross-up (Line 18 × TGUF)</t>
  </si>
  <si>
    <t>Attachment 15a, Line 21, Col. (M)</t>
  </si>
  <si>
    <t>CATEGORY 2: Total Non-Property After Gross-up (Line 8 + Line 9) (e)</t>
  </si>
  <si>
    <t>CATEGORY 2: Total Property after Gross-up (Line 18 + Line 19) (e)</t>
  </si>
  <si>
    <t>Total EDIT/DDIT after Gross-up (Line 10 + Line 20) (e)</t>
  </si>
  <si>
    <t>Total FERC Account No. 190 EDIT/DDIT</t>
  </si>
  <si>
    <t>Total FERC Account No. 282 EDIT/DDIT</t>
  </si>
  <si>
    <t>Total FERC Account No. 283 EDIT/DDIT</t>
  </si>
  <si>
    <t>Property Book-Tax Timing Differences</t>
  </si>
  <si>
    <t>JCP&amp;L Average (a)</t>
  </si>
  <si>
    <t>To Rate Base (f)</t>
  </si>
  <si>
    <t>JCP&amp;L shall not include ADIT associated with nonoperating items.</t>
  </si>
  <si>
    <t>(c) JCP&amp;L may add or remove sublines applicable to the transmission revenue requirement without an FPA Section 205 filing.</t>
  </si>
  <si>
    <t>Rate Year ATRR (c):</t>
  </si>
  <si>
    <t>(c) JCP&amp;L to include as a credit to rate base on Attachment H-4A, page 2, line 20.</t>
  </si>
  <si>
    <t>Amortization of ITC Tax Credit (a)</t>
  </si>
  <si>
    <t>(a) FERC Form No. 1, page 266.8.f.</t>
  </si>
  <si>
    <t xml:space="preserve">TRANSMISSION EXPENSES </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</si>
  <si>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</si>
  <si>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</si>
  <si>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</si>
  <si>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</si>
  <si>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TE=</t>
  </si>
  <si>
    <t>Less transmission expenses included in OATT Ancillary Services  (Note B)</t>
  </si>
  <si>
    <t xml:space="preserve">  Total  (sum lines 12-15)</t>
  </si>
  <si>
    <t>Total  (sum lines 18-20)</t>
  </si>
  <si>
    <t xml:space="preserve">  [Rate Base (page 2, line 31) * Rate of Return (page 4, line 21, col. 6)]</t>
  </si>
  <si>
    <t>** This Total Weighted Average Debt Cost will be shown on page 4, line 18, column 5 of formula rate Attachment H-4A.</t>
  </si>
  <si>
    <t>Attachment H-4A, page 4, Line 17, Col. 6</t>
  </si>
  <si>
    <t>Attachment H-4A, page 4, Line 18, Col. 3</t>
  </si>
  <si>
    <t>Attachment H-4A, page 4, Line 19, Col. 3</t>
  </si>
  <si>
    <t>Attachment H-4A, page 4, Line 20, Col. 3</t>
  </si>
  <si>
    <t>Attachment H-4A, page 4, Line 21, Col. 3</t>
  </si>
  <si>
    <t>Attachment H-4A, page 4, Line 18, Col. 4</t>
  </si>
  <si>
    <t>Attachment H-4A, page 4, Line 19, Col. 4</t>
  </si>
  <si>
    <t>Attachment H-4A, page 4, Line 20, Col. 4</t>
  </si>
  <si>
    <t>Attachment H-4A, page 4, Line 18, Col. 5</t>
  </si>
  <si>
    <t>Attachment H-4A, page 4, Line 19, Col. 5</t>
  </si>
  <si>
    <t>Production Exclusion (b)</t>
  </si>
  <si>
    <t>(c) JCP&amp;L to populate column C if item is partially or wholly allocated to the transmission revenue requirement.</t>
  </si>
  <si>
    <t>(d) Includes income related only to transmission facilities, such as pole attachments, rentals and special use.</t>
  </si>
  <si>
    <t>(e) Enter revenues from RTO settlements that are associated with NITS and firm Point-to-Point Service for which the load is not included in the divisor to derive JCP&amp;L's zonal rates.  Exclude non-firm Point-to-Point revenues and revenues related to RTEP projects.</t>
  </si>
  <si>
    <t xml:space="preserve">FERC Account No. 451 </t>
  </si>
  <si>
    <t xml:space="preserve">Other </t>
  </si>
  <si>
    <t xml:space="preserve">FERC Account No. 454 (d) </t>
  </si>
  <si>
    <t xml:space="preserve">FERC Account No. 456 (e) </t>
  </si>
  <si>
    <t>JCP&amp;L's stated ROE is set to: 10.2%</t>
  </si>
  <si>
    <t>Attachment 5, Line 19, Col. (J) (Notes C, D)</t>
  </si>
  <si>
    <t>(Attachment 14a, Line 5, Col. S) (Note E)</t>
  </si>
  <si>
    <t>WORKING CAPITAL  (Note F)</t>
  </si>
  <si>
    <t>Less transmission plant excluded from ISO rates  (Note H)</t>
  </si>
  <si>
    <t>Less transmission plant included in OATT Ancillary Services  (Note I )</t>
  </si>
  <si>
    <t>(Note L)</t>
  </si>
  <si>
    <t>(Note M)</t>
  </si>
  <si>
    <t>336.7.b (Note N)</t>
  </si>
  <si>
    <t>Attachment 3, Line 14, Col. 1 (Notes N &amp; O)</t>
  </si>
  <si>
    <t>Attachment 3, Line 14, Col. 2 (Notes N &amp; O)</t>
  </si>
  <si>
    <t>Attachment 3, Line 14, Col. 3 (Notes N &amp; O)</t>
  </si>
  <si>
    <t>Attachment 3, Line 14, Col. 4 &amp; 5 (Notes N &amp; O)</t>
  </si>
  <si>
    <t>Attachment 4, Line 14, Col. 1 (Notes N &amp; O)</t>
  </si>
  <si>
    <t>Attachment 4, Line 14, Col. 2 (Notes N &amp; O)</t>
  </si>
  <si>
    <t>Attachment 4, Line 14, Col. 3 (Notes N &amp; O)</t>
  </si>
  <si>
    <t>Attachment 4, Line 14, Col. 4 &amp; 5 (Notes N &amp; O)</t>
  </si>
  <si>
    <t>Attachment 14a, Line 4, Col. (S) (Notes O &amp; E)</t>
  </si>
  <si>
    <t>Attachment 14a, Line 2, Col. (S) (Note O)</t>
  </si>
  <si>
    <t>Attachment 11, Page 2, Line 4, Col. 11  (Note Q)</t>
  </si>
  <si>
    <t>R</t>
  </si>
  <si>
    <t>Attachment 16, Line 15, Col. 5 (Note  R)</t>
  </si>
  <si>
    <t>Attachment 19, Line 7, Col. (Y) (Note  R)</t>
  </si>
  <si>
    <t>Attachment 19, Line 7, Col. (W) (Notes O &amp; R)</t>
  </si>
  <si>
    <t>Attachment 16, Line 15, Col. 7 (Notes O &amp; R)</t>
  </si>
  <si>
    <t>S</t>
  </si>
  <si>
    <t>(Note S)</t>
  </si>
  <si>
    <t xml:space="preserve">  Long Term Debt (Attachment 8, Line 14, Col. 7) (Note O) </t>
  </si>
  <si>
    <t xml:space="preserve">  Preferred Stock  (112.3d) (Attachment 8, Line 14, Col. 2) (Note O)</t>
  </si>
  <si>
    <t xml:space="preserve">  Common Stock Attachment 8, Line 14, Col. 6) (Note O)</t>
  </si>
  <si>
    <t>(c) The ATRR is used to compare against the billed revenue in the true-up calculation. This section will not contain true-up amounts.</t>
  </si>
  <si>
    <t>FERC Account No. 182.3 (c)</t>
  </si>
  <si>
    <t>FERC Account No. 254 (Enter negatives) (c)</t>
  </si>
  <si>
    <t>JCP&amp;L to include year-end balances.</t>
  </si>
  <si>
    <t>Attachment  H-4A, Attachment 13</t>
  </si>
  <si>
    <t>Attachment  H-4A, Attachment 13a</t>
  </si>
  <si>
    <t>Attachment  H-4A, Attachment 13b</t>
  </si>
  <si>
    <t>Attachment  H-4A, Attachment 14a</t>
  </si>
  <si>
    <t>Attachment  H-4A, Attachment 14b</t>
  </si>
  <si>
    <t>Attachment  H-4A, Attachment 15</t>
  </si>
  <si>
    <t>Attachment  H-4A, Attachment 15a</t>
  </si>
  <si>
    <t>Attachment H-4A, Attachment 17</t>
  </si>
  <si>
    <t>Attachment H-4A, Attachment 18</t>
  </si>
  <si>
    <t>Attachment H-4A, Attachment 19</t>
  </si>
  <si>
    <t>Attachment H-4A, Attachment 20</t>
  </si>
  <si>
    <r>
      <t xml:space="preserve">(a) Average calculated as [Sum of Columns (C) through (O)] </t>
    </r>
    <r>
      <rPr>
        <sz val="12"/>
        <rFont val="Calibri"/>
        <family val="2"/>
      </rPr>
      <t>÷</t>
    </r>
    <r>
      <rPr>
        <sz val="12"/>
        <rFont val="Times New Roman"/>
        <family val="1"/>
      </rPr>
      <t xml:space="preserve"> 13.</t>
    </r>
  </si>
  <si>
    <t>Attachment 20, Line 26, Col. (G)</t>
  </si>
  <si>
    <t>Attachment  H-4A, Attachment 5</t>
  </si>
  <si>
    <t>Attachment  H-4A, Attachment 7</t>
  </si>
  <si>
    <t>Total transmission expenses  (Attachment 20, Line 26, Col. C)</t>
  </si>
  <si>
    <t xml:space="preserve">2. Normalization is calculated using transmission ADIT balances/adjustments only. </t>
  </si>
  <si>
    <t xml:space="preserve">(a) The PJM NITS &amp; TEC charges will include a true-up for the over/under recovery from a prior rate period. </t>
  </si>
  <si>
    <t>(d) JCP&amp;L to not include any regulatory assets/liabilities related to the Tax Cuts and Jobs act of 2017 or any future income tax changes as these</t>
  </si>
  <si>
    <t>AFUDC Equity (b)</t>
  </si>
  <si>
    <t>(b) The source shall be company records for current-year AFUDC Equity Depreciation.  No additional permanent tax differences may be included without JCP&amp;L making a Section 205 filing.</t>
  </si>
  <si>
    <t>Amortization of (Excess)/Deficient Deferred Income Tax (c)</t>
  </si>
  <si>
    <t>(c) JCP&amp;L to provide additional attachments for each tax rate change and aggregate related amortization.</t>
  </si>
  <si>
    <t>FERC Account No. 228.1 (d)</t>
  </si>
  <si>
    <t>FERC Account No. 228.2 (d)</t>
  </si>
  <si>
    <t>FERC Account No. 228.3 (d)</t>
  </si>
  <si>
    <t>FERC Account No. 228.4 (d)</t>
  </si>
  <si>
    <t>FERC Account No. 242 (d)</t>
  </si>
  <si>
    <t>Other Reserves (d)</t>
  </si>
  <si>
    <t>(d) JCP&amp;L to include total company balances to allocate to the transmission formula rate component and will only show underlying expense accounts for items that are included as a reduction to rate base.</t>
  </si>
  <si>
    <t xml:space="preserve">Regulatory assets/liabilities will have their own Attachment 15a or any other FAS 109 related balances adjusted for elsewhere within the template. </t>
  </si>
  <si>
    <t>TE Allocator</t>
  </si>
  <si>
    <t>Removes dollar amount of transmission expenses included in the OATT ancillary services rates, including Account Nos. 561.1 - 561.3, and 561.X., and related to generation step-up facilities, which are deemed included in OATT ancillary services.  For these purposes, generation step-up facilities are those facilities at a generator substation on which there is no through-flow when the generator is shut down.</t>
  </si>
  <si>
    <t xml:space="preserve">Cash Working Capital assigned to transmission is one-eighth of O&amp;M allocated to transmission at page 3, line 6, column 5 minus amortization of regulatory assets (page 3, line 5, col. 5). Total company Prepayments are the electric related prepayments booked to Account No. 165 and reported on Page 111, line 57 in the Form 1. JCP&amp;L to include transmission prepayments only. </t>
  </si>
  <si>
    <t>The revenues credited on page 1, Line 2 do not include revenues associated with FERC annual charges, gross receipts taxes, ancillary services, or facilities not included in this template (e.g., direct assignment facilities and GSUs) which are not recovered under this Rate Formula Template.  The revenue on Line 3 is supported by its own reference.</t>
  </si>
  <si>
    <t>Line 25 * Line 26 * GP</t>
  </si>
  <si>
    <t>Line 25 * Line 27</t>
  </si>
  <si>
    <t>Line 25 * Line 28</t>
  </si>
  <si>
    <t>( Line 2 - Line 4 - Line 6 + Line 8 - Line 10 + Line 12 - Line 14 + Line 16 + Line 18)</t>
  </si>
  <si>
    <t>Allocator (b) (d) (f)</t>
  </si>
  <si>
    <t>182.3 Item 1</t>
  </si>
  <si>
    <t>182.3 Item 2</t>
  </si>
  <si>
    <t>Enter Negative of Attachment 13, Line 50</t>
  </si>
  <si>
    <t>Debt cost rate = Attachment 10, Column (j) total.  Preferred cost rate = preferred dividends (line 21) / preferred outstanding (line 23).  No change in ROE may be made absent a filing with FERC under Section 205 or Section 206 of the Federal Power Act.  Per the Settlement Agreement in Docket No. ER20-227-000, JCP&amp;L's stated ROE is set to 10.20% (9.7% base ROE plus 50 basis point adder for RTO participation).</t>
  </si>
  <si>
    <t xml:space="preserve">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G.  Account 281 is not allocated. </t>
  </si>
  <si>
    <t xml:space="preserve">Total </t>
  </si>
  <si>
    <t>PTRR Proration</t>
  </si>
  <si>
    <t>ATRR Proration</t>
  </si>
  <si>
    <t>(col. cc + col. dd - col. ee - col. ff)</t>
  </si>
  <si>
    <r>
      <t>(Found using Excel Solver/Goal Seek</t>
    </r>
    <r>
      <rPr>
        <sz val="12"/>
        <color rgb="FFFF0000"/>
        <rFont val="Times New Roman"/>
        <family val="1"/>
      </rPr>
      <t>/or equivalent</t>
    </r>
    <r>
      <rPr>
        <sz val="12"/>
        <rFont val="Times New Roman"/>
        <family val="1"/>
      </rPr>
      <t>)</t>
    </r>
  </si>
  <si>
    <t xml:space="preserve">Allocator </t>
  </si>
  <si>
    <r>
      <t>To Formula Rate (Col. P x Col.</t>
    </r>
    <r>
      <rPr>
        <b/>
        <sz val="12"/>
        <color rgb="FFFF0000"/>
        <rFont val="Times New Roman"/>
        <family val="1"/>
      </rPr>
      <t xml:space="preserve"> R</t>
    </r>
    <r>
      <rPr>
        <b/>
        <sz val="12"/>
        <rFont val="Times New Roman"/>
        <family val="1"/>
      </rPr>
      <t>) (c)</t>
    </r>
  </si>
  <si>
    <t>Enter Negative Attachment 14b, Line 14, Col. (S), (Note C)</t>
  </si>
  <si>
    <t>Attachment 17, Line 3, Col. (W) (Notes O &amp; P)</t>
  </si>
  <si>
    <t>Allocator must be DA, TE, TP, GP, WS, CE, or EXCL.</t>
  </si>
  <si>
    <t>Attachment  H-4A, Attachment 5a</t>
  </si>
  <si>
    <t>Attachment  H-4A, Attachment 5b</t>
  </si>
  <si>
    <t>(b) Allocator must be DA, TE, TP, GP, WS, CE, or EXCL.</t>
  </si>
  <si>
    <r>
      <t>233.</t>
    </r>
    <r>
      <rPr>
        <b/>
        <sz val="10"/>
        <color theme="7"/>
        <rFont val="Calibri"/>
        <family val="2"/>
        <scheme val="minor"/>
      </rPr>
      <t>XX</t>
    </r>
    <r>
      <rPr>
        <sz val="10"/>
        <rFont val="Calibri"/>
        <family val="2"/>
        <scheme val="minor"/>
      </rPr>
      <t>.f</t>
    </r>
  </si>
  <si>
    <t>Accounts 391.10, 391.15, 391.20, 391.25, 393, 394, 395, 397, and 398 have an unrecovered reserve to be amortized over 5 years separately from the assets in these accounts beginning January 1, 2020 through December 31, 2025; Per the Settlement Agreement in Docket No. ER20-227-000.</t>
  </si>
  <si>
    <t>(table 2, col. gg)</t>
  </si>
  <si>
    <t>(Table 2, Col. kk)</t>
  </si>
  <si>
    <t>((col. gg / col. cc)*100)</t>
  </si>
  <si>
    <t>(col. cc * col. ii)</t>
  </si>
  <si>
    <t>Other (b)</t>
  </si>
  <si>
    <r>
      <t>FERC Form No. 1 p.214.</t>
    </r>
    <r>
      <rPr>
        <b/>
        <sz val="12"/>
        <color theme="7"/>
        <rFont val="Times New Roman"/>
        <family val="1"/>
      </rPr>
      <t>x</t>
    </r>
    <r>
      <rPr>
        <sz val="12"/>
        <rFont val="Times New Roman"/>
        <family val="1"/>
      </rPr>
      <t>.d</t>
    </r>
  </si>
  <si>
    <t>(a) Allocator must be DA, TE, TP, GP, WS, CE, or EXCL.</t>
  </si>
  <si>
    <t xml:space="preserve">(c) JCP&amp;L to include only balances attributed to transmission. </t>
  </si>
  <si>
    <t xml:space="preserve">All production labor or expenses to be excluded from A&amp;G accounts. </t>
  </si>
  <si>
    <t>(b) JCP&amp;L to include any necessary prior period adjustments including those identified through the discovery or challenge procedures, as defined within the protocols.</t>
  </si>
  <si>
    <t>336.1.b,d,e &amp; 336.10.b,d,e (Note N)</t>
  </si>
  <si>
    <t>1.XX</t>
  </si>
  <si>
    <t>3.XX</t>
  </si>
  <si>
    <t>5.XX</t>
  </si>
  <si>
    <t>7.XX</t>
  </si>
  <si>
    <t>4.XX</t>
  </si>
  <si>
    <t>Percentage (%)</t>
  </si>
  <si>
    <t>(Note C)</t>
  </si>
  <si>
    <t>(Note C &amp; D)</t>
  </si>
  <si>
    <t xml:space="preserve">Excluded costs specifically include, but are not limited to any amortization related to Regulatory Assets for which FERC approval has not been granted, EPRI dues, and non-safety advertising included within 930.1. Regulatory commission expenses within 928 that are directly assigned in total or portions allocated to distribution; accounts 561.4, 561.8, and 575.7 that consist of RTO expenses billed to load-serving entities and account 565 transmission of electricity by others. </t>
  </si>
  <si>
    <t xml:space="preserve">JCP&amp;L to include only balances attributable to transmission. </t>
  </si>
  <si>
    <t>[B] Company records</t>
  </si>
  <si>
    <t>Utilizing a 13-month average.              [D] Taken to Attachment 11, Page 2, Col. 6</t>
  </si>
  <si>
    <t xml:space="preserve">(c) JCP&amp;L to include only balances attributable to transmission. </t>
  </si>
  <si>
    <t>Plant in Service, Accumulated Depreciation, and Depreciation Expense amounts exclude Asset Retirement Obligation and Account 405 amounts unless authorized by FERC.</t>
  </si>
  <si>
    <t>(d) Prepaid income taxes and other prepayments that are considered short-term (12-months or less amortization period) shall have an allocator of "EXCL."</t>
  </si>
  <si>
    <t>NJ State S&amp;U</t>
  </si>
  <si>
    <t xml:space="preserve">FICA </t>
  </si>
  <si>
    <t>NJ Unemployment</t>
  </si>
  <si>
    <t>WS</t>
  </si>
  <si>
    <t xml:space="preserve">Local Real Estate </t>
  </si>
  <si>
    <t>6.40% Series</t>
  </si>
  <si>
    <t>6.15% Series</t>
  </si>
  <si>
    <t>4.30% Series</t>
  </si>
  <si>
    <t>4.70% Series</t>
  </si>
  <si>
    <t>Incentive Compensation</t>
  </si>
  <si>
    <t>Upgrade the Portland – Greystone 230kV circuit</t>
  </si>
  <si>
    <t>Reconductor the 8 mile Gilbert – Glen Gardner 230 kV circuit</t>
  </si>
  <si>
    <t>Add a 2nd Raritan River 230/115 kV transformer</t>
  </si>
  <si>
    <t>Build a new 230 kV circuit from Larrabee to Oceanview</t>
  </si>
  <si>
    <t>b0174</t>
  </si>
  <si>
    <t>b0268</t>
  </si>
  <si>
    <t>b0726</t>
  </si>
  <si>
    <t>b2015</t>
  </si>
  <si>
    <t>Protected</t>
  </si>
  <si>
    <t>Non-Property</t>
  </si>
  <si>
    <t>Property</t>
  </si>
  <si>
    <t>EXCL</t>
  </si>
  <si>
    <t>Accrued Taxes: FICA on Vacation Accrual</t>
  </si>
  <si>
    <t>Accrued Taxes: Tax Audit Reserves</t>
  </si>
  <si>
    <t>Accumulated Provision For Injuries and Damage-General Liability</t>
  </si>
  <si>
    <t>Accumulated Provision For Injuries and Damage-Workers Compensation</t>
  </si>
  <si>
    <t>Company Debt - Issuance Discount</t>
  </si>
  <si>
    <t>FAS 112 - Medical Benefit Accrual</t>
  </si>
  <si>
    <t>FAS 123R - Performance Shares</t>
  </si>
  <si>
    <t>FAS 123R - Restricted Stock Units</t>
  </si>
  <si>
    <t>Federal NOL - Protected</t>
  </si>
  <si>
    <t>Federal NOL - Non-protected</t>
  </si>
  <si>
    <t>GR&amp;F Tax Audit</t>
  </si>
  <si>
    <t>ITC FAS 109</t>
  </si>
  <si>
    <t>NOL Deferred Tax Asset - LT NJ</t>
  </si>
  <si>
    <t>Pensions Expense</t>
  </si>
  <si>
    <t>Post Retirement Benefits SFAS 106 Accrual</t>
  </si>
  <si>
    <t>Vacation Pay Accrual</t>
  </si>
  <si>
    <t>FAS 109 - Non-property</t>
  </si>
  <si>
    <t>Sale of Property - Book Gain or (Loss)</t>
  </si>
  <si>
    <t>Sale of Property - Tax Gain or (Loss)</t>
  </si>
  <si>
    <t>Deferred Charge-EIB</t>
  </si>
  <si>
    <t>FE Service Tax Interest Allocation</t>
  </si>
  <si>
    <t>FE Service Timing Allocation</t>
  </si>
  <si>
    <t>PJM Receivable</t>
  </si>
  <si>
    <t>Post Retirement Benefits SFAS 106 Payments</t>
  </si>
  <si>
    <t>State Income Tax Deductible</t>
  </si>
  <si>
    <t>Year-End Additional Temp Adjustments L/T</t>
  </si>
  <si>
    <t>Accum Prov For Inj and Damage-Gen Liability</t>
  </si>
  <si>
    <t>Accum Prov For Inj and Damage-Workers Comp</t>
  </si>
  <si>
    <t>Asset Retirement Obligation Liability</t>
  </si>
  <si>
    <t>FAS 158 OPEB OCI Offset</t>
  </si>
  <si>
    <t>FAS 158 Pension OCI Offset</t>
  </si>
  <si>
    <t>Federal Long Term - Protected</t>
  </si>
  <si>
    <t>Federal Long Term - Non-protected</t>
  </si>
  <si>
    <t>Other Non-Property Impairment</t>
  </si>
  <si>
    <t>Pension/OPEB : Other Def Cr. or Dr.</t>
  </si>
  <si>
    <t>Unamortized Gain on Reacquired Debt</t>
  </si>
  <si>
    <t>Non-protected</t>
  </si>
  <si>
    <t>1/1/2018</t>
  </si>
  <si>
    <t>411.1</t>
  </si>
  <si>
    <t>Storm Damage</t>
  </si>
  <si>
    <t>Unamortized Loss on Reacquired Debt</t>
  </si>
  <si>
    <t>Vegetation Management</t>
  </si>
  <si>
    <t>Capitalized Interest</t>
  </si>
  <si>
    <t>Contribution in Aid of Construction</t>
  </si>
  <si>
    <t>FAS109 Related to Property</t>
  </si>
  <si>
    <t>263A Capitalized Overheads</t>
  </si>
  <si>
    <t>Accelarated Depreciation</t>
  </si>
  <si>
    <t>AFUDC</t>
  </si>
  <si>
    <t>AFUDC Equity (FAS109)</t>
  </si>
  <si>
    <t>Capitalized Tree Trimming</t>
  </si>
  <si>
    <t>Casualty Loss</t>
  </si>
  <si>
    <t>OPEBs</t>
  </si>
  <si>
    <t>Other</t>
  </si>
  <si>
    <t>Pension and Capitalized Benefits</t>
  </si>
  <si>
    <t>Tax Repairs</t>
  </si>
  <si>
    <t>AFUDC Equity Flow Thru (Gross up)</t>
  </si>
  <si>
    <t>Property FAS109</t>
  </si>
  <si>
    <t>Other Short-term items 12-months or less</t>
  </si>
  <si>
    <t xml:space="preserve">Prepaid Income Taxes </t>
  </si>
  <si>
    <t>OPEBs/FAS 106</t>
  </si>
  <si>
    <t>Heavy Highway Vehicle Use</t>
  </si>
  <si>
    <t>2.75% Series</t>
  </si>
  <si>
    <t>PJM Receivable-Payable</t>
  </si>
  <si>
    <t>December 2022</t>
  </si>
  <si>
    <t xml:space="preserve">Federal Unemployment </t>
  </si>
  <si>
    <t>Cost of Removal</t>
  </si>
  <si>
    <t xml:space="preserve">Capitalization Adjustment </t>
  </si>
  <si>
    <t>For the 12 months ended 12/31/2023</t>
  </si>
  <si>
    <t>2023 Quarterly Activity and Balances</t>
  </si>
  <si>
    <t>December 2023</t>
  </si>
  <si>
    <t>Family Leave</t>
  </si>
  <si>
    <t>PA Unemployment</t>
  </si>
  <si>
    <t>Federal Excise Tax</t>
  </si>
  <si>
    <t>Motor Fuel Tax</t>
  </si>
  <si>
    <t>2023 PTRR</t>
  </si>
  <si>
    <t>2023 ATRR</t>
  </si>
  <si>
    <t>Firm Point to Point Revenues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</si>
</sst>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quot;$&quot;* #,##0_);_(&quot;$&quot;* \(#,##0\);_(&quot;$&quot;* &quot;-&quot;??_);_(@_)"/>
    <numFmt numFmtId="175" formatCode="0_);\(0\)"/>
    <numFmt numFmtId="176" formatCode="_(* #,##0_);_(* \(#,##0\);_(* &quot;-&quot;??_);_(@_)"/>
    <numFmt numFmtId="177" formatCode="0.000000%"/>
    <numFmt numFmtId="178" formatCode="_(&quot;$&quot;* #,##0.0000_);_(&quot;$&quot;* \(#,##0.0000\);_(&quot;$&quot;* &quot;-&quot;??_);_(@_)"/>
    <numFmt numFmtId="179" formatCode="0.0000%"/>
    <numFmt numFmtId="180" formatCode="_(* #,##0.0000_);_(* \(#,##0.0000\);_(* &quot;-&quot;??_);_(@_)"/>
    <numFmt numFmtId="181" formatCode="_(* #,##0.0_);_(* \(#,##0.0\);_(* &quot;-&quot;??_);_(@_)"/>
    <numFmt numFmtId="182" formatCode="0.00000%"/>
    <numFmt numFmtId="183" formatCode="&quot;$&quot;#,##0.0000"/>
    <numFmt numFmtId="184" formatCode="_(* #,##0.00000_);_(* \(#,##0.00000\);_(* &quot;-&quot;??_);_(@_)"/>
    <numFmt numFmtId="185" formatCode="0.0000000"/>
    <numFmt numFmtId="186" formatCode="_(&quot;$&quot;* #,##0.000_);_(&quot;$&quot;* \(#,##0.000\);_(&quot;$&quot;* &quot;-&quot;_);_(@_)"/>
    <numFmt numFmtId="187" formatCode="#,##0.0000_);\(#,##0.0000\)"/>
    <numFmt numFmtId="188" formatCode="[$-409]mmmm\ d\,\ yyyy;@"/>
    <numFmt numFmtId="189" formatCode="_(* #,##0.00000000_);_(* \(#,##0.00000000\);_(* &quot;-&quot;??_);_(@_)"/>
    <numFmt numFmtId="190" formatCode="&quot;$&quot;#,##0.000_);[Red]\(&quot;$&quot;#,##0.000\)"/>
    <numFmt numFmtId="191" formatCode="mm/dd/yy;@"/>
    <numFmt numFmtId="192" formatCode="&quot;$&quot;#,##0.0000_);[Red]\(&quot;$&quot;#,##0.0000\)"/>
  </numFmts>
  <fonts count="136">
    <font>
      <sz val="12"/>
      <name val="Arial MT"/>
    </font>
    <font>
      <sz val="11"/>
      <color theme="1"/>
      <name val="Calibri"/>
      <family val="2"/>
      <scheme val="minor"/>
    </font>
    <font>
      <sz val="11"/>
      <color theme="1"/>
      <name val="Calibri"/>
      <family val="2"/>
      <scheme val="minor"/>
    </font>
    <font>
      <sz val="11"/>
      <color theme="1"/>
      <name val="Calibri"/>
      <family val="2"/>
      <scheme val="minor"/>
    </font>
    <font>
      <sz val="10"/>
      <color theme="1"/>
      <name val="Courier New"/>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2"/>
      <name val="Arial"/>
      <family val="2"/>
    </font>
    <font>
      <b/>
      <sz val="14"/>
      <name val="Book Antiqua"/>
      <family val="1"/>
    </font>
    <font>
      <i/>
      <sz val="10"/>
      <name val="Book Antiqua"/>
      <family val="1"/>
    </font>
    <font>
      <sz val="10"/>
      <name val="MS Sans Serif"/>
    </font>
    <font>
      <b/>
      <sz val="10"/>
      <name val="MS Sans Serif"/>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sz val="10"/>
      <name val="Times New Roman"/>
      <family val="1"/>
    </font>
    <font>
      <u/>
      <sz val="12"/>
      <name val="Times New Roman"/>
      <family val="1"/>
    </font>
    <font>
      <sz val="8"/>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Arial MT"/>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sz val="10"/>
      <name val="MS Sans Serif"/>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0"/>
      <color theme="1"/>
      <name val="Arial"/>
      <family val="2"/>
    </font>
    <font>
      <b/>
      <sz val="10"/>
      <color theme="1"/>
      <name val="Arial"/>
      <family val="2"/>
    </font>
    <font>
      <i/>
      <sz val="10"/>
      <color theme="1"/>
      <name val="Arial"/>
      <family val="2"/>
    </font>
    <font>
      <strike/>
      <sz val="10"/>
      <name val="Arial"/>
      <family val="2"/>
    </font>
    <font>
      <b/>
      <sz val="10"/>
      <color indexed="10"/>
      <name val="Arial"/>
      <family val="2"/>
    </font>
    <font>
      <b/>
      <sz val="14"/>
      <name val="Arial Narrow"/>
      <family val="2"/>
    </font>
    <font>
      <b/>
      <sz val="12"/>
      <color indexed="10"/>
      <name val="Arial"/>
      <family val="2"/>
    </font>
    <font>
      <b/>
      <sz val="12"/>
      <color indexed="13"/>
      <name val="Helvetica"/>
      <family val="2"/>
    </font>
    <font>
      <sz val="12"/>
      <color indexed="12"/>
      <name val="Arial"/>
      <family val="2"/>
    </font>
    <font>
      <b/>
      <sz val="12"/>
      <color indexed="13"/>
      <name val="Helv"/>
    </font>
    <font>
      <b/>
      <sz val="12"/>
      <name val="Helv"/>
    </font>
    <font>
      <sz val="12"/>
      <color indexed="12"/>
      <name val="Helv"/>
    </font>
    <font>
      <sz val="12"/>
      <name val="Helv"/>
    </font>
    <font>
      <b/>
      <u/>
      <sz val="10"/>
      <name val="Arial"/>
      <family val="2"/>
    </font>
    <font>
      <sz val="10"/>
      <color indexed="12"/>
      <name val="Arial"/>
      <family val="2"/>
    </font>
    <font>
      <u/>
      <sz val="12"/>
      <name val="Arial"/>
      <family val="2"/>
    </font>
    <font>
      <sz val="10"/>
      <name val="Arial"/>
      <family val="2"/>
    </font>
    <font>
      <b/>
      <u/>
      <sz val="12"/>
      <name val="Arial"/>
      <family val="2"/>
    </font>
    <font>
      <b/>
      <sz val="11"/>
      <color theme="1"/>
      <name val="Calibri"/>
      <family val="2"/>
      <scheme val="minor"/>
    </font>
    <font>
      <sz val="12"/>
      <color indexed="10"/>
      <name val="Arial"/>
      <family val="2"/>
    </font>
    <font>
      <sz val="11"/>
      <color theme="1"/>
      <name val="Calibri"/>
      <family val="2"/>
    </font>
    <font>
      <u/>
      <sz val="10"/>
      <color theme="1"/>
      <name val="Arial"/>
      <family val="2"/>
    </font>
    <font>
      <sz val="12"/>
      <color indexed="56"/>
      <name val="Arial"/>
      <family val="2"/>
    </font>
    <font>
      <u val="singleAccounting"/>
      <sz val="12"/>
      <name val="Arial"/>
      <family val="2"/>
    </font>
    <font>
      <strike/>
      <vertAlign val="superscript"/>
      <sz val="12"/>
      <name val="Arial"/>
      <family val="2"/>
    </font>
    <font>
      <vertAlign val="subscript"/>
      <sz val="10"/>
      <name val="Arial"/>
      <family val="2"/>
    </font>
    <font>
      <sz val="12"/>
      <name val="Times New Roman"/>
      <family val="1"/>
    </font>
    <font>
      <u val="singleAccounting"/>
      <sz val="12"/>
      <name val="Times New Roman"/>
      <family val="1"/>
    </font>
    <font>
      <b/>
      <sz val="12"/>
      <name val="Times New Roman"/>
      <family val="1"/>
    </font>
    <font>
      <strike/>
      <sz val="12"/>
      <name val="Times New Roman"/>
      <family val="1"/>
    </font>
    <font>
      <b/>
      <sz val="10"/>
      <name val="Times New Roman"/>
      <family val="1"/>
    </font>
    <font>
      <sz val="10"/>
      <name val="Arial MT"/>
    </font>
    <font>
      <strike/>
      <sz val="10"/>
      <name val="Arial MT"/>
    </font>
    <font>
      <sz val="12"/>
      <color rgb="FFFF0000"/>
      <name val="Times New Roman"/>
      <family val="1"/>
    </font>
    <font>
      <sz val="12"/>
      <color rgb="FFFF0000"/>
      <name val="Arial"/>
      <family val="2"/>
    </font>
    <font>
      <sz val="11"/>
      <name val="Calibri"/>
      <family val="2"/>
      <scheme val="minor"/>
    </font>
    <font>
      <b/>
      <sz val="12"/>
      <name val="Arial MT"/>
    </font>
    <font>
      <u/>
      <sz val="10"/>
      <name val="Arial"/>
      <family val="2"/>
    </font>
    <font>
      <b/>
      <u/>
      <sz val="12"/>
      <name val="Times New Roman"/>
      <family val="1"/>
    </font>
    <font>
      <sz val="12"/>
      <name val="Calibri"/>
      <family val="2"/>
    </font>
    <font>
      <sz val="8"/>
      <name val="Arial MT"/>
    </font>
    <font>
      <sz val="12"/>
      <color theme="1"/>
      <name val="Times New Roman"/>
      <family val="1"/>
    </font>
    <font>
      <b/>
      <sz val="12"/>
      <color theme="1"/>
      <name val="Times New Roman"/>
      <family val="1"/>
    </font>
    <font>
      <u/>
      <sz val="12"/>
      <color theme="1"/>
      <name val="Times New Roman"/>
      <family val="1"/>
    </font>
    <font>
      <sz val="12"/>
      <name val="Courier New"/>
      <family val="3"/>
    </font>
    <font>
      <b/>
      <sz val="12"/>
      <name val="Courier New"/>
      <family val="3"/>
    </font>
    <font>
      <sz val="12"/>
      <color theme="1"/>
      <name val="Courier New"/>
      <family val="3"/>
    </font>
    <font>
      <b/>
      <u/>
      <sz val="12"/>
      <color theme="1"/>
      <name val="Times New Roman"/>
      <family val="1"/>
    </font>
    <font>
      <sz val="12"/>
      <color rgb="FFFF0000"/>
      <name val="Calibri"/>
      <family val="2"/>
      <scheme val="minor"/>
    </font>
    <font>
      <sz val="12"/>
      <color rgb="FFFF0000"/>
      <name val="Arial MT"/>
    </font>
    <font>
      <b/>
      <sz val="12"/>
      <color rgb="FFFF0000"/>
      <name val="Times New Roman"/>
      <family val="1"/>
    </font>
    <font>
      <sz val="12"/>
      <color rgb="FF0070C0"/>
      <name val="Times New Roman"/>
      <family val="1"/>
    </font>
    <font>
      <sz val="12"/>
      <color rgb="FF0070C0"/>
      <name val="Arial MT"/>
    </font>
    <font>
      <b/>
      <sz val="12"/>
      <color rgb="FF0070C0"/>
      <name val="Times New Roman"/>
      <family val="1"/>
    </font>
    <font>
      <b/>
      <sz val="12"/>
      <color rgb="FF0070C0"/>
      <name val="Calibri"/>
      <family val="2"/>
      <scheme val="minor"/>
    </font>
    <font>
      <b/>
      <sz val="12"/>
      <color rgb="FF0070C0"/>
      <name val="Arial"/>
      <family val="2"/>
    </font>
    <font>
      <u val="singleAccounting"/>
      <sz val="12"/>
      <name val="Arial MT"/>
    </font>
    <font>
      <u/>
      <sz val="12"/>
      <name val="Arial MT"/>
    </font>
    <font>
      <b/>
      <sz val="12"/>
      <color theme="7"/>
      <name val="Times New Roman"/>
      <family val="1"/>
    </font>
    <font>
      <b/>
      <sz val="10"/>
      <color theme="7"/>
      <name val="Calibri"/>
      <family val="2"/>
      <scheme val="minor"/>
    </font>
    <font>
      <sz val="11"/>
      <color rgb="FFFF0000"/>
      <name val="Calibri"/>
      <family val="2"/>
    </font>
    <font>
      <b/>
      <sz val="18"/>
      <name val="Times New Roman"/>
      <family val="1"/>
    </font>
  </fonts>
  <fills count="2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mediumGray">
        <fgColor indexed="22"/>
      </patternFill>
    </fill>
    <fill>
      <patternFill patternType="solid">
        <fgColor indexed="22"/>
        <bgColor indexed="64"/>
      </patternFill>
    </fill>
    <fill>
      <patternFill patternType="solid">
        <fgColor theme="5" tint="0.79998168889431442"/>
        <bgColor indexed="64"/>
      </patternFill>
    </fill>
    <fill>
      <patternFill patternType="solid">
        <fgColor theme="1"/>
        <bgColor indexed="64"/>
      </patternFill>
    </fill>
    <fill>
      <patternFill patternType="solid">
        <fgColor indexed="8"/>
        <bgColor indexed="64"/>
      </patternFill>
    </fill>
    <fill>
      <patternFill patternType="solid">
        <fgColor theme="0"/>
        <bgColor indexed="64"/>
      </patternFill>
    </fill>
  </fills>
  <borders count="3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medium">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auto="1"/>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68">
    <xf numFmtId="173" fontId="0" fillId="0" borderId="0" applyProtection="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1" fillId="6" borderId="0" applyNumberFormat="0" applyBorder="0" applyAlignment="0" applyProtection="0"/>
    <xf numFmtId="0" fontId="51" fillId="3"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6" borderId="0" applyNumberFormat="0" applyBorder="0" applyAlignment="0" applyProtection="0"/>
    <xf numFmtId="0" fontId="51" fillId="4" borderId="0" applyNumberFormat="0" applyBorder="0" applyAlignment="0" applyProtection="0"/>
    <xf numFmtId="0" fontId="52" fillId="6"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6" borderId="0" applyNumberFormat="0" applyBorder="0" applyAlignment="0" applyProtection="0"/>
    <xf numFmtId="0" fontId="52" fillId="3" borderId="0" applyNumberFormat="0" applyBorder="0" applyAlignment="0" applyProtection="0"/>
    <xf numFmtId="0" fontId="52" fillId="11"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3" fillId="15" borderId="0" applyNumberFormat="0" applyBorder="0" applyAlignment="0" applyProtection="0"/>
    <xf numFmtId="173" fontId="15" fillId="0" borderId="0" applyFill="0"/>
    <xf numFmtId="173" fontId="15" fillId="0" borderId="0">
      <alignment horizontal="center"/>
    </xf>
    <xf numFmtId="0" fontId="15" fillId="0" borderId="0" applyFill="0">
      <alignment horizontal="center"/>
    </xf>
    <xf numFmtId="173" fontId="16" fillId="0" borderId="1" applyFill="0"/>
    <xf numFmtId="0" fontId="17" fillId="0" borderId="0" applyFont="0" applyAlignment="0"/>
    <xf numFmtId="0" fontId="18" fillId="0" borderId="0" applyFill="0">
      <alignment vertical="top"/>
    </xf>
    <xf numFmtId="0" fontId="16" fillId="0" borderId="0" applyFill="0">
      <alignment horizontal="left" vertical="top"/>
    </xf>
    <xf numFmtId="173" fontId="19" fillId="0" borderId="2" applyFill="0"/>
    <xf numFmtId="0" fontId="17" fillId="0" borderId="0" applyNumberFormat="0" applyFont="0" applyAlignment="0"/>
    <xf numFmtId="0" fontId="18" fillId="0" borderId="0" applyFill="0">
      <alignment wrapText="1"/>
    </xf>
    <xf numFmtId="0" fontId="16" fillId="0" borderId="0" applyFill="0">
      <alignment horizontal="left" vertical="top" wrapText="1"/>
    </xf>
    <xf numFmtId="173" fontId="20" fillId="0" borderId="0" applyFill="0"/>
    <xf numFmtId="0" fontId="21" fillId="0" borderId="0" applyNumberFormat="0" applyFont="0" applyAlignment="0">
      <alignment horizontal="center"/>
    </xf>
    <xf numFmtId="0" fontId="22" fillId="0" borderId="0" applyFill="0">
      <alignment vertical="top" wrapText="1"/>
    </xf>
    <xf numFmtId="0" fontId="19" fillId="0" borderId="0" applyFill="0">
      <alignment horizontal="left" vertical="top" wrapText="1"/>
    </xf>
    <xf numFmtId="173" fontId="17" fillId="0" borderId="0" applyFill="0"/>
    <xf numFmtId="0" fontId="21" fillId="0" borderId="0" applyNumberFormat="0" applyFont="0" applyAlignment="0">
      <alignment horizontal="center"/>
    </xf>
    <xf numFmtId="0" fontId="23" fillId="0" borderId="0" applyFill="0">
      <alignment vertical="center" wrapText="1"/>
    </xf>
    <xf numFmtId="0" fontId="24" fillId="0" borderId="0">
      <alignment horizontal="left" vertical="center" wrapText="1"/>
    </xf>
    <xf numFmtId="173" fontId="25" fillId="0" borderId="0" applyFill="0"/>
    <xf numFmtId="0" fontId="21" fillId="0" borderId="0" applyNumberFormat="0" applyFont="0" applyAlignment="0">
      <alignment horizontal="center"/>
    </xf>
    <xf numFmtId="0" fontId="26" fillId="0" borderId="0" applyFill="0">
      <alignment horizontal="center" vertical="center" wrapText="1"/>
    </xf>
    <xf numFmtId="0" fontId="27" fillId="0" borderId="0" applyFill="0">
      <alignment horizontal="center" vertical="center" wrapText="1"/>
    </xf>
    <xf numFmtId="173" fontId="28" fillId="0" borderId="0" applyFill="0"/>
    <xf numFmtId="0" fontId="21" fillId="0" borderId="0" applyNumberFormat="0" applyFont="0" applyAlignment="0">
      <alignment horizontal="center"/>
    </xf>
    <xf numFmtId="0" fontId="29" fillId="0" borderId="0" applyFill="0">
      <alignment horizontal="center" vertical="center" wrapText="1"/>
    </xf>
    <xf numFmtId="0" fontId="30" fillId="0" borderId="0" applyFill="0">
      <alignment horizontal="center" vertical="center" wrapText="1"/>
    </xf>
    <xf numFmtId="173" fontId="31" fillId="0" borderId="0" applyFill="0"/>
    <xf numFmtId="0" fontId="21" fillId="0" borderId="0" applyNumberFormat="0" applyFont="0" applyAlignment="0">
      <alignment horizontal="center"/>
    </xf>
    <xf numFmtId="0" fontId="32" fillId="0" borderId="0">
      <alignment horizontal="center" wrapText="1"/>
    </xf>
    <xf numFmtId="0" fontId="28" fillId="0" borderId="0" applyFill="0">
      <alignment horizontal="center" wrapText="1"/>
    </xf>
    <xf numFmtId="0" fontId="54" fillId="16" borderId="3" applyNumberFormat="0" applyAlignment="0" applyProtection="0"/>
    <xf numFmtId="0" fontId="55" fillId="17" borderId="4" applyNumberFormat="0" applyAlignment="0" applyProtection="0"/>
    <xf numFmtId="43" fontId="17" fillId="0" borderId="0" applyFont="0" applyFill="0" applyBorder="0" applyAlignment="0" applyProtection="0"/>
    <xf numFmtId="43" fontId="64" fillId="0" borderId="0" applyFont="0" applyFill="0" applyBorder="0" applyAlignment="0" applyProtection="0"/>
    <xf numFmtId="43" fontId="27" fillId="0" borderId="0" applyFont="0" applyFill="0" applyBorder="0" applyAlignment="0" applyProtection="0"/>
    <xf numFmtId="3" fontId="17" fillId="0" borderId="0" applyFont="0" applyFill="0" applyBorder="0" applyAlignment="0" applyProtection="0"/>
    <xf numFmtId="44" fontId="17" fillId="0" borderId="0" applyFont="0" applyFill="0" applyBorder="0" applyAlignment="0" applyProtection="0"/>
    <xf numFmtId="5" fontId="17" fillId="0" borderId="0" applyFont="0" applyFill="0" applyBorder="0" applyAlignment="0" applyProtection="0"/>
    <xf numFmtId="14" fontId="17" fillId="0" borderId="0" applyFont="0" applyFill="0" applyBorder="0" applyAlignment="0" applyProtection="0"/>
    <xf numFmtId="0" fontId="57" fillId="0" borderId="0" applyNumberFormat="0" applyFill="0" applyBorder="0" applyAlignment="0" applyProtection="0"/>
    <xf numFmtId="2" fontId="17" fillId="0" borderId="0" applyFont="0" applyFill="0" applyBorder="0" applyAlignment="0" applyProtection="0"/>
    <xf numFmtId="0" fontId="58" fillId="6" borderId="0" applyNumberFormat="0" applyBorder="0" applyAlignment="0" applyProtection="0"/>
    <xf numFmtId="0" fontId="33" fillId="0" borderId="0" applyFont="0" applyFill="0" applyBorder="0" applyAlignment="0" applyProtection="0"/>
    <xf numFmtId="0" fontId="34" fillId="0" borderId="0" applyFont="0" applyFill="0" applyBorder="0" applyAlignment="0" applyProtection="0"/>
    <xf numFmtId="0" fontId="59" fillId="0" borderId="5" applyNumberFormat="0" applyFill="0" applyAlignment="0" applyProtection="0"/>
    <xf numFmtId="0" fontId="59" fillId="0" borderId="0" applyNumberFormat="0" applyFill="0" applyBorder="0" applyAlignment="0" applyProtection="0"/>
    <xf numFmtId="0" fontId="35" fillId="0" borderId="6"/>
    <xf numFmtId="0" fontId="36" fillId="0" borderId="0"/>
    <xf numFmtId="0" fontId="60" fillId="7" borderId="3" applyNumberFormat="0" applyAlignment="0" applyProtection="0"/>
    <xf numFmtId="0" fontId="61" fillId="0" borderId="7" applyNumberFormat="0" applyFill="0" applyAlignment="0" applyProtection="0"/>
    <xf numFmtId="0" fontId="62" fillId="7" borderId="0" applyNumberFormat="0" applyBorder="0" applyAlignment="0" applyProtection="0"/>
    <xf numFmtId="0" fontId="66" fillId="0" borderId="0">
      <alignment vertical="top"/>
    </xf>
    <xf numFmtId="0" fontId="27" fillId="0" borderId="0"/>
    <xf numFmtId="0" fontId="27" fillId="0" borderId="0"/>
    <xf numFmtId="0" fontId="27" fillId="0" borderId="0"/>
    <xf numFmtId="0" fontId="17" fillId="0" borderId="0"/>
    <xf numFmtId="0" fontId="56" fillId="4" borderId="8" applyNumberFormat="0" applyFont="0" applyAlignment="0" applyProtection="0"/>
    <xf numFmtId="0" fontId="63" fillId="16" borderId="9" applyNumberFormat="0" applyAlignment="0" applyProtection="0"/>
    <xf numFmtId="9" fontId="17" fillId="0" borderId="0" applyFont="0" applyFill="0" applyBorder="0" applyAlignment="0" applyProtection="0"/>
    <xf numFmtId="9" fontId="27" fillId="0" borderId="0" applyFont="0" applyFill="0" applyBorder="0" applyAlignment="0" applyProtection="0"/>
    <xf numFmtId="0" fontId="37" fillId="0" borderId="0" applyNumberFormat="0" applyFont="0" applyFill="0" applyBorder="0" applyAlignment="0" applyProtection="0">
      <alignment horizontal="left"/>
    </xf>
    <xf numFmtId="15" fontId="37" fillId="0" borderId="0" applyFont="0" applyFill="0" applyBorder="0" applyAlignment="0" applyProtection="0"/>
    <xf numFmtId="4" fontId="37" fillId="0" borderId="0" applyFont="0" applyFill="0" applyBorder="0" applyAlignment="0" applyProtection="0"/>
    <xf numFmtId="3" fontId="17" fillId="0" borderId="0">
      <alignment horizontal="left" vertical="top"/>
    </xf>
    <xf numFmtId="0" fontId="38" fillId="0" borderId="6">
      <alignment horizontal="center"/>
    </xf>
    <xf numFmtId="3" fontId="37" fillId="0" borderId="0" applyFont="0" applyFill="0" applyBorder="0" applyAlignment="0" applyProtection="0"/>
    <xf numFmtId="0" fontId="37" fillId="18" borderId="0" applyNumberFormat="0" applyFont="0" applyBorder="0" applyAlignment="0" applyProtection="0"/>
    <xf numFmtId="3" fontId="17" fillId="0" borderId="0">
      <alignment horizontal="right" vertical="top"/>
    </xf>
    <xf numFmtId="41" fontId="24" fillId="19" borderId="10" applyFill="0"/>
    <xf numFmtId="0" fontId="39" fillId="0" borderId="0">
      <alignment horizontal="left" indent="7"/>
    </xf>
    <xf numFmtId="41" fontId="24" fillId="0" borderId="10" applyFill="0">
      <alignment horizontal="left" indent="2"/>
    </xf>
    <xf numFmtId="173" fontId="40" fillId="0" borderId="11" applyFill="0">
      <alignment horizontal="right"/>
    </xf>
    <xf numFmtId="0" fontId="41" fillId="0" borderId="12" applyNumberFormat="0" applyFont="0" applyBorder="0">
      <alignment horizontal="right"/>
    </xf>
    <xf numFmtId="0" fontId="42" fillId="0" borderId="0" applyFill="0"/>
    <xf numFmtId="0" fontId="19" fillId="0" borderId="0" applyFill="0"/>
    <xf numFmtId="4" fontId="40" fillId="0" borderId="11" applyFill="0"/>
    <xf numFmtId="0" fontId="17" fillId="0" borderId="0" applyNumberFormat="0" applyFont="0" applyBorder="0" applyAlignment="0"/>
    <xf numFmtId="0" fontId="22" fillId="0" borderId="0" applyFill="0">
      <alignment horizontal="left" indent="1"/>
    </xf>
    <xf numFmtId="0" fontId="43" fillId="0" borderId="0" applyFill="0">
      <alignment horizontal="left" indent="1"/>
    </xf>
    <xf numFmtId="4" fontId="25" fillId="0" borderId="0" applyFill="0"/>
    <xf numFmtId="0" fontId="17" fillId="0" borderId="0" applyNumberFormat="0" applyFont="0" applyFill="0" applyBorder="0" applyAlignment="0"/>
    <xf numFmtId="0" fontId="22" fillId="0" borderId="0" applyFill="0">
      <alignment horizontal="left" indent="2"/>
    </xf>
    <xf numFmtId="0" fontId="19" fillId="0" borderId="0" applyFill="0">
      <alignment horizontal="left" indent="2"/>
    </xf>
    <xf numFmtId="4" fontId="25" fillId="0" borderId="0" applyFill="0"/>
    <xf numFmtId="0" fontId="17" fillId="0" borderId="0" applyNumberFormat="0" applyFont="0" applyBorder="0" applyAlignment="0"/>
    <xf numFmtId="0" fontId="44" fillId="0" borderId="0">
      <alignment horizontal="left" indent="3"/>
    </xf>
    <xf numFmtId="0" fontId="45" fillId="0" borderId="0" applyFill="0">
      <alignment horizontal="left" indent="3"/>
    </xf>
    <xf numFmtId="4" fontId="25" fillId="0" borderId="0" applyFill="0"/>
    <xf numFmtId="0" fontId="17" fillId="0" borderId="0" applyNumberFormat="0" applyFont="0" applyBorder="0" applyAlignment="0"/>
    <xf numFmtId="0" fontId="26" fillId="0" borderId="0">
      <alignment horizontal="left" indent="4"/>
    </xf>
    <xf numFmtId="0" fontId="27" fillId="0" borderId="0" applyFill="0">
      <alignment horizontal="left" indent="4"/>
    </xf>
    <xf numFmtId="4" fontId="28" fillId="0" borderId="0" applyFill="0"/>
    <xf numFmtId="0" fontId="17" fillId="0" borderId="0" applyNumberFormat="0" applyFont="0" applyBorder="0" applyAlignment="0"/>
    <xf numFmtId="0" fontId="29" fillId="0" borderId="0">
      <alignment horizontal="left" indent="5"/>
    </xf>
    <xf numFmtId="0" fontId="30" fillId="0" borderId="0" applyFill="0">
      <alignment horizontal="left" indent="5"/>
    </xf>
    <xf numFmtId="4" fontId="31" fillId="0" borderId="0" applyFill="0"/>
    <xf numFmtId="0" fontId="17" fillId="0" borderId="0" applyNumberFormat="0" applyFont="0" applyFill="0" applyBorder="0" applyAlignment="0"/>
    <xf numFmtId="0" fontId="32" fillId="0" borderId="0" applyFill="0">
      <alignment horizontal="left" indent="6"/>
    </xf>
    <xf numFmtId="0" fontId="28" fillId="0" borderId="0" applyFill="0">
      <alignment horizontal="left" indent="6"/>
    </xf>
    <xf numFmtId="0" fontId="65" fillId="0" borderId="0" applyNumberFormat="0" applyFill="0" applyBorder="0" applyAlignment="0" applyProtection="0"/>
    <xf numFmtId="0" fontId="17" fillId="0" borderId="0" applyFont="0" applyFill="0" applyBorder="0" applyAlignment="0" applyProtection="0"/>
    <xf numFmtId="0" fontId="61" fillId="0" borderId="0" applyNumberFormat="0" applyFill="0" applyBorder="0" applyAlignment="0" applyProtection="0"/>
    <xf numFmtId="0" fontId="14" fillId="0" borderId="0"/>
    <xf numFmtId="9" fontId="14" fillId="0" borderId="0" applyFont="0" applyFill="0" applyBorder="0" applyAlignment="0" applyProtection="0"/>
    <xf numFmtId="44"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90" fillId="0" borderId="0"/>
    <xf numFmtId="44"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173" fontId="56" fillId="0" borderId="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2" fillId="0" borderId="0"/>
    <xf numFmtId="43" fontId="12" fillId="0" borderId="0" applyFont="0" applyFill="0" applyBorder="0" applyAlignment="0" applyProtection="0"/>
    <xf numFmtId="0" fontId="94" fillId="0" borderId="0"/>
    <xf numFmtId="43" fontId="94" fillId="0" borderId="0" applyFont="0" applyFill="0" applyBorder="0" applyAlignment="0" applyProtection="0"/>
    <xf numFmtId="0" fontId="17" fillId="0" borderId="0"/>
    <xf numFmtId="9" fontId="56" fillId="0" borderId="0" applyFont="0" applyFill="0" applyBorder="0" applyAlignment="0" applyProtection="0"/>
    <xf numFmtId="0" fontId="11" fillId="0" borderId="0"/>
    <xf numFmtId="43" fontId="11" fillId="0" borderId="0" applyFont="0" applyFill="0" applyBorder="0" applyAlignment="0" applyProtection="0"/>
    <xf numFmtId="0" fontId="17" fillId="0" borderId="0"/>
    <xf numFmtId="0" fontId="17" fillId="0" borderId="0"/>
    <xf numFmtId="43" fontId="5" fillId="0" borderId="0" applyFont="0" applyFill="0" applyBorder="0" applyAlignment="0" applyProtection="0"/>
    <xf numFmtId="0" fontId="5" fillId="0" borderId="0"/>
    <xf numFmtId="41" fontId="5" fillId="0" borderId="0" applyFont="0" applyFill="0" applyBorder="0" applyAlignment="0" applyProtection="0"/>
    <xf numFmtId="0" fontId="4" fillId="0" borderId="0"/>
    <xf numFmtId="43" fontId="4"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74" fillId="0" borderId="0"/>
    <xf numFmtId="43" fontId="74" fillId="0" borderId="0" applyFont="0" applyFill="0" applyBorder="0" applyAlignment="0" applyProtection="0"/>
    <xf numFmtId="43" fontId="17" fillId="0" borderId="0" applyFont="0" applyFill="0" applyBorder="0" applyAlignment="0" applyProtection="0"/>
    <xf numFmtId="0" fontId="56" fillId="0" borderId="0" applyProtection="0"/>
  </cellStyleXfs>
  <cellXfs count="1071">
    <xf numFmtId="173" fontId="0" fillId="0" borderId="0" xfId="0"/>
    <xf numFmtId="173" fontId="46" fillId="0" borderId="0" xfId="0" applyFont="1"/>
    <xf numFmtId="0" fontId="46" fillId="0" borderId="0" xfId="0" applyNumberFormat="1" applyFont="1"/>
    <xf numFmtId="0" fontId="46" fillId="0" borderId="0" xfId="0" applyNumberFormat="1" applyFont="1" applyAlignment="1">
      <alignment horizontal="right"/>
    </xf>
    <xf numFmtId="3" fontId="46" fillId="0" borderId="0" xfId="82" applyNumberFormat="1" applyFont="1"/>
    <xf numFmtId="0" fontId="17" fillId="0" borderId="0" xfId="82"/>
    <xf numFmtId="0" fontId="48" fillId="0" borderId="0" xfId="82" applyFont="1"/>
    <xf numFmtId="3" fontId="48" fillId="0" borderId="0" xfId="82" applyNumberFormat="1" applyFont="1"/>
    <xf numFmtId="0" fontId="46" fillId="0" borderId="0" xfId="82" applyFont="1"/>
    <xf numFmtId="174" fontId="46" fillId="0" borderId="0" xfId="63" applyNumberFormat="1" applyFont="1" applyFill="1" applyBorder="1" applyAlignment="1"/>
    <xf numFmtId="0" fontId="49" fillId="0" borderId="0" xfId="82" applyFont="1"/>
    <xf numFmtId="174" fontId="46" fillId="0" borderId="0" xfId="63" applyNumberFormat="1" applyFont="1" applyBorder="1" applyAlignment="1"/>
    <xf numFmtId="178" fontId="46" fillId="0" borderId="0" xfId="63" applyNumberFormat="1" applyFont="1" applyBorder="1"/>
    <xf numFmtId="0" fontId="46" fillId="0" borderId="0" xfId="82" applyFont="1" applyAlignment="1">
      <alignment horizontal="left" wrapText="1"/>
    </xf>
    <xf numFmtId="0" fontId="46" fillId="0" borderId="0" xfId="82" applyFont="1" applyAlignment="1">
      <alignment horizontal="left"/>
    </xf>
    <xf numFmtId="0" fontId="49" fillId="0" borderId="0" xfId="82" applyFont="1" applyAlignment="1">
      <alignment horizontal="center"/>
    </xf>
    <xf numFmtId="173" fontId="46" fillId="0" borderId="0" xfId="0" applyFont="1" applyAlignment="1">
      <alignment horizontal="right"/>
    </xf>
    <xf numFmtId="173" fontId="46" fillId="0" borderId="0" xfId="0" applyFont="1" applyAlignment="1">
      <alignment horizontal="center"/>
    </xf>
    <xf numFmtId="173" fontId="47" fillId="0" borderId="0" xfId="0" applyFont="1"/>
    <xf numFmtId="173" fontId="47" fillId="0" borderId="13" xfId="0" applyFont="1" applyBorder="1" applyAlignment="1">
      <alignment horizontal="center" wrapText="1"/>
    </xf>
    <xf numFmtId="173" fontId="47" fillId="0" borderId="14" xfId="0" applyFont="1" applyBorder="1"/>
    <xf numFmtId="173" fontId="47" fillId="0" borderId="14" xfId="0" applyFont="1" applyBorder="1" applyAlignment="1">
      <alignment horizontal="center" wrapText="1"/>
    </xf>
    <xf numFmtId="0" fontId="47" fillId="0" borderId="14" xfId="0" applyNumberFormat="1" applyFont="1" applyBorder="1" applyAlignment="1">
      <alignment horizontal="center" wrapText="1"/>
    </xf>
    <xf numFmtId="0" fontId="46" fillId="0" borderId="13" xfId="0" applyNumberFormat="1" applyFont="1" applyBorder="1"/>
    <xf numFmtId="0" fontId="46" fillId="0" borderId="14" xfId="0" applyNumberFormat="1" applyFont="1" applyBorder="1"/>
    <xf numFmtId="0" fontId="46" fillId="0" borderId="14" xfId="0" applyNumberFormat="1" applyFont="1" applyBorder="1" applyAlignment="1">
      <alignment horizontal="center"/>
    </xf>
    <xf numFmtId="0" fontId="46" fillId="0" borderId="16" xfId="0" applyNumberFormat="1" applyFont="1" applyBorder="1"/>
    <xf numFmtId="1" fontId="46" fillId="0" borderId="0" xfId="0" applyNumberFormat="1" applyFont="1" applyAlignment="1">
      <alignment horizontal="center"/>
    </xf>
    <xf numFmtId="173" fontId="48" fillId="0" borderId="0" xfId="0" applyFont="1"/>
    <xf numFmtId="173" fontId="49" fillId="0" borderId="0" xfId="0" applyFont="1"/>
    <xf numFmtId="173" fontId="47" fillId="0" borderId="14" xfId="0" applyFont="1" applyBorder="1" applyAlignment="1">
      <alignment horizontal="center"/>
    </xf>
    <xf numFmtId="0" fontId="46" fillId="0" borderId="0" xfId="82" applyFont="1" applyAlignment="1">
      <alignment horizontal="center" vertical="top"/>
    </xf>
    <xf numFmtId="0" fontId="46" fillId="20" borderId="0" xfId="0" applyNumberFormat="1" applyFont="1" applyFill="1" applyAlignment="1">
      <alignment horizontal="right"/>
    </xf>
    <xf numFmtId="173" fontId="67" fillId="0" borderId="0" xfId="0" applyFont="1" applyAlignment="1">
      <alignment vertical="center"/>
    </xf>
    <xf numFmtId="0" fontId="67" fillId="0" borderId="0" xfId="0" applyNumberFormat="1" applyFont="1" applyAlignment="1">
      <alignment vertical="center"/>
    </xf>
    <xf numFmtId="0" fontId="67" fillId="20" borderId="0" xfId="0" applyNumberFormat="1" applyFont="1" applyFill="1" applyAlignment="1">
      <alignment vertical="center"/>
    </xf>
    <xf numFmtId="173" fontId="68" fillId="0" borderId="0" xfId="0" applyFont="1" applyAlignment="1">
      <alignment horizontal="right" vertical="center"/>
    </xf>
    <xf numFmtId="173" fontId="67" fillId="0" borderId="0" xfId="0" applyFont="1" applyAlignment="1">
      <alignment horizontal="center" vertical="center"/>
    </xf>
    <xf numFmtId="173" fontId="68" fillId="0" borderId="0" xfId="0" applyFont="1" applyAlignment="1">
      <alignment horizontal="center" vertical="center"/>
    </xf>
    <xf numFmtId="173" fontId="69" fillId="0" borderId="0" xfId="0" applyFont="1" applyAlignment="1">
      <alignment horizontal="center" vertical="center"/>
    </xf>
    <xf numFmtId="173" fontId="71" fillId="0" borderId="0" xfId="0" applyFont="1" applyAlignment="1">
      <alignment horizontal="left" vertical="center"/>
    </xf>
    <xf numFmtId="0" fontId="68" fillId="0" borderId="0" xfId="0" applyNumberFormat="1" applyFont="1" applyAlignment="1">
      <alignment horizontal="center" vertical="center"/>
    </xf>
    <xf numFmtId="173" fontId="69" fillId="0" borderId="0" xfId="0" applyFont="1" applyAlignment="1">
      <alignment vertical="center"/>
    </xf>
    <xf numFmtId="49" fontId="67" fillId="0" borderId="0" xfId="0" applyNumberFormat="1" applyFont="1" applyAlignment="1">
      <alignment horizontal="center" vertical="center"/>
    </xf>
    <xf numFmtId="164" fontId="67" fillId="0" borderId="0" xfId="85" applyNumberFormat="1" applyFont="1" applyAlignment="1">
      <alignment horizontal="center" vertical="center"/>
    </xf>
    <xf numFmtId="173" fontId="72" fillId="21" borderId="15" xfId="0" applyFont="1" applyFill="1" applyBorder="1" applyAlignment="1">
      <alignment vertical="center"/>
    </xf>
    <xf numFmtId="173" fontId="73" fillId="21" borderId="2" xfId="0" applyFont="1" applyFill="1" applyBorder="1" applyAlignment="1">
      <alignment vertical="center"/>
    </xf>
    <xf numFmtId="173" fontId="73" fillId="21" borderId="2" xfId="0" applyFont="1" applyFill="1" applyBorder="1" applyAlignment="1">
      <alignment horizontal="center" vertical="center"/>
    </xf>
    <xf numFmtId="173" fontId="73" fillId="21" borderId="20" xfId="0" applyFont="1" applyFill="1" applyBorder="1" applyAlignment="1">
      <alignment vertical="center"/>
    </xf>
    <xf numFmtId="173" fontId="67" fillId="0" borderId="16" xfId="0" applyFont="1" applyBorder="1" applyAlignment="1">
      <alignment vertical="center"/>
    </xf>
    <xf numFmtId="173" fontId="67" fillId="0" borderId="17" xfId="0" applyFont="1" applyBorder="1" applyAlignment="1">
      <alignment vertical="center"/>
    </xf>
    <xf numFmtId="173" fontId="67" fillId="0" borderId="11" xfId="0" applyFont="1" applyBorder="1" applyAlignment="1">
      <alignment vertical="center"/>
    </xf>
    <xf numFmtId="174" fontId="46" fillId="20" borderId="0" xfId="63" applyNumberFormat="1" applyFont="1" applyFill="1" applyBorder="1" applyAlignment="1"/>
    <xf numFmtId="173" fontId="73" fillId="0" borderId="0" xfId="0" applyFont="1" applyAlignment="1">
      <alignment horizontal="center" vertical="center"/>
    </xf>
    <xf numFmtId="173" fontId="73" fillId="0" borderId="0" xfId="0" applyFont="1" applyAlignment="1">
      <alignment vertical="center"/>
    </xf>
    <xf numFmtId="173" fontId="46" fillId="0" borderId="0" xfId="0" applyFont="1" applyAlignment="1">
      <alignment horizontal="center" vertical="center"/>
    </xf>
    <xf numFmtId="176" fontId="68" fillId="20" borderId="0" xfId="59" applyNumberFormat="1" applyFont="1" applyFill="1" applyAlignment="1">
      <alignment horizontal="center" vertical="center"/>
    </xf>
    <xf numFmtId="176" fontId="68" fillId="0" borderId="0" xfId="59" applyNumberFormat="1" applyFont="1" applyAlignment="1">
      <alignment vertical="center"/>
    </xf>
    <xf numFmtId="176" fontId="68" fillId="0" borderId="0" xfId="59" applyNumberFormat="1" applyFont="1" applyAlignment="1">
      <alignment horizontal="center" vertical="center"/>
    </xf>
    <xf numFmtId="176" fontId="68" fillId="20" borderId="0" xfId="59" applyNumberFormat="1" applyFont="1" applyFill="1" applyBorder="1" applyAlignment="1">
      <alignment horizontal="center" vertical="center"/>
    </xf>
    <xf numFmtId="176" fontId="68" fillId="0" borderId="0" xfId="59" applyNumberFormat="1" applyFont="1" applyBorder="1" applyAlignment="1">
      <alignment horizontal="center" vertical="center"/>
    </xf>
    <xf numFmtId="176" fontId="68" fillId="0" borderId="11" xfId="59" applyNumberFormat="1" applyFont="1" applyBorder="1" applyAlignment="1">
      <alignment horizontal="center" vertical="center"/>
    </xf>
    <xf numFmtId="176" fontId="68" fillId="0" borderId="0" xfId="59" applyNumberFormat="1" applyFont="1" applyFill="1" applyAlignment="1">
      <alignment horizontal="center" vertical="center"/>
    </xf>
    <xf numFmtId="0" fontId="74" fillId="0" borderId="0" xfId="129" applyFont="1"/>
    <xf numFmtId="0" fontId="75" fillId="0" borderId="0" xfId="129" applyFont="1"/>
    <xf numFmtId="0" fontId="74" fillId="0" borderId="0" xfId="129" applyFont="1" applyAlignment="1">
      <alignment horizontal="left" vertical="center"/>
    </xf>
    <xf numFmtId="0" fontId="14" fillId="0" borderId="0" xfId="129" applyAlignment="1">
      <alignment vertical="center"/>
    </xf>
    <xf numFmtId="3" fontId="46" fillId="20" borderId="0" xfId="82" applyNumberFormat="1" applyFont="1" applyFill="1"/>
    <xf numFmtId="174" fontId="46" fillId="20" borderId="11" xfId="63" applyNumberFormat="1" applyFont="1" applyFill="1" applyBorder="1" applyAlignment="1"/>
    <xf numFmtId="0" fontId="41" fillId="0" borderId="0" xfId="129" applyFont="1"/>
    <xf numFmtId="0" fontId="13" fillId="0" borderId="0" xfId="129" applyFont="1" applyAlignment="1">
      <alignment vertical="center"/>
    </xf>
    <xf numFmtId="0" fontId="17" fillId="0" borderId="0" xfId="132"/>
    <xf numFmtId="0" fontId="78" fillId="0" borderId="0" xfId="132" applyFont="1"/>
    <xf numFmtId="0" fontId="24" fillId="0" borderId="0" xfId="132" applyFont="1"/>
    <xf numFmtId="0" fontId="24" fillId="0" borderId="0" xfId="132" applyFont="1" applyAlignment="1">
      <alignment horizontal="center"/>
    </xf>
    <xf numFmtId="3" fontId="24" fillId="0" borderId="0" xfId="132" applyNumberFormat="1" applyFont="1"/>
    <xf numFmtId="176" fontId="24" fillId="0" borderId="0" xfId="133" applyNumberFormat="1" applyFont="1" applyFill="1"/>
    <xf numFmtId="0" fontId="81" fillId="22" borderId="0" xfId="132" applyFont="1" applyFill="1"/>
    <xf numFmtId="0" fontId="24" fillId="22" borderId="0" xfId="132" applyFont="1" applyFill="1"/>
    <xf numFmtId="0" fontId="81" fillId="0" borderId="0" xfId="132" applyFont="1"/>
    <xf numFmtId="0" fontId="19" fillId="0" borderId="0" xfId="132" applyFont="1" applyAlignment="1">
      <alignment horizontal="center"/>
    </xf>
    <xf numFmtId="0" fontId="24" fillId="0" borderId="0" xfId="132" applyFont="1" applyAlignment="1">
      <alignment wrapText="1"/>
    </xf>
    <xf numFmtId="0" fontId="24" fillId="0" borderId="0" xfId="132" applyFont="1" applyAlignment="1">
      <alignment horizontal="left"/>
    </xf>
    <xf numFmtId="3" fontId="24" fillId="0" borderId="0" xfId="132" applyNumberFormat="1" applyFont="1" applyAlignment="1">
      <alignment horizontal="left"/>
    </xf>
    <xf numFmtId="3" fontId="19" fillId="0" borderId="0" xfId="132" applyNumberFormat="1" applyFont="1" applyAlignment="1">
      <alignment horizontal="left"/>
    </xf>
    <xf numFmtId="0" fontId="19" fillId="0" borderId="0" xfId="132" applyFont="1" applyAlignment="1">
      <alignment horizontal="left"/>
    </xf>
    <xf numFmtId="3" fontId="24" fillId="0" borderId="11" xfId="132" applyNumberFormat="1" applyFont="1" applyBorder="1"/>
    <xf numFmtId="3" fontId="24" fillId="0" borderId="11" xfId="132" applyNumberFormat="1" applyFont="1" applyBorder="1" applyAlignment="1">
      <alignment horizontal="left"/>
    </xf>
    <xf numFmtId="0" fontId="24" fillId="0" borderId="2" xfId="132" applyFont="1" applyBorder="1"/>
    <xf numFmtId="0" fontId="19" fillId="0" borderId="2" xfId="132" applyFont="1" applyBorder="1"/>
    <xf numFmtId="3" fontId="24" fillId="0" borderId="2" xfId="132" applyNumberFormat="1" applyFont="1" applyBorder="1"/>
    <xf numFmtId="3" fontId="24" fillId="0" borderId="0" xfId="132" applyNumberFormat="1" applyFont="1" applyAlignment="1">
      <alignment horizontal="center"/>
    </xf>
    <xf numFmtId="179" fontId="24" fillId="0" borderId="0" xfId="134" applyNumberFormat="1" applyFont="1" applyFill="1" applyBorder="1" applyAlignment="1"/>
    <xf numFmtId="169" fontId="24" fillId="0" borderId="0" xfId="132" applyNumberFormat="1" applyFont="1"/>
    <xf numFmtId="3" fontId="24" fillId="0" borderId="0" xfId="132" quotePrefix="1" applyNumberFormat="1" applyFont="1" applyAlignment="1">
      <alignment horizontal="right"/>
    </xf>
    <xf numFmtId="0" fontId="24" fillId="0" borderId="0" xfId="132" applyFont="1" applyAlignment="1">
      <alignment horizontal="right"/>
    </xf>
    <xf numFmtId="0" fontId="24" fillId="0" borderId="11" xfId="132" applyFont="1" applyBorder="1" applyAlignment="1">
      <alignment horizontal="left"/>
    </xf>
    <xf numFmtId="0" fontId="24" fillId="0" borderId="11" xfId="132" applyFont="1" applyBorder="1"/>
    <xf numFmtId="3" fontId="24" fillId="0" borderId="11" xfId="132" applyNumberFormat="1" applyFont="1" applyBorder="1" applyAlignment="1">
      <alignment horizontal="right"/>
    </xf>
    <xf numFmtId="169" fontId="24" fillId="0" borderId="11" xfId="132" applyNumberFormat="1" applyFont="1" applyBorder="1"/>
    <xf numFmtId="0" fontId="19" fillId="0" borderId="0" xfId="132" applyFont="1"/>
    <xf numFmtId="3" fontId="19" fillId="0" borderId="0" xfId="132" quotePrefix="1" applyNumberFormat="1" applyFont="1" applyAlignment="1">
      <alignment horizontal="right"/>
    </xf>
    <xf numFmtId="169" fontId="19" fillId="0" borderId="0" xfId="132" applyNumberFormat="1" applyFont="1"/>
    <xf numFmtId="0" fontId="19" fillId="0" borderId="24" xfId="132" applyFont="1" applyBorder="1"/>
    <xf numFmtId="0" fontId="24" fillId="0" borderId="24" xfId="132" applyFont="1" applyBorder="1"/>
    <xf numFmtId="3" fontId="19" fillId="0" borderId="24" xfId="132" applyNumberFormat="1" applyFont="1" applyBorder="1" applyAlignment="1">
      <alignment horizontal="left"/>
    </xf>
    <xf numFmtId="166" fontId="19" fillId="0" borderId="24" xfId="132" applyNumberFormat="1" applyFont="1" applyBorder="1" applyAlignment="1">
      <alignment horizontal="center"/>
    </xf>
    <xf numFmtId="3" fontId="19" fillId="0" borderId="24" xfId="132" applyNumberFormat="1" applyFont="1" applyBorder="1"/>
    <xf numFmtId="0" fontId="83" fillId="22" borderId="0" xfId="132" applyFont="1" applyFill="1" applyAlignment="1">
      <alignment horizontal="left"/>
    </xf>
    <xf numFmtId="0" fontId="83" fillId="22" borderId="0" xfId="132" applyFont="1" applyFill="1"/>
    <xf numFmtId="0" fontId="84" fillId="22" borderId="0" xfId="132" applyFont="1" applyFill="1" applyAlignment="1">
      <alignment horizontal="left"/>
    </xf>
    <xf numFmtId="0" fontId="84" fillId="22" borderId="0" xfId="132" applyFont="1" applyFill="1" applyAlignment="1">
      <alignment horizontal="center"/>
    </xf>
    <xf numFmtId="0" fontId="24" fillId="22" borderId="0" xfId="132" applyFont="1" applyFill="1" applyAlignment="1">
      <alignment horizontal="center" wrapText="1"/>
    </xf>
    <xf numFmtId="179" fontId="19" fillId="0" borderId="0" xfId="134" applyNumberFormat="1" applyFont="1" applyAlignment="1"/>
    <xf numFmtId="164" fontId="19" fillId="0" borderId="0" xfId="132" applyNumberFormat="1" applyFont="1" applyAlignment="1">
      <alignment horizontal="left"/>
    </xf>
    <xf numFmtId="166" fontId="24" fillId="0" borderId="0" xfId="132" applyNumberFormat="1" applyFont="1" applyAlignment="1">
      <alignment horizontal="center"/>
    </xf>
    <xf numFmtId="0" fontId="56" fillId="0" borderId="0" xfId="132" applyFont="1"/>
    <xf numFmtId="10" fontId="56" fillId="0" borderId="0" xfId="132" applyNumberFormat="1" applyFont="1"/>
    <xf numFmtId="173" fontId="24" fillId="0" borderId="0" xfId="132" applyNumberFormat="1" applyFont="1"/>
    <xf numFmtId="43" fontId="56" fillId="0" borderId="0" xfId="132" applyNumberFormat="1" applyFont="1"/>
    <xf numFmtId="164" fontId="24" fillId="0" borderId="0" xfId="132" applyNumberFormat="1" applyFont="1" applyAlignment="1">
      <alignment horizontal="left"/>
    </xf>
    <xf numFmtId="10" fontId="24" fillId="0" borderId="0" xfId="132" applyNumberFormat="1" applyFont="1"/>
    <xf numFmtId="164" fontId="24" fillId="0" borderId="0" xfId="132" applyNumberFormat="1" applyFont="1" applyAlignment="1">
      <alignment horizontal="center"/>
    </xf>
    <xf numFmtId="10" fontId="24" fillId="0" borderId="0" xfId="132" applyNumberFormat="1" applyFont="1" applyAlignment="1">
      <alignment horizontal="right"/>
    </xf>
    <xf numFmtId="10" fontId="80" fillId="0" borderId="0" xfId="132" applyNumberFormat="1" applyFont="1" applyAlignment="1">
      <alignment horizontal="right"/>
    </xf>
    <xf numFmtId="3" fontId="85" fillId="0" borderId="0" xfId="132" applyNumberFormat="1" applyFont="1" applyAlignment="1">
      <alignment horizontal="right"/>
    </xf>
    <xf numFmtId="3" fontId="86" fillId="0" borderId="0" xfId="132" applyNumberFormat="1" applyFont="1" applyAlignment="1">
      <alignment horizontal="right"/>
    </xf>
    <xf numFmtId="3" fontId="24" fillId="0" borderId="0" xfId="132" applyNumberFormat="1" applyFont="1" applyAlignment="1">
      <alignment horizontal="right"/>
    </xf>
    <xf numFmtId="166" fontId="24" fillId="0" borderId="0" xfId="132" applyNumberFormat="1" applyFont="1"/>
    <xf numFmtId="182" fontId="24" fillId="0" borderId="0" xfId="134" applyNumberFormat="1" applyFont="1" applyFill="1" applyAlignment="1">
      <alignment horizontal="right"/>
    </xf>
    <xf numFmtId="0" fontId="79" fillId="0" borderId="0" xfId="132" applyFont="1"/>
    <xf numFmtId="43" fontId="24" fillId="0" borderId="0" xfId="59" applyFont="1" applyFill="1" applyAlignment="1">
      <alignment horizontal="right"/>
    </xf>
    <xf numFmtId="10" fontId="56" fillId="0" borderId="0" xfId="85" applyNumberFormat="1" applyFont="1" applyFill="1"/>
    <xf numFmtId="164" fontId="19" fillId="0" borderId="18" xfId="132" applyNumberFormat="1" applyFont="1" applyBorder="1" applyAlignment="1">
      <alignment horizontal="left"/>
    </xf>
    <xf numFmtId="0" fontId="19" fillId="0" borderId="18" xfId="132" applyFont="1" applyBorder="1"/>
    <xf numFmtId="0" fontId="19" fillId="0" borderId="18" xfId="132" applyFont="1" applyBorder="1" applyAlignment="1">
      <alignment horizontal="center"/>
    </xf>
    <xf numFmtId="3" fontId="19" fillId="0" borderId="18" xfId="132" applyNumberFormat="1" applyFont="1" applyBorder="1"/>
    <xf numFmtId="166" fontId="19" fillId="0" borderId="18" xfId="132" applyNumberFormat="1" applyFont="1" applyBorder="1"/>
    <xf numFmtId="3" fontId="19" fillId="0" borderId="18" xfId="133" applyNumberFormat="1" applyFont="1" applyFill="1" applyBorder="1" applyAlignment="1">
      <alignment horizontal="right"/>
    </xf>
    <xf numFmtId="0" fontId="70" fillId="0" borderId="0" xfId="0" applyNumberFormat="1" applyFont="1" applyAlignment="1">
      <alignment horizontal="center" vertical="center"/>
    </xf>
    <xf numFmtId="0" fontId="17" fillId="0" borderId="0" xfId="80" applyFont="1"/>
    <xf numFmtId="0" fontId="87" fillId="0" borderId="0" xfId="80" applyFont="1" applyAlignment="1">
      <alignment horizontal="left"/>
    </xf>
    <xf numFmtId="0" fontId="17" fillId="0" borderId="0" xfId="80" applyFont="1" applyAlignment="1">
      <alignment horizontal="center"/>
    </xf>
    <xf numFmtId="0" fontId="87" fillId="0" borderId="0" xfId="80" applyFont="1"/>
    <xf numFmtId="3" fontId="24" fillId="0" borderId="0" xfId="80" applyNumberFormat="1" applyFont="1"/>
    <xf numFmtId="173" fontId="17" fillId="0" borderId="0" xfId="0" applyFont="1"/>
    <xf numFmtId="173" fontId="45" fillId="0" borderId="0" xfId="0" applyFont="1"/>
    <xf numFmtId="170" fontId="17" fillId="0" borderId="0" xfId="0" applyNumberFormat="1" applyFont="1"/>
    <xf numFmtId="43" fontId="17" fillId="0" borderId="0" xfId="59" applyFont="1" applyFill="1" applyBorder="1" applyAlignment="1"/>
    <xf numFmtId="176" fontId="17" fillId="0" borderId="0" xfId="59" applyNumberFormat="1" applyFont="1" applyFill="1" applyBorder="1" applyAlignment="1"/>
    <xf numFmtId="183" fontId="17" fillId="0" borderId="0" xfId="0" applyNumberFormat="1" applyFont="1" applyAlignment="1">
      <alignment horizontal="right"/>
    </xf>
    <xf numFmtId="43" fontId="88" fillId="0" borderId="0" xfId="59" applyFont="1" applyFill="1" applyBorder="1" applyAlignment="1">
      <alignment horizontal="right"/>
    </xf>
    <xf numFmtId="184" fontId="24" fillId="0" borderId="0" xfId="59" applyNumberFormat="1" applyFont="1" applyFill="1" applyAlignment="1">
      <alignment horizontal="right"/>
    </xf>
    <xf numFmtId="0" fontId="83" fillId="0" borderId="0" xfId="132" applyFont="1" applyAlignment="1">
      <alignment horizontal="left"/>
    </xf>
    <xf numFmtId="0" fontId="83" fillId="0" borderId="0" xfId="132" applyFont="1"/>
    <xf numFmtId="0" fontId="84" fillId="0" borderId="0" xfId="132" applyFont="1" applyAlignment="1">
      <alignment horizontal="left"/>
    </xf>
    <xf numFmtId="0" fontId="84" fillId="0" borderId="0" xfId="132" applyFont="1" applyAlignment="1">
      <alignment horizontal="center"/>
    </xf>
    <xf numFmtId="0" fontId="24" fillId="0" borderId="0" xfId="132" applyFont="1" applyAlignment="1">
      <alignment horizontal="center" wrapText="1"/>
    </xf>
    <xf numFmtId="164" fontId="24" fillId="0" borderId="0" xfId="0" applyNumberFormat="1" applyFont="1" applyAlignment="1">
      <alignment horizontal="left"/>
    </xf>
    <xf numFmtId="173" fontId="24" fillId="0" borderId="0" xfId="0" applyFont="1"/>
    <xf numFmtId="0" fontId="24" fillId="0" borderId="0" xfId="0" applyNumberFormat="1" applyFont="1"/>
    <xf numFmtId="43" fontId="24" fillId="0" borderId="0" xfId="132" applyNumberFormat="1" applyFont="1"/>
    <xf numFmtId="3" fontId="46" fillId="0" borderId="0" xfId="0" applyNumberFormat="1" applyFont="1" applyProtection="1">
      <protection locked="0"/>
    </xf>
    <xf numFmtId="0" fontId="46" fillId="0" borderId="0" xfId="0" applyNumberFormat="1" applyFont="1" applyProtection="1">
      <protection locked="0"/>
    </xf>
    <xf numFmtId="17" fontId="47" fillId="0" borderId="14" xfId="0" applyNumberFormat="1" applyFont="1" applyBorder="1" applyAlignment="1">
      <alignment horizontal="center" wrapText="1"/>
    </xf>
    <xf numFmtId="17" fontId="47" fillId="21" borderId="14" xfId="0" applyNumberFormat="1" applyFont="1" applyFill="1" applyBorder="1" applyAlignment="1">
      <alignment horizontal="center" wrapText="1"/>
    </xf>
    <xf numFmtId="17" fontId="47" fillId="0" borderId="0" xfId="0" applyNumberFormat="1" applyFont="1" applyAlignment="1">
      <alignment horizontal="center" wrapText="1"/>
    </xf>
    <xf numFmtId="0" fontId="47" fillId="0" borderId="23" xfId="0" applyNumberFormat="1" applyFont="1" applyBorder="1" applyAlignment="1">
      <alignment horizontal="center" wrapText="1"/>
    </xf>
    <xf numFmtId="173" fontId="0" fillId="21" borderId="0" xfId="0" applyFill="1"/>
    <xf numFmtId="173" fontId="0" fillId="0" borderId="21" xfId="0" applyBorder="1"/>
    <xf numFmtId="173" fontId="0" fillId="0" borderId="16" xfId="0" applyBorder="1"/>
    <xf numFmtId="173" fontId="0" fillId="0" borderId="17" xfId="0" applyBorder="1"/>
    <xf numFmtId="173" fontId="0" fillId="0" borderId="11" xfId="0" applyBorder="1"/>
    <xf numFmtId="173" fontId="0" fillId="0" borderId="22" xfId="0" applyBorder="1"/>
    <xf numFmtId="0" fontId="16" fillId="0" borderId="0" xfId="136" applyFont="1"/>
    <xf numFmtId="0" fontId="19" fillId="0" borderId="0" xfId="136" applyFont="1"/>
    <xf numFmtId="0" fontId="19" fillId="0" borderId="0" xfId="136" applyFont="1" applyAlignment="1">
      <alignment horizontal="left"/>
    </xf>
    <xf numFmtId="0" fontId="19" fillId="0" borderId="29" xfId="136" applyFont="1" applyBorder="1" applyAlignment="1">
      <alignment horizontal="left"/>
    </xf>
    <xf numFmtId="0" fontId="19" fillId="0" borderId="0" xfId="136" applyFont="1" applyAlignment="1">
      <alignment horizontal="center"/>
    </xf>
    <xf numFmtId="0" fontId="91" fillId="0" borderId="0" xfId="136" applyFont="1"/>
    <xf numFmtId="0" fontId="17" fillId="0" borderId="0" xfId="136" applyFont="1"/>
    <xf numFmtId="44" fontId="19" fillId="0" borderId="0" xfId="136" applyNumberFormat="1" applyFont="1"/>
    <xf numFmtId="0" fontId="91" fillId="0" borderId="29" xfId="136" applyFont="1" applyBorder="1"/>
    <xf numFmtId="0" fontId="12" fillId="0" borderId="0" xfId="147"/>
    <xf numFmtId="0" fontId="92" fillId="0" borderId="0" xfId="147" applyFont="1" applyAlignment="1">
      <alignment horizontal="center"/>
    </xf>
    <xf numFmtId="0" fontId="12" fillId="0" borderId="32" xfId="147" applyBorder="1"/>
    <xf numFmtId="0" fontId="12" fillId="0" borderId="33" xfId="147" applyBorder="1"/>
    <xf numFmtId="0" fontId="12" fillId="0" borderId="34" xfId="147" applyBorder="1"/>
    <xf numFmtId="37" fontId="12" fillId="0" borderId="0" xfId="147" applyNumberFormat="1"/>
    <xf numFmtId="37" fontId="92" fillId="0" borderId="0" xfId="147" applyNumberFormat="1" applyFont="1"/>
    <xf numFmtId="37" fontId="92" fillId="0" borderId="31" xfId="147" applyNumberFormat="1" applyFont="1" applyBorder="1"/>
    <xf numFmtId="37" fontId="12" fillId="0" borderId="30" xfId="147" applyNumberFormat="1" applyBorder="1"/>
    <xf numFmtId="0" fontId="92" fillId="0" borderId="0" xfId="147" applyFont="1" applyAlignment="1">
      <alignment wrapText="1"/>
    </xf>
    <xf numFmtId="37" fontId="12" fillId="0" borderId="31" xfId="147" applyNumberFormat="1" applyBorder="1"/>
    <xf numFmtId="176" fontId="92" fillId="0" borderId="0" xfId="148" applyNumberFormat="1" applyFont="1" applyFill="1"/>
    <xf numFmtId="173" fontId="46" fillId="0" borderId="16" xfId="0" quotePrefix="1" applyFont="1" applyBorder="1" applyAlignment="1">
      <alignment horizontal="center"/>
    </xf>
    <xf numFmtId="176" fontId="46" fillId="0" borderId="0" xfId="59" applyNumberFormat="1" applyFont="1" applyAlignment="1">
      <alignment horizontal="center" vertical="center"/>
    </xf>
    <xf numFmtId="170" fontId="17" fillId="0" borderId="0" xfId="0" applyNumberFormat="1" applyFont="1" applyAlignment="1">
      <alignment horizontal="right"/>
    </xf>
    <xf numFmtId="176" fontId="17" fillId="20" borderId="0" xfId="59" applyNumberFormat="1" applyFont="1" applyFill="1" applyAlignment="1">
      <alignment horizontal="right"/>
    </xf>
    <xf numFmtId="0" fontId="24" fillId="0" borderId="0" xfId="0" applyNumberFormat="1" applyFont="1" applyAlignment="1">
      <alignment horizontal="right"/>
    </xf>
    <xf numFmtId="173" fontId="19" fillId="0" borderId="0" xfId="0" applyFont="1"/>
    <xf numFmtId="0" fontId="24" fillId="0" borderId="0" xfId="0" applyNumberFormat="1" applyFont="1" applyAlignment="1" applyProtection="1">
      <alignment horizontal="center"/>
      <protection locked="0"/>
    </xf>
    <xf numFmtId="49" fontId="24" fillId="0" borderId="0" xfId="0" applyNumberFormat="1" applyFont="1"/>
    <xf numFmtId="173" fontId="24" fillId="0" borderId="16" xfId="0" applyFont="1" applyBorder="1"/>
    <xf numFmtId="3" fontId="24" fillId="0" borderId="0" xfId="0" applyNumberFormat="1" applyFont="1"/>
    <xf numFmtId="173" fontId="24" fillId="0" borderId="21" xfId="0" applyFont="1" applyBorder="1"/>
    <xf numFmtId="0" fontId="24" fillId="0" borderId="0" xfId="0" applyNumberFormat="1" applyFont="1" applyAlignment="1">
      <alignment horizontal="center"/>
    </xf>
    <xf numFmtId="49" fontId="24" fillId="0" borderId="0" xfId="0" applyNumberFormat="1" applyFont="1" applyAlignment="1">
      <alignment horizontal="center"/>
    </xf>
    <xf numFmtId="49" fontId="24" fillId="0" borderId="16" xfId="0" applyNumberFormat="1" applyFont="1" applyBorder="1" applyAlignment="1">
      <alignment horizontal="center"/>
    </xf>
    <xf numFmtId="49" fontId="24" fillId="0" borderId="21" xfId="0" applyNumberFormat="1" applyFont="1" applyBorder="1" applyAlignment="1">
      <alignment horizontal="center"/>
    </xf>
    <xf numFmtId="3" fontId="19" fillId="0" borderId="0" xfId="0" applyNumberFormat="1" applyFont="1" applyAlignment="1">
      <alignment horizontal="center"/>
    </xf>
    <xf numFmtId="173" fontId="19" fillId="0" borderId="0" xfId="0" applyFont="1" applyAlignment="1">
      <alignment horizontal="center"/>
    </xf>
    <xf numFmtId="0" fontId="19" fillId="0" borderId="0" xfId="0" applyNumberFormat="1" applyFont="1" applyAlignment="1" applyProtection="1">
      <alignment horizontal="center"/>
      <protection locked="0"/>
    </xf>
    <xf numFmtId="173" fontId="24" fillId="0" borderId="16" xfId="0" applyFont="1" applyBorder="1" applyAlignment="1">
      <alignment horizontal="center"/>
    </xf>
    <xf numFmtId="173" fontId="19" fillId="0" borderId="21" xfId="0" applyFont="1" applyBorder="1" applyAlignment="1">
      <alignment horizontal="center"/>
    </xf>
    <xf numFmtId="0" fontId="19" fillId="0" borderId="0" xfId="0" applyNumberFormat="1" applyFont="1"/>
    <xf numFmtId="0" fontId="91" fillId="0" borderId="0" xfId="0" applyNumberFormat="1" applyFont="1" applyAlignment="1" applyProtection="1">
      <alignment horizontal="center"/>
      <protection locked="0"/>
    </xf>
    <xf numFmtId="3" fontId="24" fillId="0" borderId="0" xfId="0" applyNumberFormat="1" applyFont="1" applyAlignment="1">
      <alignment horizontal="center"/>
    </xf>
    <xf numFmtId="174" fontId="24" fillId="0" borderId="0" xfId="63" applyNumberFormat="1" applyFont="1" applyFill="1" applyBorder="1" applyAlignment="1"/>
    <xf numFmtId="177" fontId="24" fillId="0" borderId="0" xfId="0" applyNumberFormat="1" applyFont="1"/>
    <xf numFmtId="177" fontId="24" fillId="0" borderId="0" xfId="85" applyNumberFormat="1" applyFont="1" applyFill="1" applyBorder="1" applyAlignment="1"/>
    <xf numFmtId="173" fontId="24" fillId="0" borderId="0" xfId="0" applyFont="1" applyAlignment="1">
      <alignment horizontal="center"/>
    </xf>
    <xf numFmtId="49" fontId="19" fillId="0" borderId="0" xfId="0" applyNumberFormat="1" applyFont="1" applyAlignment="1">
      <alignment horizontal="center"/>
    </xf>
    <xf numFmtId="3" fontId="19" fillId="0" borderId="0" xfId="0" applyNumberFormat="1" applyFont="1"/>
    <xf numFmtId="177" fontId="19" fillId="0" borderId="0" xfId="85" applyNumberFormat="1" applyFont="1" applyFill="1" applyBorder="1" applyAlignment="1"/>
    <xf numFmtId="177" fontId="24" fillId="0" borderId="21" xfId="0" applyNumberFormat="1" applyFont="1" applyBorder="1"/>
    <xf numFmtId="177" fontId="24" fillId="0" borderId="21" xfId="85" applyNumberFormat="1" applyFont="1" applyFill="1" applyBorder="1" applyAlignment="1"/>
    <xf numFmtId="164" fontId="24" fillId="0" borderId="0" xfId="0" applyNumberFormat="1" applyFont="1" applyAlignment="1">
      <alignment horizontal="center"/>
    </xf>
    <xf numFmtId="49" fontId="19" fillId="0" borderId="16" xfId="0" applyNumberFormat="1" applyFont="1" applyBorder="1" applyAlignment="1">
      <alignment horizontal="center"/>
    </xf>
    <xf numFmtId="177" fontId="19" fillId="0" borderId="21" xfId="85" applyNumberFormat="1" applyFont="1" applyFill="1" applyBorder="1" applyAlignment="1"/>
    <xf numFmtId="49" fontId="19" fillId="0" borderId="17" xfId="0" applyNumberFormat="1" applyFont="1" applyBorder="1" applyAlignment="1">
      <alignment horizontal="center"/>
    </xf>
    <xf numFmtId="173" fontId="19" fillId="0" borderId="11" xfId="0" applyFont="1" applyBorder="1"/>
    <xf numFmtId="173" fontId="24" fillId="0" borderId="11" xfId="0" applyFont="1" applyBorder="1"/>
    <xf numFmtId="3" fontId="19" fillId="0" borderId="11" xfId="0" applyNumberFormat="1" applyFont="1" applyBorder="1" applyAlignment="1">
      <alignment horizontal="center"/>
    </xf>
    <xf numFmtId="173" fontId="24" fillId="0" borderId="0" xfId="0" applyFont="1" applyAlignment="1">
      <alignment horizontal="right"/>
    </xf>
    <xf numFmtId="175" fontId="19" fillId="0" borderId="0" xfId="0" applyNumberFormat="1" applyFont="1" applyAlignment="1">
      <alignment horizontal="center"/>
    </xf>
    <xf numFmtId="173" fontId="19" fillId="0" borderId="13" xfId="0" applyFont="1" applyBorder="1" applyAlignment="1">
      <alignment horizontal="center" wrapText="1"/>
    </xf>
    <xf numFmtId="173" fontId="19" fillId="0" borderId="14" xfId="0" applyFont="1" applyBorder="1"/>
    <xf numFmtId="173" fontId="19" fillId="0" borderId="14" xfId="0" applyFont="1" applyBorder="1" applyAlignment="1">
      <alignment horizontal="center"/>
    </xf>
    <xf numFmtId="173" fontId="19" fillId="0" borderId="14" xfId="0" applyFont="1" applyBorder="1" applyAlignment="1">
      <alignment horizontal="center" wrapText="1"/>
    </xf>
    <xf numFmtId="0" fontId="19" fillId="0" borderId="14" xfId="0" applyNumberFormat="1" applyFont="1" applyBorder="1" applyAlignment="1">
      <alignment horizontal="center" wrapText="1"/>
    </xf>
    <xf numFmtId="173" fontId="19" fillId="0" borderId="12" xfId="0" applyFont="1" applyBorder="1" applyAlignment="1">
      <alignment horizontal="center" wrapText="1"/>
    </xf>
    <xf numFmtId="3" fontId="19" fillId="0" borderId="12" xfId="0" applyNumberFormat="1" applyFont="1" applyBorder="1" applyAlignment="1">
      <alignment horizontal="center" wrapText="1"/>
    </xf>
    <xf numFmtId="0" fontId="24" fillId="0" borderId="13" xfId="0" applyNumberFormat="1" applyFont="1" applyBorder="1"/>
    <xf numFmtId="0" fontId="24" fillId="0" borderId="14" xfId="0" applyNumberFormat="1" applyFont="1" applyBorder="1"/>
    <xf numFmtId="0" fontId="24" fillId="0" borderId="14" xfId="0" applyNumberFormat="1" applyFont="1" applyBorder="1" applyAlignment="1">
      <alignment horizontal="center"/>
    </xf>
    <xf numFmtId="0" fontId="24" fillId="0" borderId="12" xfId="0" applyNumberFormat="1" applyFont="1" applyBorder="1" applyAlignment="1">
      <alignment horizontal="center"/>
    </xf>
    <xf numFmtId="0" fontId="24" fillId="0" borderId="12" xfId="0" applyNumberFormat="1" applyFont="1" applyBorder="1" applyAlignment="1">
      <alignment horizontal="center" wrapText="1"/>
    </xf>
    <xf numFmtId="0" fontId="24" fillId="0" borderId="16" xfId="0" applyNumberFormat="1" applyFont="1" applyBorder="1" applyAlignment="1">
      <alignment horizontal="center" wrapText="1"/>
    </xf>
    <xf numFmtId="0" fontId="24" fillId="0" borderId="10" xfId="0" applyNumberFormat="1" applyFont="1" applyBorder="1"/>
    <xf numFmtId="1" fontId="24" fillId="0" borderId="0" xfId="0" applyNumberFormat="1" applyFont="1" applyAlignment="1">
      <alignment horizontal="center"/>
    </xf>
    <xf numFmtId="170" fontId="24" fillId="0" borderId="10" xfId="0" applyNumberFormat="1" applyFont="1" applyBorder="1"/>
    <xf numFmtId="174" fontId="24" fillId="20" borderId="0" xfId="63" applyNumberFormat="1" applyFont="1" applyFill="1" applyBorder="1" applyAlignment="1"/>
    <xf numFmtId="170" fontId="24" fillId="0" borderId="10" xfId="59" applyNumberFormat="1" applyFont="1" applyFill="1" applyBorder="1" applyAlignment="1"/>
    <xf numFmtId="43" fontId="24" fillId="20" borderId="10" xfId="59" applyFont="1" applyFill="1" applyBorder="1" applyAlignment="1"/>
    <xf numFmtId="173" fontId="17" fillId="0" borderId="10" xfId="0" applyFont="1" applyBorder="1"/>
    <xf numFmtId="173" fontId="24" fillId="0" borderId="17" xfId="0" applyFont="1" applyBorder="1"/>
    <xf numFmtId="173" fontId="17" fillId="0" borderId="11" xfId="0" applyFont="1" applyBorder="1"/>
    <xf numFmtId="173" fontId="17" fillId="0" borderId="19" xfId="0" applyFont="1" applyBorder="1"/>
    <xf numFmtId="43" fontId="24" fillId="0" borderId="0" xfId="59" applyFont="1" applyFill="1" applyBorder="1" applyAlignment="1"/>
    <xf numFmtId="173" fontId="24" fillId="0" borderId="0" xfId="0" quotePrefix="1" applyFont="1" applyAlignment="1">
      <alignment horizontal="center"/>
    </xf>
    <xf numFmtId="173" fontId="89" fillId="0" borderId="0" xfId="0" applyFont="1"/>
    <xf numFmtId="173" fontId="24" fillId="0" borderId="0" xfId="0" applyFont="1" applyAlignment="1">
      <alignment horizontal="center" vertical="top"/>
    </xf>
    <xf numFmtId="173" fontId="17" fillId="0" borderId="0" xfId="0" applyFont="1" applyAlignment="1">
      <alignment horizontal="center"/>
    </xf>
    <xf numFmtId="10" fontId="24" fillId="0" borderId="0" xfId="0" applyNumberFormat="1" applyFont="1"/>
    <xf numFmtId="173" fontId="19" fillId="0" borderId="14" xfId="0" applyFont="1" applyBorder="1" applyAlignment="1">
      <alignment wrapText="1"/>
    </xf>
    <xf numFmtId="3" fontId="19" fillId="0" borderId="23" xfId="0" applyNumberFormat="1" applyFont="1" applyBorder="1" applyAlignment="1">
      <alignment horizontal="center" wrapText="1"/>
    </xf>
    <xf numFmtId="173" fontId="24" fillId="0" borderId="0" xfId="0" applyFont="1" applyAlignment="1">
      <alignment wrapText="1"/>
    </xf>
    <xf numFmtId="0" fontId="24" fillId="0" borderId="14" xfId="0" applyNumberFormat="1" applyFont="1" applyBorder="1" applyAlignment="1">
      <alignment horizontal="center" wrapText="1"/>
    </xf>
    <xf numFmtId="0" fontId="24" fillId="0" borderId="23" xfId="0" applyNumberFormat="1" applyFont="1" applyBorder="1" applyAlignment="1">
      <alignment horizontal="center"/>
    </xf>
    <xf numFmtId="0" fontId="24" fillId="0" borderId="16" xfId="0" applyNumberFormat="1" applyFont="1" applyBorder="1" applyAlignment="1">
      <alignment horizontal="center"/>
    </xf>
    <xf numFmtId="0" fontId="24" fillId="0" borderId="2" xfId="0" applyNumberFormat="1" applyFont="1" applyBorder="1"/>
    <xf numFmtId="0" fontId="24" fillId="0" borderId="29" xfId="0" applyNumberFormat="1" applyFont="1" applyBorder="1"/>
    <xf numFmtId="0" fontId="24" fillId="0" borderId="20" xfId="0" applyNumberFormat="1" applyFont="1" applyBorder="1"/>
    <xf numFmtId="0" fontId="24" fillId="0" borderId="16" xfId="0" applyNumberFormat="1" applyFont="1" applyBorder="1"/>
    <xf numFmtId="0" fontId="24" fillId="0" borderId="21" xfId="0" applyNumberFormat="1" applyFont="1" applyBorder="1"/>
    <xf numFmtId="43" fontId="24" fillId="0" borderId="21" xfId="59" applyFont="1" applyFill="1" applyBorder="1" applyAlignment="1"/>
    <xf numFmtId="43" fontId="17" fillId="0" borderId="21" xfId="59" applyFont="1" applyFill="1" applyBorder="1" applyAlignment="1"/>
    <xf numFmtId="43" fontId="17" fillId="0" borderId="11" xfId="59" applyFont="1" applyFill="1" applyBorder="1" applyAlignment="1"/>
    <xf numFmtId="43" fontId="17" fillId="0" borderId="22" xfId="59" applyFont="1" applyFill="1" applyBorder="1" applyAlignment="1"/>
    <xf numFmtId="173" fontId="93" fillId="0" borderId="0" xfId="0" applyFont="1"/>
    <xf numFmtId="43" fontId="24" fillId="0" borderId="0" xfId="59" applyFont="1" applyFill="1" applyBorder="1" applyAlignment="1">
      <alignment horizontal="center"/>
    </xf>
    <xf numFmtId="176" fontId="24" fillId="0" borderId="0" xfId="59" applyNumberFormat="1" applyFont="1" applyFill="1" applyBorder="1" applyAlignment="1"/>
    <xf numFmtId="173" fontId="24" fillId="0" borderId="0" xfId="0" applyFont="1" applyAlignment="1">
      <alignment horizontal="left" indent="1"/>
    </xf>
    <xf numFmtId="49" fontId="24" fillId="0" borderId="0" xfId="0" applyNumberFormat="1" applyFont="1" applyAlignment="1">
      <alignment horizontal="left"/>
    </xf>
    <xf numFmtId="0" fontId="0" fillId="0" borderId="0" xfId="0" applyNumberFormat="1" applyAlignment="1">
      <alignment horizontal="left"/>
    </xf>
    <xf numFmtId="10" fontId="74" fillId="0" borderId="0" xfId="85" applyNumberFormat="1" applyFont="1"/>
    <xf numFmtId="0" fontId="17" fillId="0" borderId="0" xfId="0" applyNumberFormat="1" applyFont="1" applyAlignment="1">
      <alignment horizontal="left"/>
    </xf>
    <xf numFmtId="3" fontId="67" fillId="0" borderId="0" xfId="0" applyNumberFormat="1" applyFont="1" applyAlignment="1">
      <alignment horizontal="center" vertical="center"/>
    </xf>
    <xf numFmtId="3" fontId="67" fillId="0" borderId="0" xfId="0" applyNumberFormat="1" applyFont="1" applyAlignment="1">
      <alignment vertical="center"/>
    </xf>
    <xf numFmtId="37" fontId="12" fillId="0" borderId="6" xfId="147" applyNumberFormat="1" applyBorder="1"/>
    <xf numFmtId="173" fontId="67" fillId="21" borderId="0" xfId="0" applyFont="1" applyFill="1" applyAlignment="1">
      <alignment vertical="center"/>
    </xf>
    <xf numFmtId="176" fontId="12" fillId="0" borderId="0" xfId="147" applyNumberFormat="1"/>
    <xf numFmtId="0" fontId="74" fillId="0" borderId="0" xfId="129" applyFont="1" applyAlignment="1">
      <alignment horizontal="left"/>
    </xf>
    <xf numFmtId="9" fontId="74" fillId="0" borderId="0" xfId="85" applyFont="1"/>
    <xf numFmtId="1" fontId="24" fillId="0" borderId="0" xfId="133" applyNumberFormat="1" applyFont="1" applyFill="1" applyBorder="1" applyAlignment="1"/>
    <xf numFmtId="173" fontId="67" fillId="20" borderId="0" xfId="0" applyFont="1" applyFill="1" applyAlignment="1">
      <alignment vertical="center"/>
    </xf>
    <xf numFmtId="173" fontId="24" fillId="20" borderId="16" xfId="0" applyFont="1" applyFill="1" applyBorder="1" applyAlignment="1">
      <alignment horizontal="center"/>
    </xf>
    <xf numFmtId="173" fontId="0" fillId="20" borderId="0" xfId="0" applyFill="1" applyAlignment="1">
      <alignment horizontal="left"/>
    </xf>
    <xf numFmtId="173" fontId="24" fillId="20" borderId="10" xfId="0" applyFont="1" applyFill="1" applyBorder="1"/>
    <xf numFmtId="173" fontId="46" fillId="0" borderId="0" xfId="0" applyFont="1" applyAlignment="1">
      <alignment horizontal="left"/>
    </xf>
    <xf numFmtId="173" fontId="24" fillId="20" borderId="0" xfId="0" applyFont="1" applyFill="1" applyAlignment="1">
      <alignment horizontal="left" wrapText="1"/>
    </xf>
    <xf numFmtId="173" fontId="46" fillId="0" borderId="0" xfId="0" applyFont="1" applyAlignment="1">
      <alignment horizontal="left" wrapText="1"/>
    </xf>
    <xf numFmtId="176" fontId="70" fillId="0" borderId="0" xfId="59" applyNumberFormat="1" applyFont="1" applyFill="1" applyAlignment="1">
      <alignment horizontal="center" vertical="center"/>
    </xf>
    <xf numFmtId="173" fontId="70" fillId="0" borderId="0" xfId="0" applyFont="1" applyAlignment="1">
      <alignment horizontal="right" vertical="center"/>
    </xf>
    <xf numFmtId="169" fontId="24" fillId="20" borderId="0" xfId="133" applyNumberFormat="1" applyFont="1" applyFill="1" applyBorder="1" applyAlignment="1"/>
    <xf numFmtId="176" fontId="68" fillId="0" borderId="0" xfId="59" applyNumberFormat="1" applyFont="1" applyFill="1" applyAlignment="1">
      <alignment vertical="center"/>
    </xf>
    <xf numFmtId="182" fontId="19" fillId="0" borderId="22" xfId="85" applyNumberFormat="1" applyFont="1" applyFill="1" applyBorder="1" applyAlignment="1"/>
    <xf numFmtId="173" fontId="24" fillId="20" borderId="0" xfId="0" applyFont="1" applyFill="1" applyAlignment="1">
      <alignment horizontal="left"/>
    </xf>
    <xf numFmtId="0" fontId="76" fillId="0" borderId="0" xfId="129" applyFont="1"/>
    <xf numFmtId="10" fontId="74" fillId="0" borderId="0" xfId="85" applyNumberFormat="1" applyFont="1" applyAlignment="1">
      <alignment horizontal="center"/>
    </xf>
    <xf numFmtId="0" fontId="95" fillId="0" borderId="0" xfId="129" applyFont="1" applyAlignment="1">
      <alignment horizontal="center"/>
    </xf>
    <xf numFmtId="37" fontId="92" fillId="0" borderId="36" xfId="147" applyNumberFormat="1" applyFont="1" applyBorder="1"/>
    <xf numFmtId="37" fontId="12" fillId="0" borderId="37" xfId="147" applyNumberFormat="1" applyBorder="1"/>
    <xf numFmtId="0" fontId="74" fillId="0" borderId="0" xfId="129" applyFont="1" applyAlignment="1">
      <alignment vertical="top"/>
    </xf>
    <xf numFmtId="0" fontId="74" fillId="0" borderId="0" xfId="129" applyFont="1" applyAlignment="1">
      <alignment horizontal="left" vertical="top"/>
    </xf>
    <xf numFmtId="10" fontId="74" fillId="0" borderId="0" xfId="85" applyNumberFormat="1" applyFont="1" applyFill="1" applyAlignment="1">
      <alignment horizontal="center"/>
    </xf>
    <xf numFmtId="10" fontId="74" fillId="0" borderId="0" xfId="85" applyNumberFormat="1" applyFont="1" applyFill="1" applyAlignment="1">
      <alignment horizontal="center" vertical="top"/>
    </xf>
    <xf numFmtId="0" fontId="24" fillId="0" borderId="0" xfId="136" applyFont="1"/>
    <xf numFmtId="0" fontId="24" fillId="0" borderId="15" xfId="136" applyFont="1" applyBorder="1"/>
    <xf numFmtId="0" fontId="19" fillId="0" borderId="20" xfId="136" applyFont="1" applyBorder="1" applyAlignment="1">
      <alignment horizontal="left"/>
    </xf>
    <xf numFmtId="0" fontId="24" fillId="0" borderId="16" xfId="136" applyFont="1" applyBorder="1"/>
    <xf numFmtId="0" fontId="80" fillId="0" borderId="0" xfId="136" applyFont="1" applyAlignment="1">
      <alignment horizontal="left"/>
    </xf>
    <xf numFmtId="0" fontId="19" fillId="0" borderId="21" xfId="136" applyFont="1" applyBorder="1" applyAlignment="1">
      <alignment horizontal="left"/>
    </xf>
    <xf numFmtId="0" fontId="19" fillId="0" borderId="26" xfId="136" applyFont="1" applyBorder="1"/>
    <xf numFmtId="14" fontId="19" fillId="0" borderId="28" xfId="136" applyNumberFormat="1" applyFont="1" applyBorder="1"/>
    <xf numFmtId="0" fontId="24" fillId="0" borderId="0" xfId="136" applyFont="1" applyAlignment="1">
      <alignment horizontal="left"/>
    </xf>
    <xf numFmtId="0" fontId="19" fillId="0" borderId="16" xfId="136" applyFont="1" applyBorder="1" applyAlignment="1">
      <alignment horizontal="center"/>
    </xf>
    <xf numFmtId="0" fontId="19" fillId="0" borderId="0" xfId="136" quotePrefix="1" applyFont="1" applyAlignment="1">
      <alignment horizontal="center"/>
    </xf>
    <xf numFmtId="0" fontId="19" fillId="0" borderId="21" xfId="136" applyFont="1" applyBorder="1" applyAlignment="1">
      <alignment horizontal="center"/>
    </xf>
    <xf numFmtId="0" fontId="24" fillId="0" borderId="0" xfId="136" applyFont="1" applyAlignment="1">
      <alignment horizontal="center"/>
    </xf>
    <xf numFmtId="0" fontId="93" fillId="0" borderId="0" xfId="136" applyFont="1"/>
    <xf numFmtId="0" fontId="24" fillId="0" borderId="21" xfId="136" applyFont="1" applyBorder="1"/>
    <xf numFmtId="174" fontId="24" fillId="0" borderId="0" xfId="136" applyNumberFormat="1" applyFont="1"/>
    <xf numFmtId="10" fontId="91" fillId="0" borderId="0" xfId="136" applyNumberFormat="1" applyFont="1" applyAlignment="1">
      <alignment horizontal="left"/>
    </xf>
    <xf numFmtId="10" fontId="23" fillId="0" borderId="0" xfId="136" applyNumberFormat="1" applyFont="1" applyAlignment="1">
      <alignment horizontal="left"/>
    </xf>
    <xf numFmtId="0" fontId="89" fillId="0" borderId="0" xfId="136" applyFont="1" applyAlignment="1">
      <alignment horizontal="center"/>
    </xf>
    <xf numFmtId="17" fontId="24" fillId="0" borderId="0" xfId="136" applyNumberFormat="1" applyFont="1" applyAlignment="1">
      <alignment horizontal="left"/>
    </xf>
    <xf numFmtId="41" fontId="24" fillId="0" borderId="0" xfId="136" applyNumberFormat="1" applyFont="1"/>
    <xf numFmtId="14" fontId="19" fillId="0" borderId="0" xfId="136" applyNumberFormat="1" applyFont="1" applyAlignment="1">
      <alignment horizontal="left"/>
    </xf>
    <xf numFmtId="0" fontId="89" fillId="0" borderId="0" xfId="136" applyFont="1"/>
    <xf numFmtId="6" fontId="24" fillId="0" borderId="0" xfId="136" applyNumberFormat="1" applyFont="1" applyAlignment="1">
      <alignment horizontal="center"/>
    </xf>
    <xf numFmtId="0" fontId="24" fillId="0" borderId="16" xfId="136" quotePrefix="1" applyFont="1" applyBorder="1"/>
    <xf numFmtId="174" fontId="24" fillId="0" borderId="0" xfId="137" applyNumberFormat="1" applyFont="1" applyBorder="1" applyAlignment="1">
      <alignment horizontal="center"/>
    </xf>
    <xf numFmtId="174" fontId="24" fillId="20" borderId="0" xfId="137" applyNumberFormat="1" applyFont="1" applyFill="1" applyBorder="1" applyAlignment="1">
      <alignment horizontal="center"/>
    </xf>
    <xf numFmtId="10" fontId="24" fillId="0" borderId="0" xfId="136" applyNumberFormat="1" applyFont="1"/>
    <xf numFmtId="44" fontId="24" fillId="0" borderId="0" xfId="136" applyNumberFormat="1" applyFont="1"/>
    <xf numFmtId="0" fontId="96" fillId="0" borderId="0" xfId="136" applyFont="1"/>
    <xf numFmtId="176" fontId="96" fillId="0" borderId="0" xfId="138" applyNumberFormat="1" applyFont="1" applyFill="1" applyBorder="1"/>
    <xf numFmtId="176" fontId="96" fillId="0" borderId="0" xfId="136" applyNumberFormat="1" applyFont="1"/>
    <xf numFmtId="164" fontId="89" fillId="0" borderId="0" xfId="136" applyNumberFormat="1" applyFont="1"/>
    <xf numFmtId="176" fontId="24" fillId="0" borderId="0" xfId="138" applyNumberFormat="1" applyFont="1" applyFill="1" applyBorder="1"/>
    <xf numFmtId="174" fontId="24" fillId="0" borderId="0" xfId="137" applyNumberFormat="1" applyFont="1" applyFill="1" applyBorder="1"/>
    <xf numFmtId="176" fontId="24" fillId="0" borderId="0" xfId="136" applyNumberFormat="1" applyFont="1"/>
    <xf numFmtId="174" fontId="24" fillId="20" borderId="11" xfId="137" applyNumberFormat="1" applyFont="1" applyFill="1" applyBorder="1"/>
    <xf numFmtId="10" fontId="89" fillId="0" borderId="0" xfId="136" applyNumberFormat="1" applyFont="1"/>
    <xf numFmtId="174" fontId="24" fillId="0" borderId="0" xfId="137" applyNumberFormat="1" applyFont="1" applyBorder="1"/>
    <xf numFmtId="164" fontId="24" fillId="0" borderId="0" xfId="136" applyNumberFormat="1" applyFont="1"/>
    <xf numFmtId="44" fontId="93" fillId="0" borderId="0" xfId="136" applyNumberFormat="1" applyFont="1"/>
    <xf numFmtId="44" fontId="24" fillId="0" borderId="21" xfId="136" applyNumberFormat="1" applyFont="1" applyBorder="1"/>
    <xf numFmtId="0" fontId="24" fillId="0" borderId="17" xfId="136" applyFont="1" applyBorder="1"/>
    <xf numFmtId="44" fontId="24" fillId="0" borderId="11" xfId="136" applyNumberFormat="1" applyFont="1" applyBorder="1"/>
    <xf numFmtId="44" fontId="24" fillId="0" borderId="22" xfId="136" applyNumberFormat="1" applyFont="1" applyBorder="1"/>
    <xf numFmtId="0" fontId="24" fillId="0" borderId="11" xfId="136" applyFont="1" applyBorder="1"/>
    <xf numFmtId="44" fontId="24" fillId="0" borderId="29" xfId="136" applyNumberFormat="1" applyFont="1" applyBorder="1"/>
    <xf numFmtId="44" fontId="24" fillId="0" borderId="20" xfId="136" applyNumberFormat="1" applyFont="1" applyBorder="1"/>
    <xf numFmtId="0" fontId="24" fillId="0" borderId="20" xfId="136" applyFont="1" applyBorder="1"/>
    <xf numFmtId="42" fontId="19" fillId="0" borderId="0" xfId="136" applyNumberFormat="1" applyFont="1" applyAlignment="1">
      <alignment horizontal="center"/>
    </xf>
    <xf numFmtId="0" fontId="24" fillId="0" borderId="21" xfId="136" applyFont="1" applyBorder="1" applyAlignment="1">
      <alignment horizontal="center"/>
    </xf>
    <xf numFmtId="0" fontId="89" fillId="0" borderId="21" xfId="136" applyFont="1" applyBorder="1" applyAlignment="1">
      <alignment horizontal="center"/>
    </xf>
    <xf numFmtId="0" fontId="24" fillId="0" borderId="16" xfId="136" quotePrefix="1" applyFont="1" applyBorder="1" applyAlignment="1">
      <alignment horizontal="center"/>
    </xf>
    <xf numFmtId="42" fontId="24" fillId="0" borderId="0" xfId="136" applyNumberFormat="1" applyFont="1"/>
    <xf numFmtId="42" fontId="24" fillId="0" borderId="21" xfId="138" applyNumberFormat="1" applyFont="1" applyBorder="1"/>
    <xf numFmtId="169" fontId="24" fillId="0" borderId="0" xfId="136" applyNumberFormat="1" applyFont="1"/>
    <xf numFmtId="10" fontId="24" fillId="0" borderId="21" xfId="138" applyNumberFormat="1" applyFont="1" applyBorder="1" applyAlignment="1">
      <alignment horizontal="center"/>
    </xf>
    <xf numFmtId="185" fontId="24" fillId="0" borderId="0" xfId="136" applyNumberFormat="1" applyFont="1"/>
    <xf numFmtId="166" fontId="24" fillId="0" borderId="0" xfId="136" applyNumberFormat="1" applyFont="1"/>
    <xf numFmtId="176" fontId="24" fillId="0" borderId="0" xfId="138" applyNumberFormat="1" applyFont="1" applyBorder="1"/>
    <xf numFmtId="174" fontId="24" fillId="20" borderId="11" xfId="137" applyNumberFormat="1" applyFont="1" applyFill="1" applyBorder="1" applyAlignment="1">
      <alignment horizontal="center"/>
    </xf>
    <xf numFmtId="164" fontId="24" fillId="0" borderId="0" xfId="136" applyNumberFormat="1" applyFont="1" applyAlignment="1">
      <alignment horizontal="right"/>
    </xf>
    <xf numFmtId="0" fontId="24" fillId="0" borderId="0" xfId="136" quotePrefix="1" applyFont="1" applyAlignment="1">
      <alignment horizontal="center"/>
    </xf>
    <xf numFmtId="14" fontId="24" fillId="0" borderId="0" xfId="136" quotePrefix="1" applyNumberFormat="1" applyFont="1" applyAlignment="1">
      <alignment horizontal="center"/>
    </xf>
    <xf numFmtId="42" fontId="24" fillId="0" borderId="0" xfId="138" applyNumberFormat="1" applyFont="1" applyBorder="1"/>
    <xf numFmtId="42" fontId="24" fillId="0" borderId="21" xfId="136" applyNumberFormat="1" applyFont="1" applyBorder="1"/>
    <xf numFmtId="169" fontId="24" fillId="0" borderId="21" xfId="136" applyNumberFormat="1" applyFont="1" applyBorder="1"/>
    <xf numFmtId="43" fontId="24" fillId="0" borderId="11" xfId="138" applyFont="1" applyBorder="1"/>
    <xf numFmtId="0" fontId="24" fillId="0" borderId="22" xfId="136" applyFont="1" applyBorder="1"/>
    <xf numFmtId="185" fontId="24" fillId="0" borderId="22" xfId="136" applyNumberFormat="1" applyFont="1" applyBorder="1"/>
    <xf numFmtId="43" fontId="24" fillId="0" borderId="0" xfId="138" applyFont="1"/>
    <xf numFmtId="0" fontId="98" fillId="0" borderId="0" xfId="136" applyFont="1"/>
    <xf numFmtId="43" fontId="24" fillId="0" borderId="0" xfId="136" applyNumberFormat="1" applyFont="1"/>
    <xf numFmtId="10" fontId="24" fillId="0" borderId="0" xfId="140" applyNumberFormat="1" applyFont="1" applyBorder="1"/>
    <xf numFmtId="174" fontId="24" fillId="0" borderId="0" xfId="141" applyNumberFormat="1" applyFont="1" applyBorder="1"/>
    <xf numFmtId="0" fontId="24" fillId="0" borderId="0" xfId="136" applyFont="1" applyAlignment="1">
      <alignment horizontal="right"/>
    </xf>
    <xf numFmtId="0" fontId="91" fillId="0" borderId="0" xfId="136" applyFont="1" applyAlignment="1">
      <alignment horizontal="left"/>
    </xf>
    <xf numFmtId="164" fontId="24" fillId="0" borderId="0" xfId="136" applyNumberFormat="1" applyFont="1" applyAlignment="1">
      <alignment horizontal="center"/>
    </xf>
    <xf numFmtId="43" fontId="24" fillId="0" borderId="0" xfId="138" applyFont="1" applyBorder="1"/>
    <xf numFmtId="164" fontId="24" fillId="0" borderId="0" xfId="140" applyNumberFormat="1" applyFont="1" applyBorder="1"/>
    <xf numFmtId="164" fontId="17" fillId="0" borderId="0" xfId="136" applyNumberFormat="1" applyFont="1"/>
    <xf numFmtId="164" fontId="17" fillId="0" borderId="11" xfId="136" applyNumberFormat="1" applyFont="1" applyBorder="1"/>
    <xf numFmtId="173" fontId="45" fillId="0" borderId="0" xfId="0" applyFont="1" applyAlignment="1">
      <alignment horizontal="left"/>
    </xf>
    <xf numFmtId="173" fontId="45" fillId="20" borderId="0" xfId="0" applyFont="1" applyFill="1" applyAlignment="1">
      <alignment horizontal="left"/>
    </xf>
    <xf numFmtId="17" fontId="47" fillId="20" borderId="14" xfId="0" applyNumberFormat="1" applyFont="1" applyFill="1" applyBorder="1" applyAlignment="1">
      <alignment horizontal="center" wrapText="1"/>
    </xf>
    <xf numFmtId="170" fontId="0" fillId="0" borderId="21" xfId="0" applyNumberFormat="1" applyBorder="1"/>
    <xf numFmtId="37" fontId="92" fillId="0" borderId="6" xfId="147" applyNumberFormat="1" applyFont="1" applyBorder="1"/>
    <xf numFmtId="0" fontId="24" fillId="0" borderId="0" xfId="151" applyFont="1"/>
    <xf numFmtId="14" fontId="24" fillId="20" borderId="0" xfId="151" applyNumberFormat="1" applyFont="1" applyFill="1" applyAlignment="1">
      <alignment horizontal="center"/>
    </xf>
    <xf numFmtId="0" fontId="93" fillId="0" borderId="0" xfId="151" applyFont="1"/>
    <xf numFmtId="6" fontId="24" fillId="0" borderId="0" xfId="151" applyNumberFormat="1" applyFont="1" applyAlignment="1">
      <alignment horizontal="center"/>
    </xf>
    <xf numFmtId="0" fontId="96" fillId="0" borderId="0" xfId="151" applyFont="1"/>
    <xf numFmtId="0" fontId="24" fillId="20" borderId="0" xfId="151" applyFont="1" applyFill="1" applyAlignment="1">
      <alignment horizontal="center"/>
    </xf>
    <xf numFmtId="176" fontId="24" fillId="0" borderId="0" xfId="151" applyNumberFormat="1" applyFont="1"/>
    <xf numFmtId="10" fontId="0" fillId="0" borderId="0" xfId="85" applyNumberFormat="1" applyFont="1" applyBorder="1" applyAlignment="1"/>
    <xf numFmtId="174" fontId="24" fillId="20" borderId="0" xfId="137" applyNumberFormat="1" applyFont="1" applyFill="1" applyBorder="1"/>
    <xf numFmtId="174" fontId="97" fillId="0" borderId="0" xfId="137" applyNumberFormat="1" applyFont="1" applyFill="1" applyBorder="1"/>
    <xf numFmtId="174" fontId="97" fillId="0" borderId="0" xfId="136" applyNumberFormat="1" applyFont="1"/>
    <xf numFmtId="170" fontId="67" fillId="0" borderId="0" xfId="0" applyNumberFormat="1" applyFont="1" applyAlignment="1">
      <alignment vertical="center"/>
    </xf>
    <xf numFmtId="173" fontId="100" fillId="0" borderId="0" xfId="0" applyFont="1"/>
    <xf numFmtId="0" fontId="100" fillId="0" borderId="0" xfId="0" applyNumberFormat="1" applyFont="1"/>
    <xf numFmtId="0" fontId="100" fillId="0" borderId="0" xfId="0" applyNumberFormat="1" applyFont="1" applyAlignment="1">
      <alignment horizontal="left"/>
    </xf>
    <xf numFmtId="0" fontId="100" fillId="0" borderId="0" xfId="0" applyNumberFormat="1" applyFont="1" applyAlignment="1">
      <alignment horizontal="right"/>
    </xf>
    <xf numFmtId="0" fontId="100" fillId="20" borderId="0" xfId="0" applyNumberFormat="1" applyFont="1" applyFill="1"/>
    <xf numFmtId="173" fontId="100" fillId="20" borderId="0" xfId="0" applyFont="1" applyFill="1"/>
    <xf numFmtId="3" fontId="100" fillId="0" borderId="0" xfId="0" applyNumberFormat="1" applyFont="1"/>
    <xf numFmtId="0" fontId="100" fillId="0" borderId="0" xfId="0" applyNumberFormat="1" applyFont="1" applyAlignment="1">
      <alignment horizontal="center"/>
    </xf>
    <xf numFmtId="49" fontId="100" fillId="0" borderId="0" xfId="0" applyNumberFormat="1" applyFont="1"/>
    <xf numFmtId="49" fontId="100" fillId="0" borderId="0" xfId="0" applyNumberFormat="1" applyFont="1" applyAlignment="1">
      <alignment horizontal="left"/>
    </xf>
    <xf numFmtId="49" fontId="100" fillId="0" borderId="0" xfId="0" applyNumberFormat="1" applyFont="1" applyAlignment="1">
      <alignment horizontal="center"/>
    </xf>
    <xf numFmtId="0" fontId="100" fillId="0" borderId="6" xfId="0" applyNumberFormat="1" applyFont="1" applyBorder="1" applyAlignment="1">
      <alignment horizontal="center"/>
    </xf>
    <xf numFmtId="42" fontId="100" fillId="0" borderId="0" xfId="0" applyNumberFormat="1" applyFont="1"/>
    <xf numFmtId="176" fontId="100" fillId="0" borderId="0" xfId="59" applyNumberFormat="1" applyFont="1"/>
    <xf numFmtId="177" fontId="100" fillId="0" borderId="0" xfId="85" applyNumberFormat="1" applyFont="1" applyAlignment="1"/>
    <xf numFmtId="186" fontId="100" fillId="0" borderId="0" xfId="0" applyNumberFormat="1" applyFont="1"/>
    <xf numFmtId="0" fontId="100" fillId="0" borderId="6" xfId="0" applyNumberFormat="1" applyFont="1" applyBorder="1" applyAlignment="1">
      <alignment horizontal="centerContinuous"/>
    </xf>
    <xf numFmtId="166" fontId="100" fillId="0" borderId="0" xfId="0" applyNumberFormat="1" applyFont="1"/>
    <xf numFmtId="176" fontId="100" fillId="0" borderId="0" xfId="59" applyNumberFormat="1" applyFont="1" applyFill="1"/>
    <xf numFmtId="176" fontId="100" fillId="0" borderId="0" xfId="59" applyNumberFormat="1" applyFont="1" applyFill="1" applyAlignment="1"/>
    <xf numFmtId="176" fontId="100" fillId="20" borderId="0" xfId="59" applyNumberFormat="1" applyFont="1" applyFill="1" applyAlignment="1"/>
    <xf numFmtId="176" fontId="101" fillId="0" borderId="0" xfId="59" applyNumberFormat="1" applyFont="1" applyFill="1" applyAlignment="1"/>
    <xf numFmtId="176" fontId="101" fillId="0" borderId="0" xfId="59" applyNumberFormat="1" applyFont="1" applyFill="1"/>
    <xf numFmtId="176" fontId="100" fillId="0" borderId="0" xfId="63" applyNumberFormat="1" applyFont="1" applyFill="1" applyAlignment="1">
      <alignment horizontal="right"/>
    </xf>
    <xf numFmtId="176" fontId="100" fillId="0" borderId="0" xfId="63" applyNumberFormat="1" applyFont="1" applyFill="1" applyBorder="1"/>
    <xf numFmtId="0" fontId="100" fillId="0" borderId="0" xfId="0" applyNumberFormat="1" applyFont="1" applyAlignment="1">
      <alignment wrapText="1"/>
    </xf>
    <xf numFmtId="174" fontId="100" fillId="0" borderId="0" xfId="63" applyNumberFormat="1" applyFont="1" applyFill="1" applyAlignment="1">
      <alignment horizontal="right"/>
    </xf>
    <xf numFmtId="176" fontId="100" fillId="0" borderId="0" xfId="59" applyNumberFormat="1" applyFont="1" applyFill="1" applyBorder="1"/>
    <xf numFmtId="3" fontId="100" fillId="0" borderId="0" xfId="0" applyNumberFormat="1" applyFont="1" applyAlignment="1">
      <alignment horizontal="fill"/>
    </xf>
    <xf numFmtId="42" fontId="100" fillId="0" borderId="0" xfId="0" applyNumberFormat="1" applyFont="1" applyAlignment="1">
      <alignment horizontal="right"/>
    </xf>
    <xf numFmtId="3" fontId="100" fillId="0" borderId="6" xfId="0" applyNumberFormat="1" applyFont="1" applyBorder="1" applyAlignment="1">
      <alignment horizontal="center"/>
    </xf>
    <xf numFmtId="181" fontId="100" fillId="20" borderId="0" xfId="59" applyNumberFormat="1" applyFont="1" applyFill="1"/>
    <xf numFmtId="43" fontId="100" fillId="0" borderId="0" xfId="59" applyFont="1" applyAlignment="1"/>
    <xf numFmtId="44" fontId="100" fillId="0" borderId="0" xfId="63" applyFont="1" applyFill="1" applyBorder="1"/>
    <xf numFmtId="44" fontId="100" fillId="0" borderId="0" xfId="63" applyFont="1"/>
    <xf numFmtId="168" fontId="100" fillId="0" borderId="0" xfId="0" applyNumberFormat="1" applyFont="1"/>
    <xf numFmtId="168" fontId="100" fillId="0" borderId="0" xfId="0" applyNumberFormat="1" applyFont="1" applyAlignment="1">
      <alignment horizontal="center"/>
    </xf>
    <xf numFmtId="171" fontId="100" fillId="0" borderId="0" xfId="85" applyNumberFormat="1" applyFont="1"/>
    <xf numFmtId="171" fontId="100" fillId="0" borderId="0" xfId="85" applyNumberFormat="1" applyFont="1" applyAlignment="1">
      <alignment horizontal="left"/>
    </xf>
    <xf numFmtId="173" fontId="100" fillId="0" borderId="0" xfId="0" applyFont="1" applyAlignment="1">
      <alignment horizontal="center"/>
    </xf>
    <xf numFmtId="168" fontId="100" fillId="0" borderId="6" xfId="0" applyNumberFormat="1" applyFont="1" applyBorder="1" applyAlignment="1">
      <alignment horizontal="center"/>
    </xf>
    <xf numFmtId="173" fontId="100" fillId="0" borderId="6" xfId="0" applyFont="1" applyBorder="1" applyAlignment="1">
      <alignment horizontal="center"/>
    </xf>
    <xf numFmtId="43" fontId="100" fillId="0" borderId="0" xfId="59" applyFont="1" applyBorder="1" applyAlignment="1">
      <alignment horizontal="right"/>
    </xf>
    <xf numFmtId="43" fontId="100" fillId="0" borderId="0" xfId="59" applyFont="1" applyFill="1" applyBorder="1"/>
    <xf numFmtId="43" fontId="100" fillId="0" borderId="0" xfId="59" applyFont="1" applyBorder="1"/>
    <xf numFmtId="43" fontId="100" fillId="0" borderId="0" xfId="59" applyFont="1"/>
    <xf numFmtId="43" fontId="100" fillId="0" borderId="0" xfId="59" applyFont="1" applyFill="1"/>
    <xf numFmtId="43" fontId="100" fillId="0" borderId="0" xfId="59" applyFont="1" applyFill="1" applyAlignment="1"/>
    <xf numFmtId="172" fontId="100" fillId="0" borderId="0" xfId="0" applyNumberFormat="1" applyFont="1"/>
    <xf numFmtId="43" fontId="100" fillId="0" borderId="0" xfId="59" applyFont="1" applyFill="1" applyBorder="1" applyAlignment="1"/>
    <xf numFmtId="43" fontId="100" fillId="0" borderId="0" xfId="59" applyFont="1" applyBorder="1" applyAlignment="1"/>
    <xf numFmtId="44" fontId="100" fillId="0" borderId="0" xfId="63" applyFont="1" applyFill="1" applyBorder="1" applyAlignment="1"/>
    <xf numFmtId="173" fontId="102" fillId="0" borderId="0" xfId="0" applyFont="1" applyAlignment="1">
      <alignment horizontal="center"/>
    </xf>
    <xf numFmtId="0" fontId="102" fillId="0" borderId="0" xfId="0" applyNumberFormat="1" applyFont="1" applyAlignment="1">
      <alignment horizontal="center"/>
    </xf>
    <xf numFmtId="0" fontId="102" fillId="0" borderId="0" xfId="0" applyNumberFormat="1" applyFont="1" applyAlignment="1">
      <alignment horizontal="right"/>
    </xf>
    <xf numFmtId="3" fontId="102" fillId="0" borderId="0" xfId="0" applyNumberFormat="1" applyFont="1"/>
    <xf numFmtId="3" fontId="100" fillId="0" borderId="0" xfId="0" applyNumberFormat="1" applyFont="1" applyAlignment="1">
      <alignment horizontal="right"/>
    </xf>
    <xf numFmtId="0" fontId="102" fillId="0" borderId="0" xfId="0" applyNumberFormat="1" applyFont="1"/>
    <xf numFmtId="165" fontId="100" fillId="0" borderId="0" xfId="0" applyNumberFormat="1" applyFont="1"/>
    <xf numFmtId="176" fontId="100" fillId="0" borderId="0" xfId="59" applyNumberFormat="1" applyFont="1" applyAlignment="1"/>
    <xf numFmtId="176" fontId="100" fillId="0" borderId="6" xfId="59" applyNumberFormat="1" applyFont="1" applyFill="1" applyBorder="1" applyAlignment="1"/>
    <xf numFmtId="176" fontId="100" fillId="0" borderId="6" xfId="59" applyNumberFormat="1" applyFont="1" applyBorder="1" applyAlignment="1"/>
    <xf numFmtId="164" fontId="100" fillId="0" borderId="0" xfId="0" applyNumberFormat="1" applyFont="1" applyAlignment="1">
      <alignment horizontal="center"/>
    </xf>
    <xf numFmtId="43" fontId="100" fillId="0" borderId="0" xfId="59" applyFont="1" applyFill="1" applyBorder="1" applyAlignment="1">
      <alignment horizontal="center"/>
    </xf>
    <xf numFmtId="179" fontId="100" fillId="0" borderId="0" xfId="85" applyNumberFormat="1" applyFont="1" applyAlignment="1"/>
    <xf numFmtId="0" fontId="100" fillId="0" borderId="0" xfId="0" applyNumberFormat="1" applyFont="1" applyAlignment="1">
      <alignment horizontal="fill"/>
    </xf>
    <xf numFmtId="43" fontId="100" fillId="0" borderId="0" xfId="59" applyFont="1" applyAlignment="1">
      <alignment horizontal="center"/>
    </xf>
    <xf numFmtId="164" fontId="100" fillId="0" borderId="0" xfId="0" applyNumberFormat="1" applyFont="1" applyAlignment="1">
      <alignment horizontal="left"/>
    </xf>
    <xf numFmtId="176" fontId="100" fillId="0" borderId="0" xfId="59" applyNumberFormat="1" applyFont="1" applyFill="1" applyBorder="1" applyAlignment="1"/>
    <xf numFmtId="176" fontId="100" fillId="0" borderId="0" xfId="59" applyNumberFormat="1" applyFont="1" applyBorder="1" applyAlignment="1"/>
    <xf numFmtId="176" fontId="100" fillId="20" borderId="0" xfId="59" applyNumberFormat="1" applyFont="1" applyFill="1" applyBorder="1" applyAlignment="1"/>
    <xf numFmtId="3" fontId="100" fillId="0" borderId="0" xfId="0" applyNumberFormat="1" applyFont="1" applyAlignment="1">
      <alignment horizontal="center"/>
    </xf>
    <xf numFmtId="0" fontId="100" fillId="0" borderId="0" xfId="0" applyNumberFormat="1" applyFont="1" applyProtection="1">
      <protection locked="0"/>
    </xf>
    <xf numFmtId="176" fontId="100" fillId="0" borderId="0" xfId="0" applyNumberFormat="1" applyFont="1"/>
    <xf numFmtId="166" fontId="100" fillId="0" borderId="0" xfId="0" applyNumberFormat="1" applyFont="1" applyAlignment="1">
      <alignment horizontal="center"/>
    </xf>
    <xf numFmtId="176" fontId="100" fillId="0" borderId="11" xfId="59" applyNumberFormat="1" applyFont="1" applyFill="1" applyBorder="1" applyAlignment="1"/>
    <xf numFmtId="176" fontId="100" fillId="0" borderId="35" xfId="59" applyNumberFormat="1" applyFont="1" applyFill="1" applyBorder="1" applyAlignment="1"/>
    <xf numFmtId="176" fontId="100" fillId="20" borderId="6" xfId="59" applyNumberFormat="1" applyFont="1" applyFill="1" applyBorder="1" applyAlignment="1"/>
    <xf numFmtId="165" fontId="100" fillId="0" borderId="0" xfId="0" applyNumberFormat="1" applyFont="1" applyAlignment="1">
      <alignment horizontal="right"/>
    </xf>
    <xf numFmtId="3" fontId="100" fillId="0" borderId="6" xfId="0" applyNumberFormat="1" applyFont="1" applyBorder="1"/>
    <xf numFmtId="4" fontId="100" fillId="0" borderId="0" xfId="0" applyNumberFormat="1" applyFont="1"/>
    <xf numFmtId="3" fontId="100" fillId="0" borderId="0" xfId="0" quotePrefix="1" applyNumberFormat="1" applyFont="1"/>
    <xf numFmtId="173" fontId="105" fillId="0" borderId="0" xfId="0" applyFont="1"/>
    <xf numFmtId="3" fontId="105" fillId="0" borderId="0" xfId="0" applyNumberFormat="1" applyFont="1"/>
    <xf numFmtId="0" fontId="105" fillId="0" borderId="0" xfId="0" applyNumberFormat="1" applyFont="1"/>
    <xf numFmtId="173" fontId="106" fillId="0" borderId="0" xfId="0" applyFont="1"/>
    <xf numFmtId="9" fontId="100" fillId="0" borderId="0" xfId="0" applyNumberFormat="1" applyFont="1"/>
    <xf numFmtId="169" fontId="100" fillId="0" borderId="0" xfId="0" applyNumberFormat="1" applyFont="1"/>
    <xf numFmtId="169" fontId="100" fillId="0" borderId="6" xfId="0" applyNumberFormat="1" applyFont="1" applyBorder="1"/>
    <xf numFmtId="3" fontId="103" fillId="0" borderId="0" xfId="0" applyNumberFormat="1" applyFont="1"/>
    <xf numFmtId="173" fontId="100" fillId="0" borderId="0" xfId="0" applyFont="1" applyProtection="1"/>
    <xf numFmtId="176" fontId="100" fillId="20" borderId="0" xfId="59" applyNumberFormat="1" applyFont="1" applyFill="1" applyBorder="1" applyProtection="1">
      <protection locked="0"/>
    </xf>
    <xf numFmtId="38" fontId="100" fillId="0" borderId="0" xfId="0" applyNumberFormat="1" applyFont="1" applyProtection="1"/>
    <xf numFmtId="173" fontId="100" fillId="0" borderId="6" xfId="0" applyFont="1" applyBorder="1"/>
    <xf numFmtId="0" fontId="100" fillId="0" borderId="6" xfId="0" applyNumberFormat="1" applyFont="1" applyBorder="1"/>
    <xf numFmtId="176" fontId="100" fillId="20" borderId="6" xfId="59" applyNumberFormat="1" applyFont="1" applyFill="1" applyBorder="1" applyProtection="1">
      <protection locked="0"/>
    </xf>
    <xf numFmtId="38" fontId="100" fillId="0" borderId="0" xfId="0" applyNumberFormat="1" applyFont="1"/>
    <xf numFmtId="176" fontId="100" fillId="0" borderId="0" xfId="59" applyNumberFormat="1" applyFont="1" applyFill="1" applyBorder="1" applyProtection="1"/>
    <xf numFmtId="1" fontId="100" fillId="0" borderId="0" xfId="0" applyNumberFormat="1" applyFont="1" applyAlignment="1" applyProtection="1">
      <alignment horizontal="right"/>
    </xf>
    <xf numFmtId="3" fontId="100" fillId="0" borderId="0" xfId="0" applyNumberFormat="1" applyFont="1" applyProtection="1"/>
    <xf numFmtId="170" fontId="100" fillId="0" borderId="0" xfId="0" applyNumberFormat="1" applyFont="1" applyProtection="1">
      <protection locked="0"/>
    </xf>
    <xf numFmtId="170" fontId="100" fillId="0" borderId="0" xfId="0" applyNumberFormat="1" applyFont="1" applyProtection="1"/>
    <xf numFmtId="170" fontId="100" fillId="0" borderId="0" xfId="0" applyNumberFormat="1" applyFont="1"/>
    <xf numFmtId="0" fontId="100" fillId="0" borderId="0" xfId="0" applyNumberFormat="1" applyFont="1" applyAlignment="1">
      <alignment horizontal="left" indent="8"/>
    </xf>
    <xf numFmtId="0" fontId="100" fillId="0" borderId="0" xfId="0" applyNumberFormat="1" applyFont="1" applyAlignment="1">
      <alignment horizontal="center" vertical="top" wrapText="1"/>
    </xf>
    <xf numFmtId="3" fontId="100" fillId="0" borderId="0" xfId="0" applyNumberFormat="1" applyFont="1" applyAlignment="1">
      <alignment horizontal="left"/>
    </xf>
    <xf numFmtId="173" fontId="100" fillId="0" borderId="0" xfId="0" applyFont="1" applyAlignment="1">
      <alignment wrapText="1"/>
    </xf>
    <xf numFmtId="173" fontId="107" fillId="0" borderId="0" xfId="0" applyFont="1"/>
    <xf numFmtId="173" fontId="102" fillId="0" borderId="0" xfId="0" applyFont="1"/>
    <xf numFmtId="3" fontId="102" fillId="0" borderId="0" xfId="0" applyNumberFormat="1" applyFont="1" applyAlignment="1">
      <alignment horizontal="center"/>
    </xf>
    <xf numFmtId="0" fontId="100" fillId="0" borderId="0" xfId="0" applyNumberFormat="1" applyFont="1" applyAlignment="1">
      <alignment horizontal="left" indent="1"/>
    </xf>
    <xf numFmtId="173" fontId="87" fillId="0" borderId="0" xfId="0" applyFont="1"/>
    <xf numFmtId="1" fontId="87" fillId="0" borderId="0" xfId="80" applyNumberFormat="1" applyFont="1" applyAlignment="1">
      <alignment horizontal="center"/>
    </xf>
    <xf numFmtId="10" fontId="24" fillId="0" borderId="18" xfId="136" applyNumberFormat="1" applyFont="1" applyBorder="1"/>
    <xf numFmtId="173" fontId="47" fillId="0" borderId="0" xfId="0" applyFont="1" applyAlignment="1">
      <alignment horizontal="center" wrapText="1"/>
    </xf>
    <xf numFmtId="0" fontId="10" fillId="0" borderId="0" xfId="147" applyFont="1" applyAlignment="1">
      <alignment horizontal="center"/>
    </xf>
    <xf numFmtId="3" fontId="111" fillId="0" borderId="0" xfId="79" applyNumberFormat="1" applyFont="1" applyAlignment="1">
      <alignment horizontal="center" wrapText="1"/>
    </xf>
    <xf numFmtId="0" fontId="92" fillId="0" borderId="26" xfId="147" applyFont="1" applyBorder="1" applyAlignment="1">
      <alignment horizontal="center"/>
    </xf>
    <xf numFmtId="37" fontId="12" fillId="0" borderId="27" xfId="147" applyNumberFormat="1" applyBorder="1"/>
    <xf numFmtId="0" fontId="92" fillId="0" borderId="31" xfId="147" applyFont="1" applyBorder="1" applyAlignment="1">
      <alignment wrapText="1"/>
    </xf>
    <xf numFmtId="0" fontId="92" fillId="0" borderId="0" xfId="147" applyFont="1" applyAlignment="1">
      <alignment horizontal="left" indent="2"/>
    </xf>
    <xf numFmtId="0" fontId="10" fillId="0" borderId="0" xfId="147" applyFont="1" applyAlignment="1">
      <alignment horizontal="center" wrapText="1"/>
    </xf>
    <xf numFmtId="0" fontId="92" fillId="0" borderId="0" xfId="147" applyFont="1" applyAlignment="1">
      <alignment horizontal="center" wrapText="1"/>
    </xf>
    <xf numFmtId="0" fontId="92" fillId="0" borderId="30" xfId="147" applyFont="1" applyBorder="1" applyAlignment="1">
      <alignment horizontal="center" wrapText="1"/>
    </xf>
    <xf numFmtId="0" fontId="12" fillId="0" borderId="0" xfId="147" applyAlignment="1">
      <alignment horizontal="center"/>
    </xf>
    <xf numFmtId="37" fontId="12" fillId="20" borderId="31" xfId="147" applyNumberFormat="1" applyFill="1" applyBorder="1"/>
    <xf numFmtId="37" fontId="12" fillId="20" borderId="0" xfId="147" applyNumberFormat="1" applyFill="1"/>
    <xf numFmtId="37" fontId="92" fillId="0" borderId="31" xfId="147" applyNumberFormat="1" applyFont="1" applyBorder="1" applyAlignment="1">
      <alignment wrapText="1"/>
    </xf>
    <xf numFmtId="176" fontId="10" fillId="0" borderId="0" xfId="59" applyNumberFormat="1" applyFont="1" applyBorder="1"/>
    <xf numFmtId="0" fontId="12" fillId="0" borderId="21" xfId="147" applyBorder="1"/>
    <xf numFmtId="0" fontId="10" fillId="0" borderId="11" xfId="147" applyFont="1" applyBorder="1"/>
    <xf numFmtId="0" fontId="109" fillId="0" borderId="11" xfId="79" applyFont="1" applyBorder="1" applyAlignment="1">
      <alignment horizontal="center" wrapText="1"/>
    </xf>
    <xf numFmtId="0" fontId="17" fillId="0" borderId="11" xfId="79" applyFont="1" applyBorder="1" applyAlignment="1">
      <alignment horizontal="center" wrapText="1"/>
    </xf>
    <xf numFmtId="0" fontId="10" fillId="0" borderId="0" xfId="147" applyFont="1"/>
    <xf numFmtId="176" fontId="10" fillId="20" borderId="0" xfId="59" applyNumberFormat="1" applyFont="1" applyFill="1"/>
    <xf numFmtId="176" fontId="92" fillId="0" borderId="0" xfId="147" applyNumberFormat="1" applyFont="1"/>
    <xf numFmtId="176" fontId="10" fillId="0" borderId="0" xfId="59" applyNumberFormat="1" applyFont="1"/>
    <xf numFmtId="37" fontId="10" fillId="20" borderId="0" xfId="147" applyNumberFormat="1" applyFont="1" applyFill="1"/>
    <xf numFmtId="0" fontId="12" fillId="0" borderId="37" xfId="147" applyBorder="1"/>
    <xf numFmtId="176" fontId="10" fillId="0" borderId="0" xfId="59" applyNumberFormat="1" applyFont="1" applyFill="1"/>
    <xf numFmtId="43" fontId="10" fillId="0" borderId="0" xfId="59" applyFont="1"/>
    <xf numFmtId="42" fontId="24" fillId="0" borderId="22" xfId="138" applyNumberFormat="1" applyFont="1" applyBorder="1"/>
    <xf numFmtId="176" fontId="46" fillId="0" borderId="0" xfId="59" applyNumberFormat="1" applyFont="1" applyFill="1" applyAlignment="1"/>
    <xf numFmtId="176" fontId="46" fillId="0" borderId="6" xfId="59" applyNumberFormat="1" applyFont="1" applyFill="1" applyBorder="1" applyAlignment="1"/>
    <xf numFmtId="3" fontId="46" fillId="0" borderId="0" xfId="0" applyNumberFormat="1" applyFont="1"/>
    <xf numFmtId="0" fontId="9" fillId="0" borderId="0" xfId="147" applyFont="1" applyAlignment="1">
      <alignment horizontal="center"/>
    </xf>
    <xf numFmtId="0" fontId="9" fillId="0" borderId="0" xfId="147" applyFont="1" applyAlignment="1">
      <alignment horizontal="center" wrapText="1"/>
    </xf>
    <xf numFmtId="165" fontId="46" fillId="0" borderId="0" xfId="0" applyNumberFormat="1" applyFont="1"/>
    <xf numFmtId="0" fontId="46" fillId="0" borderId="0" xfId="0" applyNumberFormat="1" applyFont="1" applyAlignment="1">
      <alignment horizontal="center"/>
    </xf>
    <xf numFmtId="43" fontId="46" fillId="0" borderId="0" xfId="59" applyFont="1" applyFill="1" applyAlignment="1"/>
    <xf numFmtId="176" fontId="46" fillId="0" borderId="18" xfId="59" applyNumberFormat="1" applyFont="1" applyFill="1" applyBorder="1" applyAlignment="1"/>
    <xf numFmtId="0" fontId="46" fillId="0" borderId="0" xfId="0" applyNumberFormat="1" applyFont="1" applyAlignment="1">
      <alignment horizontal="left"/>
    </xf>
    <xf numFmtId="176" fontId="46" fillId="20" borderId="0" xfId="59" applyNumberFormat="1" applyFont="1" applyFill="1" applyAlignment="1"/>
    <xf numFmtId="176" fontId="46" fillId="0" borderId="0" xfId="59" applyNumberFormat="1" applyFont="1" applyAlignment="1"/>
    <xf numFmtId="176" fontId="46" fillId="0" borderId="0" xfId="59" applyNumberFormat="1" applyFont="1" applyFill="1" applyAlignment="1">
      <alignment horizontal="right"/>
    </xf>
    <xf numFmtId="176" fontId="46" fillId="0" borderId="0" xfId="59" applyNumberFormat="1" applyFont="1" applyBorder="1" applyAlignment="1"/>
    <xf numFmtId="176" fontId="46" fillId="0" borderId="11" xfId="59" applyNumberFormat="1" applyFont="1" applyFill="1" applyBorder="1" applyAlignment="1"/>
    <xf numFmtId="176" fontId="46" fillId="0" borderId="35" xfId="59" applyNumberFormat="1" applyFont="1" applyFill="1" applyBorder="1" applyAlignment="1"/>
    <xf numFmtId="164" fontId="46" fillId="0" borderId="0" xfId="0" applyNumberFormat="1" applyFont="1" applyAlignment="1">
      <alignment horizontal="left"/>
    </xf>
    <xf numFmtId="167" fontId="46" fillId="0" borderId="0" xfId="0" applyNumberFormat="1" applyFont="1"/>
    <xf numFmtId="164" fontId="103" fillId="0" borderId="0" xfId="0" applyNumberFormat="1" applyFont="1" applyAlignment="1">
      <alignment horizontal="left"/>
    </xf>
    <xf numFmtId="0" fontId="46" fillId="0" borderId="0" xfId="0" applyNumberFormat="1" applyFont="1" applyAlignment="1">
      <alignment wrapText="1"/>
    </xf>
    <xf numFmtId="0" fontId="24" fillId="0" borderId="21" xfId="136" applyFont="1" applyBorder="1" applyAlignment="1">
      <alignment horizontal="center" wrapText="1"/>
    </xf>
    <xf numFmtId="170" fontId="24" fillId="0" borderId="0" xfId="59" applyNumberFormat="1" applyFont="1" applyFill="1" applyBorder="1" applyAlignment="1"/>
    <xf numFmtId="0" fontId="24" fillId="20" borderId="16" xfId="151" quotePrefix="1" applyFont="1" applyFill="1" applyBorder="1"/>
    <xf numFmtId="0" fontId="92" fillId="0" borderId="0" xfId="147" applyFont="1"/>
    <xf numFmtId="176" fontId="10" fillId="0" borderId="0" xfId="59" applyNumberFormat="1" applyFont="1" applyFill="1" applyBorder="1"/>
    <xf numFmtId="164" fontId="17" fillId="0" borderId="0" xfId="85" applyNumberFormat="1" applyFont="1" applyFill="1" applyBorder="1" applyAlignment="1"/>
    <xf numFmtId="3" fontId="100" fillId="0" borderId="0" xfId="0" applyNumberFormat="1" applyFont="1" applyAlignment="1">
      <alignment vertical="top"/>
    </xf>
    <xf numFmtId="173" fontId="46" fillId="0" borderId="0" xfId="0" applyFont="1" applyAlignment="1" applyProtection="1">
      <alignment vertical="top" wrapText="1"/>
    </xf>
    <xf numFmtId="173" fontId="67" fillId="0" borderId="0" xfId="0" applyFont="1" applyAlignment="1">
      <alignment vertical="center" wrapText="1"/>
    </xf>
    <xf numFmtId="14" fontId="19" fillId="20" borderId="28" xfId="136" applyNumberFormat="1" applyFont="1" applyFill="1" applyBorder="1"/>
    <xf numFmtId="0" fontId="24" fillId="0" borderId="18" xfId="136" applyFont="1" applyBorder="1"/>
    <xf numFmtId="173" fontId="110" fillId="0" borderId="0" xfId="0" applyFont="1" applyAlignment="1">
      <alignment vertical="top"/>
    </xf>
    <xf numFmtId="10" fontId="82" fillId="0" borderId="0" xfId="132" applyNumberFormat="1" applyFont="1"/>
    <xf numFmtId="0" fontId="6" fillId="0" borderId="0" xfId="147" applyFont="1" applyAlignment="1">
      <alignment horizontal="center" wrapText="1"/>
    </xf>
    <xf numFmtId="0" fontId="24" fillId="0" borderId="13" xfId="0" applyNumberFormat="1" applyFont="1" applyBorder="1" applyAlignment="1">
      <alignment horizontal="center"/>
    </xf>
    <xf numFmtId="173" fontId="46" fillId="0" borderId="0" xfId="0" applyFont="1" applyAlignment="1">
      <alignment vertical="top" wrapText="1"/>
    </xf>
    <xf numFmtId="0" fontId="74" fillId="0" borderId="0" xfId="129" quotePrefix="1" applyFont="1" applyAlignment="1">
      <alignment horizontal="right" vertical="top"/>
    </xf>
    <xf numFmtId="173" fontId="17" fillId="0" borderId="0" xfId="0" applyFont="1" applyAlignment="1">
      <alignment horizontal="left" vertical="top"/>
    </xf>
    <xf numFmtId="170" fontId="17" fillId="0" borderId="0" xfId="0" quotePrefix="1" applyNumberFormat="1" applyFont="1" applyAlignment="1">
      <alignment horizontal="right"/>
    </xf>
    <xf numFmtId="0" fontId="5" fillId="0" borderId="11" xfId="147" applyFont="1" applyBorder="1" applyAlignment="1">
      <alignment horizontal="center" wrapText="1"/>
    </xf>
    <xf numFmtId="0" fontId="10" fillId="0" borderId="0" xfId="147" applyFont="1" applyAlignment="1">
      <alignment wrapText="1"/>
    </xf>
    <xf numFmtId="0" fontId="46" fillId="0" borderId="0" xfId="156" applyFont="1"/>
    <xf numFmtId="0" fontId="46" fillId="0" borderId="0" xfId="156" applyFont="1" applyAlignment="1">
      <alignment horizontal="center"/>
    </xf>
    <xf numFmtId="176" fontId="46" fillId="0" borderId="0" xfId="157" applyNumberFormat="1" applyFont="1"/>
    <xf numFmtId="0" fontId="112" fillId="0" borderId="0" xfId="156" applyFont="1" applyAlignment="1">
      <alignment horizontal="left"/>
    </xf>
    <xf numFmtId="176" fontId="46" fillId="0" borderId="29" xfId="156" applyNumberFormat="1" applyFont="1" applyBorder="1"/>
    <xf numFmtId="176" fontId="46" fillId="0" borderId="29" xfId="157" applyNumberFormat="1" applyFont="1" applyBorder="1"/>
    <xf numFmtId="176" fontId="46" fillId="0" borderId="0" xfId="156" applyNumberFormat="1" applyFont="1"/>
    <xf numFmtId="0" fontId="47" fillId="0" borderId="0" xfId="155" applyFont="1" applyAlignment="1">
      <alignment horizontal="center"/>
    </xf>
    <xf numFmtId="176" fontId="47" fillId="0" borderId="0" xfId="157" applyNumberFormat="1" applyFont="1" applyAlignment="1">
      <alignment horizontal="center" wrapText="1"/>
    </xf>
    <xf numFmtId="0" fontId="112" fillId="0" borderId="0" xfId="156" applyFont="1"/>
    <xf numFmtId="0" fontId="47" fillId="0" borderId="0" xfId="159" applyNumberFormat="1" applyFont="1"/>
    <xf numFmtId="0" fontId="46" fillId="0" borderId="0" xfId="156" applyFont="1" applyAlignment="1">
      <alignment horizontal="center" wrapText="1"/>
    </xf>
    <xf numFmtId="37" fontId="47" fillId="0" borderId="0" xfId="157" applyNumberFormat="1" applyFont="1" applyAlignment="1">
      <alignment horizontal="center" wrapText="1"/>
    </xf>
    <xf numFmtId="187" fontId="47" fillId="0" borderId="0" xfId="157" applyNumberFormat="1" applyFont="1" applyAlignment="1">
      <alignment horizontal="center" wrapText="1"/>
    </xf>
    <xf numFmtId="176" fontId="47" fillId="0" borderId="11" xfId="157" applyNumberFormat="1" applyFont="1" applyBorder="1" applyAlignment="1">
      <alignment horizontal="center" wrapText="1"/>
    </xf>
    <xf numFmtId="49" fontId="47" fillId="0" borderId="11" xfId="157" applyNumberFormat="1" applyFont="1" applyBorder="1" applyAlignment="1">
      <alignment horizontal="center" wrapText="1"/>
    </xf>
    <xf numFmtId="49" fontId="47" fillId="0" borderId="11" xfId="157" applyNumberFormat="1" applyFont="1" applyBorder="1" applyAlignment="1">
      <alignment horizontal="left" wrapText="1"/>
    </xf>
    <xf numFmtId="0" fontId="47" fillId="0" borderId="11" xfId="159" applyNumberFormat="1" applyFont="1" applyBorder="1"/>
    <xf numFmtId="0" fontId="47" fillId="0" borderId="11" xfId="156" applyFont="1" applyBorder="1" applyAlignment="1">
      <alignment horizontal="center" wrapText="1"/>
    </xf>
    <xf numFmtId="0" fontId="47" fillId="0" borderId="11" xfId="157" applyNumberFormat="1" applyFont="1" applyBorder="1" applyAlignment="1">
      <alignment horizontal="center" wrapText="1"/>
    </xf>
    <xf numFmtId="176" fontId="46" fillId="0" borderId="0" xfId="157" applyNumberFormat="1" applyFont="1" applyAlignment="1">
      <alignment horizontal="center"/>
    </xf>
    <xf numFmtId="176" fontId="46" fillId="0" borderId="0" xfId="157" applyNumberFormat="1" applyFont="1" applyAlignment="1">
      <alignment horizontal="right"/>
    </xf>
    <xf numFmtId="0" fontId="46" fillId="0" borderId="0" xfId="156" applyFont="1" applyAlignment="1">
      <alignment vertical="top" wrapText="1"/>
    </xf>
    <xf numFmtId="188" fontId="46" fillId="0" borderId="0" xfId="156" applyNumberFormat="1" applyFont="1"/>
    <xf numFmtId="176" fontId="46" fillId="0" borderId="0" xfId="59" applyNumberFormat="1" applyFont="1"/>
    <xf numFmtId="0" fontId="47" fillId="0" borderId="0" xfId="155" applyFont="1" applyAlignment="1">
      <alignment horizontal="center" wrapText="1"/>
    </xf>
    <xf numFmtId="0" fontId="112" fillId="0" borderId="0" xfId="156" applyFont="1" applyAlignment="1">
      <alignment horizontal="center" wrapText="1"/>
    </xf>
    <xf numFmtId="0" fontId="47" fillId="0" borderId="11" xfId="159" applyNumberFormat="1" applyFont="1" applyBorder="1" applyAlignment="1">
      <alignment horizontal="center" wrapText="1"/>
    </xf>
    <xf numFmtId="0" fontId="46" fillId="0" borderId="0" xfId="156" applyFont="1" applyAlignment="1">
      <alignment horizontal="right"/>
    </xf>
    <xf numFmtId="0" fontId="112" fillId="0" borderId="0" xfId="156" applyFont="1" applyAlignment="1">
      <alignment horizontal="right"/>
    </xf>
    <xf numFmtId="176" fontId="46" fillId="0" borderId="0" xfId="59" applyNumberFormat="1" applyFont="1" applyFill="1" applyAlignment="1">
      <alignment horizontal="left"/>
    </xf>
    <xf numFmtId="176" fontId="46" fillId="0" borderId="0" xfId="156" applyNumberFormat="1" applyFont="1" applyAlignment="1">
      <alignment horizontal="center"/>
    </xf>
    <xf numFmtId="180" fontId="46" fillId="0" borderId="0" xfId="59" applyNumberFormat="1" applyFont="1" applyAlignment="1">
      <alignment horizontal="center"/>
    </xf>
    <xf numFmtId="43" fontId="46" fillId="0" borderId="0" xfId="156" applyNumberFormat="1" applyFont="1" applyAlignment="1">
      <alignment horizontal="center"/>
    </xf>
    <xf numFmtId="180" fontId="47" fillId="0" borderId="11" xfId="59" applyNumberFormat="1" applyFont="1" applyBorder="1" applyAlignment="1">
      <alignment horizontal="center" wrapText="1"/>
    </xf>
    <xf numFmtId="180" fontId="47" fillId="0" borderId="0" xfId="59" applyNumberFormat="1" applyFont="1" applyAlignment="1">
      <alignment horizontal="center" wrapText="1"/>
    </xf>
    <xf numFmtId="0" fontId="46" fillId="0" borderId="0" xfId="156" applyFont="1" applyAlignment="1">
      <alignment horizontal="left" indent="1"/>
    </xf>
    <xf numFmtId="0" fontId="46" fillId="0" borderId="0" xfId="156" applyFont="1" applyAlignment="1">
      <alignment horizontal="right" indent="1"/>
    </xf>
    <xf numFmtId="0" fontId="46" fillId="0" borderId="0" xfId="156" applyFont="1" applyAlignment="1">
      <alignment wrapText="1"/>
    </xf>
    <xf numFmtId="176" fontId="46" fillId="0" borderId="0" xfId="157" applyNumberFormat="1" applyFont="1" applyAlignment="1">
      <alignment wrapText="1"/>
    </xf>
    <xf numFmtId="180" fontId="46" fillId="0" borderId="0" xfId="59" applyNumberFormat="1" applyFont="1" applyAlignment="1">
      <alignment horizontal="center" wrapText="1"/>
    </xf>
    <xf numFmtId="176" fontId="46" fillId="20" borderId="0" xfId="157" applyNumberFormat="1" applyFont="1" applyFill="1"/>
    <xf numFmtId="180" fontId="46" fillId="0" borderId="0" xfId="59" applyNumberFormat="1" applyFont="1"/>
    <xf numFmtId="176" fontId="46" fillId="0" borderId="0" xfId="157" applyNumberFormat="1" applyFont="1" applyBorder="1"/>
    <xf numFmtId="176" fontId="47" fillId="0" borderId="11" xfId="157" applyNumberFormat="1" applyFont="1" applyBorder="1" applyAlignment="1">
      <alignment horizontal="left" wrapText="1"/>
    </xf>
    <xf numFmtId="176" fontId="47" fillId="0" borderId="0" xfId="157" applyNumberFormat="1" applyFont="1" applyBorder="1" applyAlignment="1">
      <alignment horizontal="left" wrapText="1"/>
    </xf>
    <xf numFmtId="176" fontId="46" fillId="0" borderId="18" xfId="156" applyNumberFormat="1" applyFont="1" applyBorder="1"/>
    <xf numFmtId="173" fontId="47" fillId="0" borderId="11" xfId="0" applyFont="1" applyBorder="1" applyAlignment="1">
      <alignment horizontal="center"/>
    </xf>
    <xf numFmtId="176" fontId="46" fillId="0" borderId="29" xfId="59" applyNumberFormat="1" applyFont="1" applyBorder="1" applyAlignment="1"/>
    <xf numFmtId="0" fontId="0" fillId="0" borderId="0" xfId="0" applyNumberFormat="1"/>
    <xf numFmtId="0" fontId="24" fillId="0" borderId="0" xfId="155" applyFont="1"/>
    <xf numFmtId="0" fontId="47" fillId="0" borderId="11" xfId="0" applyNumberFormat="1" applyFont="1" applyBorder="1" applyAlignment="1">
      <alignment horizontal="center"/>
    </xf>
    <xf numFmtId="173" fontId="46" fillId="0" borderId="0" xfId="0" quotePrefix="1" applyFont="1"/>
    <xf numFmtId="176" fontId="46" fillId="0" borderId="0" xfId="59" applyNumberFormat="1" applyFont="1" applyAlignment="1">
      <alignment horizontal="center"/>
    </xf>
    <xf numFmtId="176" fontId="46" fillId="0" borderId="0" xfId="59" applyNumberFormat="1" applyFont="1" applyAlignment="1">
      <alignment horizontal="right"/>
    </xf>
    <xf numFmtId="0" fontId="46" fillId="20" borderId="0" xfId="158" applyFont="1" applyFill="1" applyAlignment="1">
      <alignment horizontal="left"/>
    </xf>
    <xf numFmtId="176" fontId="46" fillId="20" borderId="0" xfId="157" applyNumberFormat="1" applyFont="1" applyFill="1" applyAlignment="1">
      <alignment horizontal="left"/>
    </xf>
    <xf numFmtId="176" fontId="46" fillId="20" borderId="0" xfId="157" applyNumberFormat="1" applyFont="1" applyFill="1" applyAlignment="1">
      <alignment horizontal="center"/>
    </xf>
    <xf numFmtId="0" fontId="47" fillId="20" borderId="11" xfId="157" applyNumberFormat="1" applyFont="1" applyFill="1" applyBorder="1" applyAlignment="1">
      <alignment horizontal="center" wrapText="1"/>
    </xf>
    <xf numFmtId="176" fontId="46" fillId="20" borderId="0" xfId="59" applyNumberFormat="1" applyFont="1" applyFill="1" applyAlignment="1">
      <alignment horizontal="left"/>
    </xf>
    <xf numFmtId="180" fontId="46" fillId="20" borderId="0" xfId="59" applyNumberFormat="1" applyFont="1" applyFill="1" applyAlignment="1">
      <alignment horizontal="center"/>
    </xf>
    <xf numFmtId="176" fontId="46" fillId="20" borderId="0" xfId="157" applyNumberFormat="1" applyFont="1" applyFill="1" applyBorder="1" applyAlignment="1">
      <alignment horizontal="left"/>
    </xf>
    <xf numFmtId="0" fontId="47" fillId="0" borderId="0" xfId="156" applyFont="1"/>
    <xf numFmtId="188" fontId="46" fillId="0" borderId="0" xfId="156" applyNumberFormat="1" applyFont="1" applyAlignment="1">
      <alignment horizontal="center"/>
    </xf>
    <xf numFmtId="188" fontId="112" fillId="0" borderId="0" xfId="156" applyNumberFormat="1" applyFont="1"/>
    <xf numFmtId="188" fontId="46" fillId="20" borderId="0" xfId="59" applyNumberFormat="1" applyFont="1" applyFill="1" applyAlignment="1">
      <alignment horizontal="left"/>
    </xf>
    <xf numFmtId="0" fontId="46" fillId="0" borderId="0" xfId="157" applyNumberFormat="1" applyFont="1" applyAlignment="1">
      <alignment horizontal="center"/>
    </xf>
    <xf numFmtId="0" fontId="47" fillId="0" borderId="0" xfId="157" applyNumberFormat="1" applyFont="1" applyAlignment="1">
      <alignment horizontal="center" wrapText="1"/>
    </xf>
    <xf numFmtId="0" fontId="46" fillId="20" borderId="0" xfId="157" applyNumberFormat="1" applyFont="1" applyFill="1" applyAlignment="1">
      <alignment horizontal="center"/>
    </xf>
    <xf numFmtId="180" fontId="46" fillId="0" borderId="0" xfId="161" applyNumberFormat="1" applyFont="1"/>
    <xf numFmtId="180" fontId="46" fillId="0" borderId="0" xfId="161" applyNumberFormat="1" applyFont="1" applyAlignment="1">
      <alignment horizontal="right"/>
    </xf>
    <xf numFmtId="0" fontId="115" fillId="0" borderId="0" xfId="160" applyFont="1"/>
    <xf numFmtId="0" fontId="115" fillId="0" borderId="0" xfId="160" applyFont="1" applyAlignment="1">
      <alignment horizontal="center"/>
    </xf>
    <xf numFmtId="2" fontId="116" fillId="0" borderId="0" xfId="160" applyNumberFormat="1" applyFont="1" applyAlignment="1">
      <alignment horizontal="center" wrapText="1"/>
    </xf>
    <xf numFmtId="17" fontId="115" fillId="0" borderId="0" xfId="160" applyNumberFormat="1" applyFont="1" applyAlignment="1">
      <alignment horizontal="center"/>
    </xf>
    <xf numFmtId="189" fontId="115" fillId="0" borderId="0" xfId="160" applyNumberFormat="1" applyFont="1"/>
    <xf numFmtId="190" fontId="115" fillId="0" borderId="0" xfId="160" applyNumberFormat="1" applyFont="1"/>
    <xf numFmtId="180" fontId="115" fillId="0" borderId="0" xfId="160" applyNumberFormat="1" applyFont="1"/>
    <xf numFmtId="180" fontId="46" fillId="0" borderId="0" xfId="161" applyNumberFormat="1" applyFont="1" applyFill="1"/>
    <xf numFmtId="180" fontId="46" fillId="0" borderId="11" xfId="161" applyNumberFormat="1" applyFont="1" applyFill="1" applyBorder="1"/>
    <xf numFmtId="180" fontId="46" fillId="20" borderId="0" xfId="161" applyNumberFormat="1" applyFont="1" applyFill="1"/>
    <xf numFmtId="0" fontId="115" fillId="0" borderId="0" xfId="160" applyFont="1" applyAlignment="1">
      <alignment horizontal="left"/>
    </xf>
    <xf numFmtId="0" fontId="46" fillId="0" borderId="0" xfId="161" applyNumberFormat="1" applyFont="1"/>
    <xf numFmtId="0" fontId="46" fillId="0" borderId="0" xfId="161" applyNumberFormat="1" applyFont="1" applyAlignment="1">
      <alignment horizontal="right"/>
    </xf>
    <xf numFmtId="0" fontId="115" fillId="0" borderId="0" xfId="160" applyFont="1" applyAlignment="1">
      <alignment horizontal="right"/>
    </xf>
    <xf numFmtId="2" fontId="116" fillId="0" borderId="11" xfId="160" applyNumberFormat="1" applyFont="1" applyBorder="1" applyAlignment="1">
      <alignment horizontal="center" wrapText="1"/>
    </xf>
    <xf numFmtId="2" fontId="116" fillId="0" borderId="11" xfId="161" applyNumberFormat="1" applyFont="1" applyBorder="1" applyAlignment="1">
      <alignment horizontal="center" wrapText="1"/>
    </xf>
    <xf numFmtId="0" fontId="115" fillId="20" borderId="0" xfId="160" applyFont="1" applyFill="1"/>
    <xf numFmtId="0" fontId="117" fillId="0" borderId="0" xfId="160" applyFont="1"/>
    <xf numFmtId="176" fontId="115" fillId="0" borderId="0" xfId="59" applyNumberFormat="1" applyFont="1" applyAlignment="1"/>
    <xf numFmtId="0" fontId="115" fillId="0" borderId="0" xfId="160" quotePrefix="1" applyFont="1" applyAlignment="1">
      <alignment horizontal="right"/>
    </xf>
    <xf numFmtId="176" fontId="46" fillId="0" borderId="0" xfId="157" applyNumberFormat="1" applyFont="1" applyFill="1" applyAlignment="1">
      <alignment horizontal="right"/>
    </xf>
    <xf numFmtId="176" fontId="46" fillId="0" borderId="0" xfId="157" applyNumberFormat="1" applyFont="1" applyFill="1" applyAlignment="1">
      <alignment horizontal="left"/>
    </xf>
    <xf numFmtId="0" fontId="46" fillId="0" borderId="0" xfId="0" applyNumberFormat="1" applyFont="1" applyAlignment="1">
      <alignment vertical="top" wrapText="1"/>
    </xf>
    <xf numFmtId="176" fontId="47" fillId="0" borderId="0" xfId="157" applyNumberFormat="1" applyFont="1" applyAlignment="1">
      <alignment horizontal="right" wrapText="1"/>
    </xf>
    <xf numFmtId="0" fontId="46" fillId="0" borderId="0" xfId="156" applyFont="1" applyAlignment="1">
      <alignment horizontal="right" wrapText="1"/>
    </xf>
    <xf numFmtId="176" fontId="46" fillId="0" borderId="0" xfId="157" applyNumberFormat="1" applyFont="1" applyBorder="1" applyAlignment="1">
      <alignment horizontal="right"/>
    </xf>
    <xf numFmtId="0" fontId="47" fillId="0" borderId="0" xfId="155" applyFont="1"/>
    <xf numFmtId="0" fontId="119" fillId="0" borderId="0" xfId="157" applyNumberFormat="1" applyFont="1" applyAlignment="1">
      <alignment horizontal="center" wrapText="1"/>
    </xf>
    <xf numFmtId="180" fontId="46" fillId="0" borderId="0" xfId="161" applyNumberFormat="1" applyFont="1" applyAlignment="1">
      <alignment horizontal="left"/>
    </xf>
    <xf numFmtId="10" fontId="46" fillId="20" borderId="0" xfId="85" applyNumberFormat="1" applyFont="1" applyFill="1" applyAlignment="1">
      <alignment horizontal="right"/>
    </xf>
    <xf numFmtId="10" fontId="46" fillId="0" borderId="0" xfId="85" applyNumberFormat="1" applyFont="1" applyAlignment="1">
      <alignment horizontal="right"/>
    </xf>
    <xf numFmtId="0" fontId="115" fillId="0" borderId="0" xfId="160" quotePrefix="1" applyFont="1" applyAlignment="1">
      <alignment horizontal="center"/>
    </xf>
    <xf numFmtId="176" fontId="46" fillId="20" borderId="0" xfId="59" applyNumberFormat="1" applyFont="1" applyFill="1" applyAlignment="1">
      <alignment horizontal="right"/>
    </xf>
    <xf numFmtId="0" fontId="115" fillId="0" borderId="0" xfId="160" applyFont="1" applyAlignment="1">
      <alignment horizontal="left" wrapText="1"/>
    </xf>
    <xf numFmtId="0" fontId="115" fillId="0" borderId="0" xfId="160" applyFont="1" applyAlignment="1">
      <alignment horizontal="center" wrapText="1"/>
    </xf>
    <xf numFmtId="180" fontId="46" fillId="0" borderId="0" xfId="161" applyNumberFormat="1" applyFont="1" applyAlignment="1">
      <alignment horizontal="left" wrapText="1"/>
    </xf>
    <xf numFmtId="176" fontId="47" fillId="0" borderId="11" xfId="59" applyNumberFormat="1" applyFont="1" applyBorder="1" applyAlignment="1">
      <alignment horizontal="center" wrapText="1"/>
    </xf>
    <xf numFmtId="176" fontId="47" fillId="20" borderId="11" xfId="59" applyNumberFormat="1" applyFont="1" applyFill="1" applyBorder="1" applyAlignment="1">
      <alignment horizontal="center" wrapText="1"/>
    </xf>
    <xf numFmtId="180" fontId="47" fillId="0" borderId="11" xfId="161" applyNumberFormat="1" applyFont="1" applyBorder="1" applyAlignment="1">
      <alignment horizontal="center" wrapText="1"/>
    </xf>
    <xf numFmtId="10" fontId="115" fillId="0" borderId="0" xfId="85" applyNumberFormat="1" applyFont="1" applyAlignment="1">
      <alignment horizontal="right"/>
    </xf>
    <xf numFmtId="0" fontId="115" fillId="20" borderId="0" xfId="160" applyFont="1" applyFill="1" applyAlignment="1">
      <alignment horizontal="left"/>
    </xf>
    <xf numFmtId="0" fontId="46" fillId="0" borderId="0" xfId="0" applyNumberFormat="1" applyFont="1" applyAlignment="1">
      <alignment horizontal="center" vertical="top" wrapText="1"/>
    </xf>
    <xf numFmtId="0" fontId="115" fillId="0" borderId="0" xfId="160" quotePrefix="1" applyFont="1" applyAlignment="1">
      <alignment horizontal="center" wrapText="1"/>
    </xf>
    <xf numFmtId="176" fontId="46" fillId="0" borderId="29" xfId="59" applyNumberFormat="1" applyFont="1" applyBorder="1" applyAlignment="1">
      <alignment horizontal="right"/>
    </xf>
    <xf numFmtId="0" fontId="116" fillId="0" borderId="11" xfId="160" applyFont="1" applyBorder="1" applyAlignment="1">
      <alignment horizontal="left"/>
    </xf>
    <xf numFmtId="10" fontId="46" fillId="0" borderId="0" xfId="85" applyNumberFormat="1" applyFont="1" applyFill="1" applyAlignment="1">
      <alignment horizontal="right"/>
    </xf>
    <xf numFmtId="164" fontId="46" fillId="0" borderId="0" xfId="0" applyNumberFormat="1" applyFont="1" applyAlignment="1">
      <alignment horizontal="right"/>
    </xf>
    <xf numFmtId="0" fontId="120" fillId="0" borderId="0" xfId="160" applyFont="1" applyAlignment="1">
      <alignment horizontal="center"/>
    </xf>
    <xf numFmtId="10" fontId="46" fillId="0" borderId="0" xfId="59" applyNumberFormat="1" applyFont="1" applyAlignment="1">
      <alignment horizontal="right"/>
    </xf>
    <xf numFmtId="0" fontId="48" fillId="0" borderId="0" xfId="0" applyNumberFormat="1" applyFont="1" applyAlignment="1">
      <alignment horizontal="center" vertical="center"/>
    </xf>
    <xf numFmtId="173" fontId="46" fillId="20" borderId="0" xfId="0" applyFont="1" applyFill="1"/>
    <xf numFmtId="176" fontId="46" fillId="0" borderId="0" xfId="59" applyNumberFormat="1" applyFont="1" applyFill="1"/>
    <xf numFmtId="173" fontId="46" fillId="20" borderId="0" xfId="0" applyFont="1" applyFill="1" applyAlignment="1">
      <alignment horizontal="center"/>
    </xf>
    <xf numFmtId="176" fontId="47" fillId="0" borderId="0" xfId="59" applyNumberFormat="1" applyFont="1" applyFill="1" applyBorder="1"/>
    <xf numFmtId="176" fontId="46" fillId="20" borderId="0" xfId="59" applyNumberFormat="1" applyFont="1" applyFill="1"/>
    <xf numFmtId="173" fontId="46" fillId="0" borderId="0" xfId="0" applyFont="1" applyAlignment="1">
      <alignment horizontal="center" wrapText="1"/>
    </xf>
    <xf numFmtId="176" fontId="46" fillId="0" borderId="0" xfId="59" applyNumberFormat="1" applyFont="1" applyFill="1" applyBorder="1" applyAlignment="1">
      <alignment vertical="top" wrapText="1"/>
    </xf>
    <xf numFmtId="173" fontId="47" fillId="0" borderId="11" xfId="0" applyFont="1" applyBorder="1" applyAlignment="1">
      <alignment horizontal="center" wrapText="1"/>
    </xf>
    <xf numFmtId="191" fontId="46" fillId="0" borderId="0" xfId="59" applyNumberFormat="1" applyFont="1" applyAlignment="1">
      <alignment horizontal="center" vertical="center"/>
    </xf>
    <xf numFmtId="191" fontId="47" fillId="0" borderId="11" xfId="59" applyNumberFormat="1" applyFont="1" applyBorder="1" applyAlignment="1">
      <alignment horizontal="center" wrapText="1"/>
    </xf>
    <xf numFmtId="191" fontId="46" fillId="0" borderId="0" xfId="59" applyNumberFormat="1" applyFont="1"/>
    <xf numFmtId="191" fontId="46" fillId="0" borderId="0" xfId="59" applyNumberFormat="1" applyFont="1" applyAlignment="1"/>
    <xf numFmtId="191" fontId="46" fillId="0" borderId="0" xfId="59" applyNumberFormat="1" applyFont="1" applyFill="1" applyBorder="1" applyAlignment="1">
      <alignment vertical="top" wrapText="1"/>
    </xf>
    <xf numFmtId="176" fontId="46" fillId="0" borderId="29" xfId="59" applyNumberFormat="1" applyFont="1" applyBorder="1"/>
    <xf numFmtId="43" fontId="46" fillId="20" borderId="0" xfId="59" applyFont="1" applyFill="1" applyAlignment="1">
      <alignment horizontal="center"/>
    </xf>
    <xf numFmtId="43" fontId="46" fillId="0" borderId="0" xfId="59" applyFont="1" applyFill="1" applyAlignment="1">
      <alignment horizontal="center"/>
    </xf>
    <xf numFmtId="176" fontId="46" fillId="0" borderId="0" xfId="157" applyNumberFormat="1" applyFont="1" applyFill="1"/>
    <xf numFmtId="0" fontId="47" fillId="0" borderId="0" xfId="159" applyNumberFormat="1" applyFont="1" applyBorder="1"/>
    <xf numFmtId="173" fontId="47" fillId="0" borderId="11" xfId="0" applyFont="1" applyBorder="1" applyAlignment="1">
      <alignment horizontal="left" wrapText="1"/>
    </xf>
    <xf numFmtId="0" fontId="47" fillId="0" borderId="11" xfId="159" applyNumberFormat="1" applyFont="1" applyBorder="1" applyAlignment="1">
      <alignment horizontal="left" wrapText="1"/>
    </xf>
    <xf numFmtId="0" fontId="112" fillId="0" borderId="0" xfId="156" applyFont="1" applyAlignment="1">
      <alignment wrapText="1"/>
    </xf>
    <xf numFmtId="176" fontId="46" fillId="0" borderId="0" xfId="59" applyNumberFormat="1" applyFont="1" applyAlignment="1">
      <alignment horizontal="left"/>
    </xf>
    <xf numFmtId="0" fontId="46" fillId="0" borderId="0" xfId="156" applyFont="1" applyAlignment="1">
      <alignment horizontal="left"/>
    </xf>
    <xf numFmtId="176" fontId="46" fillId="0" borderId="0" xfId="157" applyNumberFormat="1" applyFont="1" applyFill="1" applyAlignment="1">
      <alignment horizontal="center"/>
    </xf>
    <xf numFmtId="49" fontId="47" fillId="0" borderId="0" xfId="157" applyNumberFormat="1" applyFont="1" applyFill="1" applyBorder="1" applyAlignment="1">
      <alignment horizontal="left" wrapText="1"/>
    </xf>
    <xf numFmtId="43" fontId="46" fillId="0" borderId="0" xfId="59" applyFont="1" applyAlignment="1">
      <alignment horizontal="center"/>
    </xf>
    <xf numFmtId="0" fontId="47" fillId="0" borderId="0" xfId="159" applyNumberFormat="1" applyFont="1" applyBorder="1" applyAlignment="1">
      <alignment horizontal="center" wrapText="1"/>
    </xf>
    <xf numFmtId="0" fontId="47" fillId="0" borderId="0" xfId="159" applyNumberFormat="1" applyFont="1" applyFill="1" applyBorder="1" applyAlignment="1">
      <alignment horizontal="center" wrapText="1"/>
    </xf>
    <xf numFmtId="169" fontId="46" fillId="0" borderId="0" xfId="156" applyNumberFormat="1" applyFont="1" applyAlignment="1">
      <alignment horizontal="center"/>
    </xf>
    <xf numFmtId="0" fontId="46" fillId="0" borderId="11" xfId="156" applyFont="1" applyBorder="1"/>
    <xf numFmtId="3" fontId="46" fillId="0" borderId="0" xfId="0" quotePrefix="1" applyNumberFormat="1" applyFont="1" applyAlignment="1">
      <alignment horizontal="right"/>
    </xf>
    <xf numFmtId="180" fontId="100" fillId="0" borderId="0" xfId="59" applyNumberFormat="1" applyFont="1" applyAlignment="1"/>
    <xf numFmtId="180" fontId="46" fillId="0" borderId="0" xfId="59" applyNumberFormat="1" applyFont="1" applyFill="1" applyAlignment="1">
      <alignment horizontal="center"/>
    </xf>
    <xf numFmtId="0" fontId="47" fillId="0" borderId="0" xfId="159" applyNumberFormat="1" applyFont="1" applyFill="1"/>
    <xf numFmtId="0" fontId="118" fillId="0" borderId="0" xfId="155" applyFont="1" applyAlignment="1">
      <alignment horizontal="center"/>
    </xf>
    <xf numFmtId="176" fontId="47" fillId="0" borderId="0" xfId="157" quotePrefix="1" applyNumberFormat="1" applyFont="1" applyAlignment="1">
      <alignment wrapText="1"/>
    </xf>
    <xf numFmtId="176" fontId="47" fillId="0" borderId="0" xfId="157" applyNumberFormat="1" applyFont="1" applyAlignment="1">
      <alignment wrapText="1"/>
    </xf>
    <xf numFmtId="49" fontId="118" fillId="0" borderId="0" xfId="157" applyNumberFormat="1" applyFont="1" applyBorder="1" applyAlignment="1">
      <alignment wrapText="1"/>
    </xf>
    <xf numFmtId="180" fontId="46" fillId="0" borderId="0" xfId="59" applyNumberFormat="1" applyFont="1" applyBorder="1"/>
    <xf numFmtId="180" fontId="112" fillId="0" borderId="0" xfId="59" applyNumberFormat="1" applyFont="1"/>
    <xf numFmtId="176" fontId="46" fillId="0" borderId="0" xfId="157" applyNumberFormat="1" applyFont="1" applyAlignment="1">
      <alignment horizontal="left"/>
    </xf>
    <xf numFmtId="0" fontId="115" fillId="0" borderId="0" xfId="160" quotePrefix="1" applyFont="1" applyAlignment="1">
      <alignment horizontal="left"/>
    </xf>
    <xf numFmtId="0" fontId="46" fillId="0" borderId="11" xfId="0" applyNumberFormat="1" applyFont="1" applyBorder="1"/>
    <xf numFmtId="173" fontId="46" fillId="0" borderId="11" xfId="0" applyFont="1" applyBorder="1"/>
    <xf numFmtId="176" fontId="46" fillId="0" borderId="0" xfId="59" applyNumberFormat="1" applyFont="1" applyBorder="1"/>
    <xf numFmtId="181" fontId="46" fillId="0" borderId="0" xfId="59" applyNumberFormat="1" applyFont="1" applyFill="1" applyAlignment="1"/>
    <xf numFmtId="176" fontId="47" fillId="0" borderId="0" xfId="59" applyNumberFormat="1" applyFont="1" applyBorder="1"/>
    <xf numFmtId="173" fontId="119" fillId="0" borderId="0" xfId="0" applyFont="1"/>
    <xf numFmtId="173" fontId="46" fillId="0" borderId="0" xfId="0" applyFont="1" applyAlignment="1">
      <alignment wrapText="1"/>
    </xf>
    <xf numFmtId="173" fontId="115" fillId="0" borderId="0" xfId="160" applyNumberFormat="1" applyFont="1" applyAlignment="1">
      <alignment horizontal="left"/>
    </xf>
    <xf numFmtId="0" fontId="120" fillId="0" borderId="0" xfId="160" quotePrefix="1" applyFont="1" applyAlignment="1">
      <alignment horizontal="center"/>
    </xf>
    <xf numFmtId="176" fontId="48" fillId="0" borderId="0" xfId="59" applyNumberFormat="1" applyFont="1" applyFill="1" applyAlignment="1">
      <alignment horizontal="center" vertical="center"/>
    </xf>
    <xf numFmtId="176" fontId="48" fillId="0" borderId="0" xfId="59" applyNumberFormat="1" applyFont="1" applyFill="1" applyBorder="1" applyAlignment="1">
      <alignment horizontal="center" vertical="center"/>
    </xf>
    <xf numFmtId="176" fontId="104" fillId="0" borderId="0" xfId="59" applyNumberFormat="1" applyFont="1" applyFill="1" applyAlignment="1">
      <alignment horizontal="center" vertical="center"/>
    </xf>
    <xf numFmtId="176" fontId="46" fillId="0" borderId="15" xfId="157" applyNumberFormat="1" applyFont="1" applyBorder="1" applyAlignment="1">
      <alignment horizontal="center"/>
    </xf>
    <xf numFmtId="176" fontId="46" fillId="0" borderId="29" xfId="157" applyNumberFormat="1" applyFont="1" applyBorder="1" applyAlignment="1">
      <alignment horizontal="center"/>
    </xf>
    <xf numFmtId="176" fontId="46" fillId="0" borderId="20" xfId="157" applyNumberFormat="1" applyFont="1" applyBorder="1" applyAlignment="1">
      <alignment horizontal="center"/>
    </xf>
    <xf numFmtId="176" fontId="46" fillId="0" borderId="38" xfId="157" applyNumberFormat="1" applyFont="1" applyBorder="1" applyAlignment="1">
      <alignment horizontal="center"/>
    </xf>
    <xf numFmtId="173" fontId="46" fillId="0" borderId="10" xfId="0" applyFont="1" applyBorder="1" applyAlignment="1">
      <alignment horizontal="center"/>
    </xf>
    <xf numFmtId="176" fontId="24" fillId="0" borderId="0" xfId="59" applyNumberFormat="1" applyFont="1" applyFill="1" applyAlignment="1">
      <alignment horizontal="right"/>
    </xf>
    <xf numFmtId="0" fontId="47" fillId="0" borderId="0" xfId="156" applyFont="1" applyAlignment="1">
      <alignment vertical="top"/>
    </xf>
    <xf numFmtId="0" fontId="47" fillId="0" borderId="0" xfId="157" applyNumberFormat="1" applyFont="1" applyFill="1" applyAlignment="1">
      <alignment vertical="top"/>
    </xf>
    <xf numFmtId="176" fontId="46" fillId="0" borderId="0" xfId="157" applyNumberFormat="1" applyFont="1" applyAlignment="1">
      <alignment vertical="top" wrapText="1"/>
    </xf>
    <xf numFmtId="0" fontId="46" fillId="0" borderId="0" xfId="156" applyFont="1" applyAlignment="1">
      <alignment vertical="top"/>
    </xf>
    <xf numFmtId="180" fontId="46" fillId="0" borderId="0" xfId="59" applyNumberFormat="1" applyFont="1" applyFill="1"/>
    <xf numFmtId="173" fontId="67" fillId="0" borderId="0" xfId="0" applyFont="1" applyAlignment="1">
      <alignment vertical="top"/>
    </xf>
    <xf numFmtId="176" fontId="46" fillId="0" borderId="18" xfId="59" applyNumberFormat="1" applyFont="1" applyFill="1" applyBorder="1" applyAlignment="1">
      <alignment horizontal="right"/>
    </xf>
    <xf numFmtId="176" fontId="47" fillId="0" borderId="0" xfId="157" applyNumberFormat="1" applyFont="1" applyFill="1" applyAlignment="1">
      <alignment vertical="top"/>
    </xf>
    <xf numFmtId="43" fontId="46" fillId="0" borderId="0" xfId="59" applyFont="1"/>
    <xf numFmtId="176" fontId="46" fillId="0" borderId="0" xfId="157" applyNumberFormat="1" applyFont="1" applyFill="1" applyBorder="1"/>
    <xf numFmtId="0" fontId="100" fillId="0" borderId="0" xfId="0" applyNumberFormat="1" applyFont="1" applyAlignment="1">
      <alignment horizontal="center" vertical="top"/>
    </xf>
    <xf numFmtId="0" fontId="46" fillId="0" borderId="0" xfId="0" applyNumberFormat="1" applyFont="1" applyAlignment="1">
      <alignment vertical="top"/>
    </xf>
    <xf numFmtId="176" fontId="46" fillId="0" borderId="0" xfId="157" applyNumberFormat="1" applyFont="1" applyFill="1" applyAlignment="1">
      <alignment vertical="top"/>
    </xf>
    <xf numFmtId="0" fontId="47" fillId="0" borderId="0" xfId="161" applyNumberFormat="1" applyFont="1" applyFill="1" applyAlignment="1">
      <alignment vertical="top"/>
    </xf>
    <xf numFmtId="176" fontId="47" fillId="0" borderId="0" xfId="59" applyNumberFormat="1" applyFont="1" applyBorder="1" applyAlignment="1"/>
    <xf numFmtId="0" fontId="121" fillId="0" borderId="0" xfId="160" applyFont="1"/>
    <xf numFmtId="43" fontId="12" fillId="0" borderId="0" xfId="147" applyNumberFormat="1"/>
    <xf numFmtId="176" fontId="46" fillId="20" borderId="11" xfId="59" applyNumberFormat="1" applyFont="1" applyFill="1" applyBorder="1" applyAlignment="1"/>
    <xf numFmtId="0" fontId="47" fillId="0" borderId="0" xfId="0" applyNumberFormat="1" applyFont="1" applyAlignment="1">
      <alignment horizontal="center"/>
    </xf>
    <xf numFmtId="176" fontId="115" fillId="0" borderId="29" xfId="59" applyNumberFormat="1" applyFont="1" applyBorder="1" applyAlignment="1"/>
    <xf numFmtId="176" fontId="115" fillId="0" borderId="11" xfId="59" applyNumberFormat="1" applyFont="1" applyBorder="1" applyAlignment="1"/>
    <xf numFmtId="176" fontId="115" fillId="0" borderId="24" xfId="59" applyNumberFormat="1" applyFont="1" applyBorder="1" applyAlignment="1"/>
    <xf numFmtId="176" fontId="115" fillId="0" borderId="0" xfId="59" applyNumberFormat="1" applyFont="1" applyFill="1" applyAlignment="1"/>
    <xf numFmtId="176" fontId="115" fillId="0" borderId="0" xfId="59" applyNumberFormat="1" applyFont="1" applyFill="1" applyBorder="1" applyAlignment="1"/>
    <xf numFmtId="176" fontId="46" fillId="0" borderId="0" xfId="59" applyNumberFormat="1" applyFont="1" applyFill="1" applyBorder="1" applyAlignment="1"/>
    <xf numFmtId="176" fontId="115" fillId="0" borderId="0" xfId="59" applyNumberFormat="1" applyFont="1" applyBorder="1" applyAlignment="1"/>
    <xf numFmtId="44" fontId="24" fillId="0" borderId="10" xfId="63" applyFont="1" applyFill="1" applyBorder="1" applyAlignment="1"/>
    <xf numFmtId="0" fontId="92" fillId="0" borderId="0" xfId="147" applyFont="1" applyAlignment="1">
      <alignment vertical="top"/>
    </xf>
    <xf numFmtId="0" fontId="108" fillId="0" borderId="0" xfId="132" applyFont="1"/>
    <xf numFmtId="173" fontId="123" fillId="0" borderId="0" xfId="0" applyFont="1"/>
    <xf numFmtId="0" fontId="124" fillId="0" borderId="0" xfId="155" applyFont="1" applyAlignment="1">
      <alignment horizontal="left"/>
    </xf>
    <xf numFmtId="0" fontId="107" fillId="0" borderId="0" xfId="156" applyFont="1"/>
    <xf numFmtId="0" fontId="107" fillId="0" borderId="0" xfId="156" applyFont="1" applyAlignment="1">
      <alignment horizontal="left"/>
    </xf>
    <xf numFmtId="173" fontId="122" fillId="0" borderId="0" xfId="0" applyFont="1" applyAlignment="1">
      <alignment vertical="top"/>
    </xf>
    <xf numFmtId="0" fontId="108" fillId="0" borderId="0" xfId="0" applyNumberFormat="1" applyFont="1"/>
    <xf numFmtId="173" fontId="108" fillId="0" borderId="0" xfId="0" applyFont="1"/>
    <xf numFmtId="0" fontId="107" fillId="0" borderId="0" xfId="160" applyFont="1"/>
    <xf numFmtId="176" fontId="107" fillId="0" borderId="0" xfId="157" applyNumberFormat="1" applyFont="1"/>
    <xf numFmtId="0" fontId="107" fillId="0" borderId="0" xfId="160" applyFont="1" applyAlignment="1">
      <alignment horizontal="left"/>
    </xf>
    <xf numFmtId="176" fontId="125" fillId="0" borderId="0" xfId="157" applyNumberFormat="1" applyFont="1"/>
    <xf numFmtId="173" fontId="126" fillId="0" borderId="0" xfId="0" applyFont="1"/>
    <xf numFmtId="0" fontId="127" fillId="0" borderId="0" xfId="156" applyFont="1"/>
    <xf numFmtId="0" fontId="127" fillId="0" borderId="0" xfId="156" applyFont="1" applyAlignment="1">
      <alignment horizontal="center"/>
    </xf>
    <xf numFmtId="176" fontId="127" fillId="0" borderId="0" xfId="157" applyNumberFormat="1" applyFont="1"/>
    <xf numFmtId="173" fontId="128" fillId="0" borderId="0" xfId="0" applyFont="1" applyAlignment="1">
      <alignment vertical="center"/>
    </xf>
    <xf numFmtId="173" fontId="129" fillId="0" borderId="0" xfId="0" applyFont="1"/>
    <xf numFmtId="0" fontId="127" fillId="0" borderId="0" xfId="160" applyFont="1"/>
    <xf numFmtId="173" fontId="127" fillId="0" borderId="0" xfId="0" applyFont="1"/>
    <xf numFmtId="0" fontId="127" fillId="0" borderId="0" xfId="157" applyNumberFormat="1" applyFont="1" applyFill="1" applyAlignment="1">
      <alignment vertical="top"/>
    </xf>
    <xf numFmtId="0" fontId="127" fillId="0" borderId="0" xfId="160" applyFont="1" applyAlignment="1">
      <alignment horizontal="left"/>
    </xf>
    <xf numFmtId="173" fontId="46" fillId="0" borderId="0" xfId="0" applyFont="1" applyAlignment="1">
      <alignment vertical="top"/>
    </xf>
    <xf numFmtId="0" fontId="129" fillId="0" borderId="0" xfId="132" applyFont="1"/>
    <xf numFmtId="176" fontId="46" fillId="0" borderId="11" xfId="59" applyNumberFormat="1" applyFont="1" applyFill="1" applyBorder="1"/>
    <xf numFmtId="176" fontId="46" fillId="0" borderId="29" xfId="157" applyNumberFormat="1" applyFont="1" applyFill="1" applyBorder="1"/>
    <xf numFmtId="176" fontId="47" fillId="0" borderId="0" xfId="157" applyNumberFormat="1" applyFont="1" applyFill="1" applyBorder="1" applyAlignment="1">
      <alignment horizontal="center" wrapText="1"/>
    </xf>
    <xf numFmtId="0" fontId="46" fillId="0" borderId="0" xfId="156" quotePrefix="1" applyFont="1" applyAlignment="1">
      <alignment horizontal="center" wrapText="1"/>
    </xf>
    <xf numFmtId="170" fontId="46" fillId="0" borderId="0" xfId="0" applyNumberFormat="1" applyFont="1"/>
    <xf numFmtId="187" fontId="127" fillId="0" borderId="0" xfId="157" applyNumberFormat="1" applyFont="1" applyAlignment="1"/>
    <xf numFmtId="173" fontId="69" fillId="0" borderId="0" xfId="0" applyFont="1" applyAlignment="1">
      <alignment vertical="center" wrapText="1"/>
    </xf>
    <xf numFmtId="180" fontId="46" fillId="0" borderId="0" xfId="161" applyNumberFormat="1" applyFont="1" applyFill="1" applyAlignment="1">
      <alignment horizontal="right"/>
    </xf>
    <xf numFmtId="0" fontId="115" fillId="0" borderId="0" xfId="160" quotePrefix="1" applyFont="1"/>
    <xf numFmtId="176" fontId="47" fillId="0" borderId="0" xfId="59" applyNumberFormat="1" applyFont="1" applyFill="1" applyBorder="1" applyAlignment="1">
      <alignment vertical="top"/>
    </xf>
    <xf numFmtId="176" fontId="107" fillId="0" borderId="0" xfId="59" applyNumberFormat="1" applyFont="1"/>
    <xf numFmtId="0" fontId="107" fillId="0" borderId="0" xfId="0" applyNumberFormat="1" applyFont="1"/>
    <xf numFmtId="0" fontId="107" fillId="0" borderId="0" xfId="0" applyNumberFormat="1" applyFont="1" applyAlignment="1">
      <alignment horizontal="left"/>
    </xf>
    <xf numFmtId="176" fontId="107" fillId="0" borderId="0" xfId="157" applyNumberFormat="1" applyFont="1" applyAlignment="1">
      <alignment horizontal="left" vertical="top"/>
    </xf>
    <xf numFmtId="0" fontId="107" fillId="0" borderId="0" xfId="159" applyNumberFormat="1" applyFont="1"/>
    <xf numFmtId="176" fontId="46" fillId="0" borderId="11" xfId="156" applyNumberFormat="1" applyFont="1" applyBorder="1"/>
    <xf numFmtId="176" fontId="46" fillId="0" borderId="0" xfId="59" applyNumberFormat="1" applyFont="1" applyFill="1" applyAlignment="1">
      <alignment horizontal="center" vertical="center"/>
    </xf>
    <xf numFmtId="176" fontId="46" fillId="20" borderId="0" xfId="59" quotePrefix="1" applyNumberFormat="1" applyFont="1" applyFill="1" applyAlignment="1">
      <alignment horizontal="center"/>
    </xf>
    <xf numFmtId="176" fontId="46" fillId="20" borderId="0" xfId="59" applyNumberFormat="1" applyFont="1" applyFill="1" applyAlignment="1">
      <alignment horizontal="center"/>
    </xf>
    <xf numFmtId="176" fontId="46" fillId="0" borderId="0" xfId="59" applyNumberFormat="1" applyFont="1" applyFill="1" applyAlignment="1">
      <alignment vertical="center"/>
    </xf>
    <xf numFmtId="176" fontId="24" fillId="0" borderId="25" xfId="59" applyNumberFormat="1" applyFont="1" applyFill="1" applyBorder="1" applyAlignment="1">
      <alignment horizontal="right"/>
    </xf>
    <xf numFmtId="180" fontId="24" fillId="0" borderId="0" xfId="59" applyNumberFormat="1" applyFont="1" applyFill="1" applyAlignment="1">
      <alignment horizontal="right"/>
    </xf>
    <xf numFmtId="3" fontId="24" fillId="0" borderId="0" xfId="132" applyNumberFormat="1" applyFont="1" applyAlignment="1">
      <alignment horizontal="left" wrapText="1"/>
    </xf>
    <xf numFmtId="173" fontId="46" fillId="0" borderId="0" xfId="0" applyFont="1" applyAlignment="1">
      <alignment horizontal="right" vertical="center"/>
    </xf>
    <xf numFmtId="173" fontId="67" fillId="0" borderId="0" xfId="0" applyFont="1" applyAlignment="1">
      <alignment horizontal="center"/>
    </xf>
    <xf numFmtId="0" fontId="67" fillId="0" borderId="0" xfId="0" applyNumberFormat="1" applyFont="1" applyAlignment="1">
      <alignment horizontal="center"/>
    </xf>
    <xf numFmtId="0" fontId="17" fillId="23" borderId="0" xfId="167" applyFont="1" applyFill="1" applyAlignment="1" applyProtection="1">
      <alignment horizontal="center"/>
      <protection locked="0"/>
    </xf>
    <xf numFmtId="0" fontId="87" fillId="23" borderId="0" xfId="81" applyFont="1" applyFill="1" applyAlignment="1">
      <alignment horizontal="left"/>
    </xf>
    <xf numFmtId="0" fontId="17" fillId="23" borderId="0" xfId="81" applyFont="1" applyFill="1"/>
    <xf numFmtId="0" fontId="17" fillId="23" borderId="0" xfId="81" applyFont="1" applyFill="1" applyAlignment="1">
      <alignment horizontal="center" wrapText="1"/>
    </xf>
    <xf numFmtId="0" fontId="17" fillId="23" borderId="0" xfId="81" applyFont="1" applyFill="1" applyAlignment="1">
      <alignment horizontal="center"/>
    </xf>
    <xf numFmtId="173" fontId="105" fillId="23" borderId="0" xfId="0" applyFont="1" applyFill="1" applyAlignment="1">
      <alignment horizontal="center" wrapText="1"/>
    </xf>
    <xf numFmtId="173" fontId="105" fillId="23" borderId="0" xfId="0" applyFont="1" applyFill="1" applyAlignment="1">
      <alignment horizontal="center"/>
    </xf>
    <xf numFmtId="49" fontId="17" fillId="20" borderId="0" xfId="81" applyNumberFormat="1" applyFont="1" applyFill="1"/>
    <xf numFmtId="1" fontId="17" fillId="20" borderId="0" xfId="81" applyNumberFormat="1" applyFont="1" applyFill="1" applyAlignment="1">
      <alignment horizontal="center"/>
    </xf>
    <xf numFmtId="176" fontId="24" fillId="20" borderId="0" xfId="61" applyNumberFormat="1" applyFont="1" applyFill="1" applyBorder="1" applyAlignment="1"/>
    <xf numFmtId="43" fontId="56" fillId="20" borderId="0" xfId="59" applyFont="1" applyFill="1" applyBorder="1" applyAlignment="1"/>
    <xf numFmtId="49" fontId="17" fillId="23" borderId="0" xfId="81" applyNumberFormat="1" applyFont="1" applyFill="1" applyAlignment="1">
      <alignment horizontal="left"/>
    </xf>
    <xf numFmtId="1" fontId="17" fillId="23" borderId="0" xfId="81" applyNumberFormat="1" applyFont="1" applyFill="1" applyAlignment="1">
      <alignment horizontal="center"/>
    </xf>
    <xf numFmtId="176" fontId="24" fillId="23" borderId="0" xfId="61" applyNumberFormat="1" applyFont="1" applyFill="1" applyBorder="1" applyAlignment="1"/>
    <xf numFmtId="43" fontId="56" fillId="23" borderId="0" xfId="59" applyFont="1" applyFill="1" applyBorder="1" applyAlignment="1"/>
    <xf numFmtId="0" fontId="17" fillId="23" borderId="0" xfId="81" applyFont="1" applyFill="1" applyAlignment="1">
      <alignment wrapText="1"/>
    </xf>
    <xf numFmtId="43" fontId="130" fillId="23" borderId="0" xfId="59" applyFont="1" applyFill="1" applyBorder="1" applyAlignment="1"/>
    <xf numFmtId="0" fontId="41" fillId="23" borderId="0" xfId="81" applyFont="1" applyFill="1" applyAlignment="1">
      <alignment horizontal="left"/>
    </xf>
    <xf numFmtId="173" fontId="67" fillId="0" borderId="0" xfId="0" applyFont="1" applyAlignment="1">
      <alignment horizontal="center" vertical="top"/>
    </xf>
    <xf numFmtId="191" fontId="46" fillId="0" borderId="0" xfId="59" applyNumberFormat="1" applyFont="1" applyFill="1"/>
    <xf numFmtId="176" fontId="46" fillId="0" borderId="0" xfId="59" applyNumberFormat="1" applyFont="1" applyAlignment="1">
      <alignment vertical="center"/>
    </xf>
    <xf numFmtId="176" fontId="46" fillId="0" borderId="25" xfId="59" applyNumberFormat="1" applyFont="1" applyFill="1" applyBorder="1" applyAlignment="1"/>
    <xf numFmtId="37" fontId="100" fillId="0" borderId="0" xfId="0" applyNumberFormat="1" applyFont="1"/>
    <xf numFmtId="173" fontId="46" fillId="0" borderId="0" xfId="142" applyFont="1"/>
    <xf numFmtId="176" fontId="100" fillId="0" borderId="18" xfId="59" applyNumberFormat="1" applyFont="1" applyFill="1" applyBorder="1" applyAlignment="1"/>
    <xf numFmtId="3" fontId="47" fillId="0" borderId="0" xfId="0" applyNumberFormat="1" applyFont="1"/>
    <xf numFmtId="3" fontId="46" fillId="0" borderId="0" xfId="0" quotePrefix="1" applyNumberFormat="1" applyFont="1"/>
    <xf numFmtId="171" fontId="100" fillId="20" borderId="0" xfId="85" applyNumberFormat="1" applyFont="1" applyFill="1" applyBorder="1" applyProtection="1">
      <protection locked="0"/>
    </xf>
    <xf numFmtId="0" fontId="115" fillId="0" borderId="0" xfId="160" applyFont="1" applyAlignment="1">
      <alignment vertical="top"/>
    </xf>
    <xf numFmtId="49" fontId="47" fillId="0" borderId="11" xfId="157" applyNumberFormat="1" applyFont="1" applyFill="1" applyBorder="1" applyAlignment="1">
      <alignment horizontal="center" wrapText="1"/>
    </xf>
    <xf numFmtId="176" fontId="47" fillId="0" borderId="11" xfId="157" applyNumberFormat="1" applyFont="1" applyFill="1" applyBorder="1" applyAlignment="1">
      <alignment horizontal="center" wrapText="1"/>
    </xf>
    <xf numFmtId="0" fontId="46" fillId="0" borderId="0" xfId="158" applyFont="1" applyAlignment="1">
      <alignment horizontal="left"/>
    </xf>
    <xf numFmtId="173" fontId="46" fillId="0" borderId="29" xfId="0" applyFont="1" applyBorder="1"/>
    <xf numFmtId="43" fontId="47" fillId="0" borderId="11" xfId="59" applyFont="1" applyBorder="1" applyAlignment="1">
      <alignment horizontal="center" wrapText="1"/>
    </xf>
    <xf numFmtId="181" fontId="46" fillId="0" borderId="0" xfId="59" applyNumberFormat="1" applyFont="1" applyFill="1" applyAlignment="1">
      <alignment horizontal="right"/>
    </xf>
    <xf numFmtId="43" fontId="46" fillId="0" borderId="0" xfId="59" applyFont="1" applyAlignment="1">
      <alignment horizontal="center" vertical="center"/>
    </xf>
    <xf numFmtId="43" fontId="46" fillId="0" borderId="0" xfId="59" applyFont="1" applyAlignment="1">
      <alignment horizontal="left"/>
    </xf>
    <xf numFmtId="176" fontId="24" fillId="0" borderId="2" xfId="59" applyNumberFormat="1" applyFont="1" applyFill="1" applyBorder="1"/>
    <xf numFmtId="176" fontId="47" fillId="0" borderId="38" xfId="59" applyNumberFormat="1" applyFont="1" applyFill="1" applyBorder="1" applyAlignment="1">
      <alignment horizontal="center"/>
    </xf>
    <xf numFmtId="176" fontId="47" fillId="0" borderId="16" xfId="59" applyNumberFormat="1" applyFont="1" applyFill="1" applyBorder="1" applyAlignment="1"/>
    <xf numFmtId="176" fontId="47" fillId="0" borderId="0" xfId="59" applyNumberFormat="1" applyFont="1" applyFill="1" applyBorder="1" applyAlignment="1"/>
    <xf numFmtId="176" fontId="107" fillId="0" borderId="0" xfId="157" applyNumberFormat="1" applyFont="1" applyFill="1"/>
    <xf numFmtId="180" fontId="46" fillId="0" borderId="0" xfId="161" applyNumberFormat="1" applyFont="1" applyFill="1" applyAlignment="1">
      <alignment horizontal="left"/>
    </xf>
    <xf numFmtId="180" fontId="127" fillId="0" borderId="0" xfId="161" applyNumberFormat="1" applyFont="1" applyFill="1" applyAlignment="1">
      <alignment horizontal="left"/>
    </xf>
    <xf numFmtId="176" fontId="47" fillId="0" borderId="11" xfId="59" applyNumberFormat="1" applyFont="1" applyFill="1" applyBorder="1" applyAlignment="1">
      <alignment horizontal="center" wrapText="1"/>
    </xf>
    <xf numFmtId="176" fontId="46" fillId="0" borderId="29" xfId="59" applyNumberFormat="1" applyFont="1" applyFill="1" applyBorder="1"/>
    <xf numFmtId="176" fontId="46" fillId="0" borderId="0" xfId="59" applyNumberFormat="1" applyFont="1" applyFill="1" applyAlignment="1">
      <alignment horizontal="center"/>
    </xf>
    <xf numFmtId="176" fontId="46" fillId="0" borderId="0" xfId="59" applyNumberFormat="1" applyFont="1" applyFill="1" applyBorder="1" applyAlignment="1">
      <alignment horizontal="center" vertical="center"/>
    </xf>
    <xf numFmtId="176" fontId="46" fillId="0" borderId="11" xfId="59" applyNumberFormat="1" applyFont="1" applyFill="1" applyBorder="1" applyAlignment="1">
      <alignment horizontal="center" vertical="center"/>
    </xf>
    <xf numFmtId="176" fontId="46" fillId="0" borderId="0" xfId="59" applyNumberFormat="1" applyFont="1" applyFill="1" applyBorder="1"/>
    <xf numFmtId="176" fontId="47" fillId="0" borderId="11" xfId="59" applyNumberFormat="1" applyFont="1" applyFill="1" applyBorder="1"/>
    <xf numFmtId="176" fontId="46" fillId="0" borderId="17" xfId="59" applyNumberFormat="1" applyFont="1" applyBorder="1" applyAlignment="1"/>
    <xf numFmtId="0" fontId="48" fillId="0" borderId="11" xfId="0" applyNumberFormat="1" applyFont="1" applyBorder="1" applyAlignment="1">
      <alignment horizontal="center" vertical="center"/>
    </xf>
    <xf numFmtId="173" fontId="47" fillId="0" borderId="11" xfId="0" applyFont="1" applyBorder="1"/>
    <xf numFmtId="173" fontId="56" fillId="0" borderId="0" xfId="0" applyFont="1"/>
    <xf numFmtId="173" fontId="131" fillId="0" borderId="18" xfId="0" applyFont="1" applyBorder="1"/>
    <xf numFmtId="3" fontId="24" fillId="0" borderId="0" xfId="167" applyNumberFormat="1" applyFont="1" applyAlignment="1">
      <alignment horizontal="right"/>
    </xf>
    <xf numFmtId="3" fontId="24" fillId="0" borderId="0" xfId="167" applyNumberFormat="1" applyFont="1"/>
    <xf numFmtId="0" fontId="47" fillId="0" borderId="0" xfId="156" quotePrefix="1" applyFont="1" applyAlignment="1">
      <alignment horizontal="center" wrapText="1"/>
    </xf>
    <xf numFmtId="176" fontId="47" fillId="0" borderId="11" xfId="157" applyNumberFormat="1" applyFont="1" applyFill="1" applyBorder="1" applyAlignment="1">
      <alignment horizontal="left" wrapText="1"/>
    </xf>
    <xf numFmtId="176" fontId="47" fillId="0" borderId="0" xfId="157" applyNumberFormat="1" applyFont="1" applyFill="1" applyBorder="1" applyAlignment="1">
      <alignment horizontal="left" wrapText="1"/>
    </xf>
    <xf numFmtId="176" fontId="48" fillId="0" borderId="11" xfId="59" applyNumberFormat="1" applyFont="1" applyFill="1" applyBorder="1" applyAlignment="1">
      <alignment horizontal="center" vertical="center"/>
    </xf>
    <xf numFmtId="10" fontId="46" fillId="0" borderId="0" xfId="85" applyNumberFormat="1" applyFont="1" applyFill="1" applyAlignment="1">
      <alignment horizontal="center"/>
    </xf>
    <xf numFmtId="176" fontId="47" fillId="0" borderId="0" xfId="157" applyNumberFormat="1" applyFont="1" applyBorder="1" applyAlignment="1">
      <alignment horizontal="center" wrapText="1"/>
    </xf>
    <xf numFmtId="49" fontId="46" fillId="0" borderId="0" xfId="157" quotePrefix="1" applyNumberFormat="1" applyFont="1" applyFill="1" applyBorder="1" applyAlignment="1">
      <alignment horizontal="center" wrapText="1"/>
    </xf>
    <xf numFmtId="0" fontId="116" fillId="0" borderId="0" xfId="160" applyFont="1" applyAlignment="1">
      <alignment vertical="top"/>
    </xf>
    <xf numFmtId="176" fontId="46" fillId="20" borderId="25" xfId="59" applyNumberFormat="1" applyFont="1" applyFill="1" applyBorder="1" applyAlignment="1"/>
    <xf numFmtId="0" fontId="47" fillId="0" borderId="0" xfId="157" applyNumberFormat="1" applyFont="1" applyFill="1" applyBorder="1" applyAlignment="1">
      <alignment vertical="top"/>
    </xf>
    <xf numFmtId="0" fontId="115" fillId="20" borderId="0" xfId="160" applyFont="1" applyFill="1" applyAlignment="1">
      <alignment horizontal="center"/>
    </xf>
    <xf numFmtId="164" fontId="46" fillId="0" borderId="0" xfId="0" applyNumberFormat="1" applyFont="1" applyAlignment="1">
      <alignment horizontal="left" wrapText="1"/>
    </xf>
    <xf numFmtId="0" fontId="46" fillId="0" borderId="6" xfId="0" applyNumberFormat="1" applyFont="1" applyBorder="1"/>
    <xf numFmtId="0" fontId="46" fillId="0" borderId="25" xfId="0" applyNumberFormat="1" applyFont="1" applyBorder="1"/>
    <xf numFmtId="49" fontId="46" fillId="0" borderId="0" xfId="0" applyNumberFormat="1" applyFont="1"/>
    <xf numFmtId="49" fontId="46" fillId="0" borderId="0" xfId="0" applyNumberFormat="1" applyFont="1" applyAlignment="1">
      <alignment horizontal="center"/>
    </xf>
    <xf numFmtId="3" fontId="46" fillId="0" borderId="0" xfId="0" applyNumberFormat="1" applyFont="1" applyAlignment="1">
      <alignment vertical="top"/>
    </xf>
    <xf numFmtId="0" fontId="46" fillId="0" borderId="6" xfId="0" applyNumberFormat="1" applyFont="1" applyBorder="1" applyAlignment="1">
      <alignment horizontal="center"/>
    </xf>
    <xf numFmtId="173" fontId="46" fillId="0" borderId="0" xfId="0" applyFont="1" applyAlignment="1">
      <alignment horizontal="center" vertical="top" wrapText="1"/>
    </xf>
    <xf numFmtId="173" fontId="46" fillId="0" borderId="0" xfId="0" applyFont="1" applyAlignment="1">
      <alignment horizontal="center" vertical="top"/>
    </xf>
    <xf numFmtId="0" fontId="2" fillId="0" borderId="0" xfId="147" applyFont="1"/>
    <xf numFmtId="49" fontId="47" fillId="0" borderId="11" xfId="157" applyNumberFormat="1" applyFont="1" applyFill="1" applyBorder="1" applyAlignment="1">
      <alignment horizontal="left" wrapText="1"/>
    </xf>
    <xf numFmtId="180" fontId="47" fillId="0" borderId="11" xfId="59" applyNumberFormat="1" applyFont="1" applyFill="1" applyBorder="1" applyAlignment="1">
      <alignment horizontal="center" wrapText="1"/>
    </xf>
    <xf numFmtId="184" fontId="46" fillId="0" borderId="0" xfId="59" applyNumberFormat="1" applyFont="1" applyFill="1"/>
    <xf numFmtId="0" fontId="115" fillId="0" borderId="0" xfId="160" applyFont="1" applyAlignment="1">
      <alignment vertical="top" wrapText="1"/>
    </xf>
    <xf numFmtId="166" fontId="46" fillId="0" borderId="0" xfId="0" applyNumberFormat="1" applyFont="1"/>
    <xf numFmtId="170" fontId="45" fillId="0" borderId="0" xfId="0" applyNumberFormat="1" applyFont="1" applyAlignment="1">
      <alignment horizontal="left"/>
    </xf>
    <xf numFmtId="14" fontId="24" fillId="0" borderId="0" xfId="151" applyNumberFormat="1" applyFont="1" applyAlignment="1">
      <alignment horizontal="center"/>
    </xf>
    <xf numFmtId="176" fontId="24" fillId="20" borderId="0" xfId="138" applyNumberFormat="1" applyFont="1" applyFill="1" applyBorder="1"/>
    <xf numFmtId="0" fontId="24" fillId="20" borderId="0" xfId="136" applyFont="1" applyFill="1"/>
    <xf numFmtId="0" fontId="24" fillId="0" borderId="0" xfId="136" applyFont="1" applyAlignment="1">
      <alignment horizontal="center" wrapText="1"/>
    </xf>
    <xf numFmtId="192" fontId="115" fillId="0" borderId="0" xfId="160" applyNumberFormat="1" applyFont="1"/>
    <xf numFmtId="192" fontId="107" fillId="0" borderId="0" xfId="160" applyNumberFormat="1" applyFont="1"/>
    <xf numFmtId="10" fontId="24" fillId="20" borderId="0" xfId="151" applyNumberFormat="1" applyFont="1" applyFill="1"/>
    <xf numFmtId="173" fontId="124" fillId="0" borderId="0" xfId="0" applyFont="1" applyAlignment="1">
      <alignment horizontal="right"/>
    </xf>
    <xf numFmtId="173" fontId="0" fillId="21" borderId="14" xfId="0" applyFill="1" applyBorder="1"/>
    <xf numFmtId="0" fontId="46" fillId="0" borderId="23" xfId="0" applyNumberFormat="1" applyFont="1" applyBorder="1" applyAlignment="1">
      <alignment horizontal="center"/>
    </xf>
    <xf numFmtId="176" fontId="24" fillId="20" borderId="0" xfId="59" applyNumberFormat="1" applyFont="1" applyFill="1" applyBorder="1" applyAlignment="1"/>
    <xf numFmtId="176" fontId="24" fillId="0" borderId="0" xfId="59" applyNumberFormat="1" applyFont="1" applyFill="1" applyBorder="1" applyAlignment="1">
      <alignment horizontal="center"/>
    </xf>
    <xf numFmtId="176" fontId="104" fillId="0" borderId="0" xfId="59" applyNumberFormat="1" applyFont="1" applyFill="1" applyBorder="1" applyAlignment="1">
      <alignment horizontal="center" vertical="center"/>
    </xf>
    <xf numFmtId="176" fontId="107" fillId="0" borderId="0" xfId="156" applyNumberFormat="1" applyFont="1"/>
    <xf numFmtId="1" fontId="24" fillId="20" borderId="0" xfId="151" applyNumberFormat="1" applyFont="1" applyFill="1" applyAlignment="1">
      <alignment horizontal="center"/>
    </xf>
    <xf numFmtId="43" fontId="17" fillId="0" borderId="0" xfId="59" applyFont="1" applyFill="1" applyBorder="1" applyAlignment="1">
      <alignment vertical="top" wrapText="1"/>
    </xf>
    <xf numFmtId="10" fontId="100" fillId="0" borderId="0" xfId="85" applyNumberFormat="1" applyFont="1"/>
    <xf numFmtId="173" fontId="134" fillId="0" borderId="0" xfId="0" applyFont="1"/>
    <xf numFmtId="10" fontId="100" fillId="0" borderId="0" xfId="85" applyNumberFormat="1" applyFont="1" applyFill="1"/>
    <xf numFmtId="42" fontId="46" fillId="0" borderId="0" xfId="0" applyNumberFormat="1" applyFont="1"/>
    <xf numFmtId="176" fontId="24" fillId="0" borderId="0" xfId="85" applyNumberFormat="1" applyFont="1" applyFill="1" applyBorder="1" applyAlignment="1"/>
    <xf numFmtId="174" fontId="24" fillId="0" borderId="0" xfId="137" applyNumberFormat="1" applyFont="1" applyFill="1" applyBorder="1" applyAlignment="1">
      <alignment horizontal="center"/>
    </xf>
    <xf numFmtId="174" fontId="97" fillId="0" borderId="0" xfId="137" applyNumberFormat="1" applyFont="1" applyFill="1" applyBorder="1" applyAlignment="1">
      <alignment horizontal="center"/>
    </xf>
    <xf numFmtId="176" fontId="47" fillId="0" borderId="0" xfId="157" applyNumberFormat="1" applyFont="1" applyFill="1"/>
    <xf numFmtId="186" fontId="47" fillId="0" borderId="0" xfId="0" applyNumberFormat="1" applyFont="1"/>
    <xf numFmtId="0" fontId="135" fillId="0" borderId="0" xfId="157" applyNumberFormat="1" applyFont="1" applyFill="1" applyBorder="1" applyAlignment="1">
      <alignment vertical="top"/>
    </xf>
    <xf numFmtId="3" fontId="47" fillId="0" borderId="0" xfId="0" applyNumberFormat="1" applyFont="1" applyAlignment="1">
      <alignment vertical="top"/>
    </xf>
    <xf numFmtId="10" fontId="107" fillId="0" borderId="0" xfId="85" applyNumberFormat="1" applyFont="1" applyFill="1"/>
    <xf numFmtId="0" fontId="46" fillId="0" borderId="0" xfId="0" applyNumberFormat="1" applyFont="1" applyAlignment="1">
      <alignment vertical="top" wrapText="1"/>
    </xf>
    <xf numFmtId="0" fontId="100" fillId="0" borderId="0" xfId="0" applyNumberFormat="1" applyFont="1" applyAlignment="1">
      <alignment vertical="top" wrapText="1"/>
    </xf>
    <xf numFmtId="0" fontId="105" fillId="0" borderId="0" xfId="0" applyNumberFormat="1" applyFont="1" applyAlignment="1">
      <alignment horizontal="center"/>
    </xf>
    <xf numFmtId="0" fontId="46" fillId="0" borderId="0" xfId="0" applyNumberFormat="1" applyFont="1" applyAlignment="1">
      <alignment horizontal="left" vertical="top" wrapText="1"/>
    </xf>
    <xf numFmtId="0" fontId="100" fillId="0" borderId="0" xfId="0" applyNumberFormat="1" applyFont="1" applyAlignment="1">
      <alignment horizontal="left" vertical="top" wrapText="1"/>
    </xf>
    <xf numFmtId="173" fontId="100" fillId="0" borderId="0" xfId="0" applyFont="1"/>
    <xf numFmtId="173" fontId="100" fillId="0" borderId="0" xfId="0" applyFont="1" applyAlignment="1">
      <alignment horizontal="left" vertical="top" wrapText="1"/>
    </xf>
    <xf numFmtId="0" fontId="100" fillId="0" borderId="0" xfId="0" applyNumberFormat="1" applyFont="1" applyAlignment="1">
      <alignment horizontal="left" wrapText="1"/>
    </xf>
    <xf numFmtId="0" fontId="46" fillId="0" borderId="0" xfId="82" applyFont="1" applyAlignment="1">
      <alignment horizontal="left" wrapText="1"/>
    </xf>
    <xf numFmtId="0" fontId="46" fillId="0" borderId="0" xfId="82" applyFont="1" applyAlignment="1">
      <alignment horizontal="left"/>
    </xf>
    <xf numFmtId="0" fontId="47" fillId="0" borderId="0" xfId="82" applyFont="1" applyAlignment="1">
      <alignment horizontal="center"/>
    </xf>
    <xf numFmtId="49" fontId="16" fillId="0" borderId="0" xfId="132" applyNumberFormat="1" applyFont="1" applyAlignment="1">
      <alignment horizontal="center"/>
    </xf>
    <xf numFmtId="0" fontId="16" fillId="0" borderId="0" xfId="132" applyFont="1" applyAlignment="1">
      <alignment horizontal="center"/>
    </xf>
    <xf numFmtId="0" fontId="79" fillId="0" borderId="0" xfId="132" applyFont="1" applyAlignment="1">
      <alignment horizontal="center"/>
    </xf>
    <xf numFmtId="0" fontId="24" fillId="0" borderId="0" xfId="132" applyFont="1" applyAlignment="1">
      <alignment horizontal="left" wrapText="1"/>
    </xf>
    <xf numFmtId="0" fontId="46" fillId="0" borderId="0" xfId="156" applyFont="1" applyAlignment="1">
      <alignment horizontal="left" vertical="top" wrapText="1"/>
    </xf>
    <xf numFmtId="0" fontId="92" fillId="20" borderId="27" xfId="147" applyFont="1" applyFill="1" applyBorder="1" applyAlignment="1">
      <alignment horizontal="center"/>
    </xf>
    <xf numFmtId="0" fontId="92" fillId="20" borderId="28" xfId="147" applyFont="1" applyFill="1" applyBorder="1" applyAlignment="1">
      <alignment horizontal="center"/>
    </xf>
    <xf numFmtId="0" fontId="8" fillId="20" borderId="0" xfId="147" applyFont="1" applyFill="1" applyAlignment="1">
      <alignment horizontal="center" wrapText="1"/>
    </xf>
    <xf numFmtId="0" fontId="12" fillId="20" borderId="0" xfId="147" applyFill="1" applyAlignment="1">
      <alignment horizontal="center" wrapText="1"/>
    </xf>
    <xf numFmtId="0" fontId="3" fillId="0" borderId="0" xfId="147" applyFont="1" applyAlignment="1">
      <alignment horizontal="left" wrapText="1"/>
    </xf>
    <xf numFmtId="0" fontId="7" fillId="0" borderId="0" xfId="147" applyFont="1" applyAlignment="1">
      <alignment horizontal="left" wrapText="1"/>
    </xf>
    <xf numFmtId="0" fontId="1" fillId="20" borderId="0" xfId="147" applyFont="1" applyFill="1" applyAlignment="1">
      <alignment horizontal="center" wrapText="1"/>
    </xf>
    <xf numFmtId="0" fontId="10" fillId="0" borderId="0" xfId="147" applyFont="1" applyAlignment="1">
      <alignment horizontal="left" wrapText="1"/>
    </xf>
    <xf numFmtId="0" fontId="46" fillId="0" borderId="0" xfId="156" applyFont="1" applyAlignment="1">
      <alignment horizontal="left" vertical="top"/>
    </xf>
    <xf numFmtId="0" fontId="46" fillId="0" borderId="0" xfId="156" applyFont="1" applyAlignment="1">
      <alignment horizontal="left" wrapText="1"/>
    </xf>
    <xf numFmtId="0" fontId="17" fillId="0" borderId="0" xfId="129" applyFont="1" applyAlignment="1">
      <alignment horizontal="left" vertical="top" wrapText="1"/>
    </xf>
    <xf numFmtId="0" fontId="77" fillId="0" borderId="0" xfId="129" applyFont="1" applyAlignment="1">
      <alignment horizontal="left" vertical="top" wrapText="1"/>
    </xf>
    <xf numFmtId="0" fontId="24" fillId="0" borderId="0" xfId="136" applyFont="1" applyAlignment="1">
      <alignment horizontal="center"/>
    </xf>
    <xf numFmtId="49" fontId="19" fillId="0" borderId="0" xfId="0" applyNumberFormat="1" applyFont="1" applyAlignment="1">
      <alignment horizontal="center"/>
    </xf>
    <xf numFmtId="3" fontId="24" fillId="0" borderId="0" xfId="0" applyNumberFormat="1" applyFont="1" applyAlignment="1">
      <alignment horizontal="center"/>
    </xf>
    <xf numFmtId="173" fontId="24" fillId="0" borderId="0" xfId="0" applyFont="1" applyAlignment="1">
      <alignment horizontal="left" wrapText="1"/>
    </xf>
    <xf numFmtId="173" fontId="24" fillId="0" borderId="15" xfId="0" applyFont="1" applyBorder="1" applyAlignment="1">
      <alignment horizontal="center"/>
    </xf>
    <xf numFmtId="173" fontId="24" fillId="0" borderId="29" xfId="0" applyFont="1" applyBorder="1" applyAlignment="1">
      <alignment horizontal="center"/>
    </xf>
    <xf numFmtId="173" fontId="24" fillId="0" borderId="20" xfId="0" applyFont="1" applyBorder="1" applyAlignment="1">
      <alignment horizontal="center"/>
    </xf>
    <xf numFmtId="0" fontId="129" fillId="0" borderId="0" xfId="0" applyNumberFormat="1" applyFont="1" applyAlignment="1">
      <alignment horizontal="left"/>
    </xf>
    <xf numFmtId="173" fontId="24" fillId="0" borderId="0" xfId="0" applyFont="1" applyAlignment="1">
      <alignment horizontal="left"/>
    </xf>
    <xf numFmtId="173" fontId="19" fillId="0" borderId="0" xfId="0" applyFont="1" applyAlignment="1">
      <alignment horizontal="center"/>
    </xf>
    <xf numFmtId="3" fontId="24" fillId="0" borderId="0" xfId="0" applyNumberFormat="1" applyFont="1" applyAlignment="1" applyProtection="1">
      <alignment horizontal="center"/>
      <protection locked="0"/>
    </xf>
    <xf numFmtId="173" fontId="47" fillId="0" borderId="0" xfId="0" applyFont="1" applyAlignment="1">
      <alignment horizontal="center"/>
    </xf>
    <xf numFmtId="3" fontId="46" fillId="0" borderId="0" xfId="0" applyNumberFormat="1" applyFont="1" applyAlignment="1" applyProtection="1">
      <alignment horizontal="center"/>
      <protection locked="0"/>
    </xf>
    <xf numFmtId="0" fontId="24" fillId="0" borderId="0" xfId="0" applyNumberFormat="1" applyFont="1" applyAlignment="1" applyProtection="1">
      <alignment horizontal="center"/>
      <protection locked="0"/>
    </xf>
    <xf numFmtId="173" fontId="129" fillId="0" borderId="16" xfId="0" applyFont="1" applyBorder="1" applyAlignment="1">
      <alignment horizontal="left" vertical="top" wrapText="1"/>
    </xf>
    <xf numFmtId="173" fontId="129" fillId="0" borderId="0" xfId="0" applyFont="1" applyAlignment="1">
      <alignment horizontal="left" vertical="top" wrapText="1"/>
    </xf>
    <xf numFmtId="0" fontId="115" fillId="0" borderId="0" xfId="160" applyFont="1" applyAlignment="1">
      <alignment horizontal="left" vertical="top" wrapText="1"/>
    </xf>
    <xf numFmtId="0" fontId="46" fillId="0" borderId="0" xfId="160" applyFont="1" applyAlignment="1">
      <alignment horizontal="left" vertical="top" wrapText="1"/>
    </xf>
    <xf numFmtId="0" fontId="46" fillId="0" borderId="0" xfId="156" applyFont="1" applyAlignment="1">
      <alignment horizontal="left"/>
    </xf>
    <xf numFmtId="0" fontId="115" fillId="0" borderId="0" xfId="160" applyFont="1" applyAlignment="1">
      <alignment horizontal="left" wrapText="1"/>
    </xf>
    <xf numFmtId="173" fontId="46" fillId="0" borderId="16" xfId="0" applyFont="1" applyBorder="1" applyAlignment="1">
      <alignment horizontal="center"/>
    </xf>
    <xf numFmtId="173" fontId="46" fillId="0" borderId="0" xfId="0" applyFont="1" applyAlignment="1">
      <alignment horizontal="center"/>
    </xf>
    <xf numFmtId="173" fontId="46" fillId="0" borderId="21" xfId="0" applyFont="1" applyBorder="1" applyAlignment="1">
      <alignment horizontal="center"/>
    </xf>
    <xf numFmtId="176" fontId="46" fillId="0" borderId="16" xfId="59" applyNumberFormat="1" applyFont="1" applyBorder="1" applyAlignment="1">
      <alignment horizontal="center" vertical="center"/>
    </xf>
    <xf numFmtId="176" fontId="46" fillId="0" borderId="0" xfId="59" applyNumberFormat="1" applyFont="1" applyBorder="1" applyAlignment="1">
      <alignment horizontal="center" vertical="center"/>
    </xf>
    <xf numFmtId="176" fontId="46" fillId="0" borderId="21" xfId="59" applyNumberFormat="1" applyFont="1" applyBorder="1" applyAlignment="1">
      <alignment horizontal="center" vertical="center"/>
    </xf>
    <xf numFmtId="173" fontId="46" fillId="0" borderId="0" xfId="0" applyFont="1" applyAlignment="1">
      <alignment horizontal="left" wrapText="1"/>
    </xf>
    <xf numFmtId="173" fontId="46" fillId="0" borderId="0" xfId="0" applyFont="1" applyAlignment="1">
      <alignment horizontal="left" vertical="top" wrapText="1"/>
    </xf>
    <xf numFmtId="173" fontId="0" fillId="0" borderId="0" xfId="0" applyAlignment="1">
      <alignment horizontal="center" wrapText="1"/>
    </xf>
    <xf numFmtId="173" fontId="17" fillId="0" borderId="0" xfId="0" applyFont="1" applyAlignment="1">
      <alignment horizontal="left" vertical="center" wrapText="1"/>
    </xf>
    <xf numFmtId="0" fontId="100" fillId="0" borderId="0" xfId="0" applyNumberFormat="1" applyFont="1" applyFill="1"/>
    <xf numFmtId="0" fontId="47" fillId="0" borderId="0" xfId="0" applyNumberFormat="1" applyFont="1" applyFill="1"/>
    <xf numFmtId="0" fontId="100" fillId="0" borderId="0" xfId="0" applyNumberFormat="1" applyFont="1" applyFill="1" applyAlignment="1">
      <alignment horizontal="left"/>
    </xf>
    <xf numFmtId="0" fontId="46" fillId="0" borderId="0" xfId="0" applyNumberFormat="1" applyFont="1" applyFill="1"/>
    <xf numFmtId="43" fontId="47" fillId="0" borderId="0" xfId="59" quotePrefix="1" applyFont="1" applyFill="1"/>
    <xf numFmtId="171" fontId="100" fillId="0" borderId="0" xfId="0" applyNumberFormat="1" applyFont="1" applyFill="1"/>
    <xf numFmtId="3" fontId="100" fillId="0" borderId="0" xfId="0" applyNumberFormat="1" applyFont="1" applyFill="1"/>
    <xf numFmtId="3" fontId="46" fillId="0" borderId="0" xfId="0" applyNumberFormat="1" applyFont="1" applyFill="1"/>
    <xf numFmtId="37" fontId="100" fillId="0" borderId="0" xfId="0" applyNumberFormat="1" applyFont="1" applyFill="1"/>
    <xf numFmtId="3" fontId="47" fillId="0" borderId="0" xfId="0" applyNumberFormat="1" applyFont="1" applyFill="1" applyAlignment="1">
      <alignment vertical="top"/>
    </xf>
    <xf numFmtId="173" fontId="100" fillId="0" borderId="0" xfId="0" applyFont="1" applyFill="1"/>
    <xf numFmtId="3" fontId="47" fillId="0" borderId="0" xfId="0" applyNumberFormat="1" applyFont="1" applyFill="1"/>
    <xf numFmtId="4" fontId="100" fillId="0" borderId="0" xfId="0" applyNumberFormat="1" applyFont="1" applyFill="1"/>
    <xf numFmtId="169" fontId="100" fillId="0" borderId="0" xfId="0" applyNumberFormat="1" applyFont="1" applyFill="1"/>
    <xf numFmtId="173" fontId="69" fillId="0" borderId="0" xfId="0" applyFont="1" applyFill="1" applyAlignment="1">
      <alignment vertical="center"/>
    </xf>
    <xf numFmtId="0" fontId="47" fillId="0" borderId="0" xfId="156" applyFont="1" applyFill="1" applyAlignment="1">
      <alignment vertical="top"/>
    </xf>
    <xf numFmtId="0" fontId="47" fillId="0" borderId="0" xfId="156" applyFont="1" applyFill="1"/>
    <xf numFmtId="0" fontId="46" fillId="0" borderId="0" xfId="156" applyFont="1" applyFill="1"/>
    <xf numFmtId="176" fontId="46" fillId="0" borderId="0" xfId="156" applyNumberFormat="1" applyFont="1" applyFill="1"/>
    <xf numFmtId="43" fontId="46" fillId="0" borderId="0" xfId="59" applyFont="1" applyFill="1"/>
    <xf numFmtId="0" fontId="47" fillId="0" borderId="0" xfId="59" applyNumberFormat="1" applyFont="1" applyFill="1" applyAlignment="1">
      <alignment wrapText="1"/>
    </xf>
    <xf numFmtId="0" fontId="46" fillId="0" borderId="0" xfId="156" applyFont="1" applyFill="1" applyAlignment="1">
      <alignment horizontal="center"/>
    </xf>
    <xf numFmtId="176" fontId="47" fillId="0" borderId="0" xfId="157" applyNumberFormat="1" applyFont="1" applyFill="1" applyAlignment="1">
      <alignment horizontal="center" wrapText="1"/>
    </xf>
    <xf numFmtId="0" fontId="46" fillId="0" borderId="0" xfId="156" applyFont="1" applyFill="1" applyAlignment="1"/>
    <xf numFmtId="0" fontId="47" fillId="0" borderId="0" xfId="0" applyNumberFormat="1" applyFont="1" applyFill="1" applyAlignment="1" applyProtection="1">
      <alignment vertical="top"/>
      <protection locked="0"/>
    </xf>
    <xf numFmtId="173" fontId="19" fillId="0" borderId="0" xfId="0" applyFont="1" applyFill="1" applyAlignment="1">
      <alignment vertical="top"/>
    </xf>
    <xf numFmtId="0" fontId="116" fillId="0" borderId="0" xfId="160" applyFont="1" applyFill="1" applyAlignment="1">
      <alignment vertical="top"/>
    </xf>
    <xf numFmtId="0" fontId="115" fillId="0" borderId="0" xfId="160" applyFont="1" applyFill="1"/>
    <xf numFmtId="173" fontId="92" fillId="0" borderId="0" xfId="0" applyFont="1" applyFill="1" applyAlignment="1">
      <alignment vertical="top"/>
    </xf>
    <xf numFmtId="176" fontId="46" fillId="0" borderId="0" xfId="157" applyNumberFormat="1" applyFont="1" applyFill="1" applyAlignment="1"/>
    <xf numFmtId="0" fontId="115" fillId="0" borderId="0" xfId="160" applyFont="1" applyFill="1" applyAlignment="1">
      <alignment horizontal="center"/>
    </xf>
    <xf numFmtId="180" fontId="46" fillId="0" borderId="0" xfId="59" applyNumberFormat="1" applyFont="1" applyFill="1" applyAlignment="1">
      <alignment horizontal="left"/>
    </xf>
    <xf numFmtId="180" fontId="107" fillId="0" borderId="0" xfId="161" applyNumberFormat="1" applyFont="1" applyFill="1" applyAlignment="1">
      <alignment horizontal="left"/>
    </xf>
    <xf numFmtId="180" fontId="47" fillId="0" borderId="0" xfId="161" applyNumberFormat="1" applyFont="1" applyFill="1" applyAlignment="1">
      <alignment horizontal="left"/>
    </xf>
    <xf numFmtId="0" fontId="116" fillId="0" borderId="0" xfId="160" applyFont="1" applyFill="1" applyAlignment="1">
      <alignment horizontal="center"/>
    </xf>
    <xf numFmtId="173" fontId="47" fillId="0" borderId="0" xfId="0" applyFont="1" applyFill="1" applyAlignment="1">
      <alignment vertical="top"/>
    </xf>
    <xf numFmtId="173" fontId="46" fillId="0" borderId="0" xfId="0" applyFont="1" applyFill="1"/>
    <xf numFmtId="173" fontId="46" fillId="0" borderId="0" xfId="0" applyFont="1" applyFill="1" applyAlignment="1">
      <alignment horizontal="center" wrapText="1"/>
    </xf>
    <xf numFmtId="173" fontId="47" fillId="0" borderId="0" xfId="0" applyFont="1" applyFill="1"/>
    <xf numFmtId="0" fontId="46" fillId="0" borderId="0" xfId="156" applyFont="1" applyFill="1" applyAlignment="1">
      <alignment vertical="top"/>
    </xf>
    <xf numFmtId="0" fontId="47" fillId="0" borderId="0" xfId="157" applyNumberFormat="1" applyFont="1" applyFill="1" applyAlignment="1"/>
  </cellXfs>
  <cellStyles count="16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00A" xfId="26" xr:uid="{00000000-0005-0000-0000-000019000000}"/>
    <cellStyle name="C00B" xfId="27" xr:uid="{00000000-0005-0000-0000-00001A000000}"/>
    <cellStyle name="C00L" xfId="28" xr:uid="{00000000-0005-0000-0000-00001B000000}"/>
    <cellStyle name="C01A" xfId="29" xr:uid="{00000000-0005-0000-0000-00001C000000}"/>
    <cellStyle name="C01B" xfId="30" xr:uid="{00000000-0005-0000-0000-00001D000000}"/>
    <cellStyle name="C01H" xfId="31" xr:uid="{00000000-0005-0000-0000-00001E000000}"/>
    <cellStyle name="C01L" xfId="32" xr:uid="{00000000-0005-0000-0000-00001F000000}"/>
    <cellStyle name="C02A" xfId="33" xr:uid="{00000000-0005-0000-0000-000020000000}"/>
    <cellStyle name="C02B" xfId="34" xr:uid="{00000000-0005-0000-0000-000021000000}"/>
    <cellStyle name="C02H" xfId="35" xr:uid="{00000000-0005-0000-0000-000022000000}"/>
    <cellStyle name="C02L" xfId="36" xr:uid="{00000000-0005-0000-0000-000023000000}"/>
    <cellStyle name="C03A" xfId="37" xr:uid="{00000000-0005-0000-0000-000024000000}"/>
    <cellStyle name="C03B" xfId="38" xr:uid="{00000000-0005-0000-0000-000025000000}"/>
    <cellStyle name="C03H" xfId="39" xr:uid="{00000000-0005-0000-0000-000026000000}"/>
    <cellStyle name="C03L" xfId="40" xr:uid="{00000000-0005-0000-0000-000027000000}"/>
    <cellStyle name="C04A" xfId="41" xr:uid="{00000000-0005-0000-0000-000028000000}"/>
    <cellStyle name="C04B" xfId="42" xr:uid="{00000000-0005-0000-0000-000029000000}"/>
    <cellStyle name="C04H" xfId="43" xr:uid="{00000000-0005-0000-0000-00002A000000}"/>
    <cellStyle name="C04L" xfId="44" xr:uid="{00000000-0005-0000-0000-00002B000000}"/>
    <cellStyle name="C05A" xfId="45" xr:uid="{00000000-0005-0000-0000-00002C000000}"/>
    <cellStyle name="C05B" xfId="46" xr:uid="{00000000-0005-0000-0000-00002D000000}"/>
    <cellStyle name="C05H" xfId="47" xr:uid="{00000000-0005-0000-0000-00002E000000}"/>
    <cellStyle name="C05L" xfId="48" xr:uid="{00000000-0005-0000-0000-00002F000000}"/>
    <cellStyle name="C06A" xfId="49" xr:uid="{00000000-0005-0000-0000-000030000000}"/>
    <cellStyle name="C06B" xfId="50" xr:uid="{00000000-0005-0000-0000-000031000000}"/>
    <cellStyle name="C06H" xfId="51" xr:uid="{00000000-0005-0000-0000-000032000000}"/>
    <cellStyle name="C06L" xfId="52" xr:uid="{00000000-0005-0000-0000-000033000000}"/>
    <cellStyle name="C07A" xfId="53" xr:uid="{00000000-0005-0000-0000-000034000000}"/>
    <cellStyle name="C07B" xfId="54" xr:uid="{00000000-0005-0000-0000-000035000000}"/>
    <cellStyle name="C07H" xfId="55" xr:uid="{00000000-0005-0000-0000-000036000000}"/>
    <cellStyle name="C07L" xfId="56" xr:uid="{00000000-0005-0000-0000-000037000000}"/>
    <cellStyle name="Calculation" xfId="57" builtinId="22" customBuiltin="1"/>
    <cellStyle name="Check Cell" xfId="58" builtinId="23" customBuiltin="1"/>
    <cellStyle name="Comma" xfId="59" builtinId="3"/>
    <cellStyle name="Comma [0] 2" xfId="159" xr:uid="{00000000-0005-0000-0000-00003B000000}"/>
    <cellStyle name="Comma 10 11" xfId="166" xr:uid="{00000000-0005-0000-0000-00003C000000}"/>
    <cellStyle name="Comma 2" xfId="60" xr:uid="{00000000-0005-0000-0000-00003D000000}"/>
    <cellStyle name="Comma 2 2" xfId="61" xr:uid="{00000000-0005-0000-0000-00003E000000}"/>
    <cellStyle name="Comma 2 3" xfId="135" xr:uid="{00000000-0005-0000-0000-00003F000000}"/>
    <cellStyle name="Comma 20" xfId="145" xr:uid="{00000000-0005-0000-0000-000040000000}"/>
    <cellStyle name="Comma 21" xfId="146" xr:uid="{00000000-0005-0000-0000-000041000000}"/>
    <cellStyle name="Comma 3" xfId="133" xr:uid="{00000000-0005-0000-0000-000042000000}"/>
    <cellStyle name="Comma 3 2" xfId="138" xr:uid="{00000000-0005-0000-0000-000043000000}"/>
    <cellStyle name="Comma 3 3" xfId="165" xr:uid="{00000000-0005-0000-0000-000044000000}"/>
    <cellStyle name="Comma 4" xfId="139" xr:uid="{00000000-0005-0000-0000-000045000000}"/>
    <cellStyle name="Comma 5" xfId="148" xr:uid="{00000000-0005-0000-0000-000046000000}"/>
    <cellStyle name="Comma 6" xfId="150" xr:uid="{00000000-0005-0000-0000-000047000000}"/>
    <cellStyle name="Comma 7" xfId="157" xr:uid="{00000000-0005-0000-0000-000048000000}"/>
    <cellStyle name="Comma 8" xfId="161" xr:uid="{00000000-0005-0000-0000-000049000000}"/>
    <cellStyle name="Comma 9" xfId="154" xr:uid="{00000000-0005-0000-0000-00004A000000}"/>
    <cellStyle name="Comma0" xfId="62" xr:uid="{00000000-0005-0000-0000-00004B000000}"/>
    <cellStyle name="Currency" xfId="63" builtinId="4"/>
    <cellStyle name="Currency 2" xfId="131" xr:uid="{00000000-0005-0000-0000-00004D000000}"/>
    <cellStyle name="Currency 2 2" xfId="141" xr:uid="{00000000-0005-0000-0000-00004E000000}"/>
    <cellStyle name="Currency 3" xfId="137" xr:uid="{00000000-0005-0000-0000-00004F000000}"/>
    <cellStyle name="Currency 4" xfId="163" xr:uid="{00000000-0005-0000-0000-000050000000}"/>
    <cellStyle name="Currency0" xfId="64" xr:uid="{00000000-0005-0000-0000-000051000000}"/>
    <cellStyle name="Date" xfId="65" xr:uid="{00000000-0005-0000-0000-000052000000}"/>
    <cellStyle name="Explanatory Text" xfId="66" builtinId="53" customBuiltin="1"/>
    <cellStyle name="Fixed" xfId="67" xr:uid="{00000000-0005-0000-0000-000054000000}"/>
    <cellStyle name="Good" xfId="68" builtinId="26" customBuiltin="1"/>
    <cellStyle name="Heading 1" xfId="69" builtinId="16" customBuiltin="1"/>
    <cellStyle name="Heading 2" xfId="70" builtinId="17" customBuiltin="1"/>
    <cellStyle name="Heading 3" xfId="71" builtinId="18" customBuiltin="1"/>
    <cellStyle name="Heading 4" xfId="72" builtinId="19" customBuiltin="1"/>
    <cellStyle name="Heading1" xfId="73" xr:uid="{00000000-0005-0000-0000-00005A000000}"/>
    <cellStyle name="Heading2" xfId="74" xr:uid="{00000000-0005-0000-0000-00005B000000}"/>
    <cellStyle name="Input" xfId="75" builtinId="20" customBuiltin="1"/>
    <cellStyle name="Linked Cell" xfId="76" builtinId="24" customBuiltin="1"/>
    <cellStyle name="Neutral" xfId="77" builtinId="28" customBuiltin="1"/>
    <cellStyle name="Normal" xfId="0" builtinId="0"/>
    <cellStyle name="Normal 10" xfId="153" xr:uid="{00000000-0005-0000-0000-000060000000}"/>
    <cellStyle name="Normal 10 2" xfId="143" xr:uid="{00000000-0005-0000-0000-000061000000}"/>
    <cellStyle name="Normal 11" xfId="160" xr:uid="{00000000-0005-0000-0000-000062000000}"/>
    <cellStyle name="Normal 2" xfId="78" xr:uid="{00000000-0005-0000-0000-000063000000}"/>
    <cellStyle name="Normal 2 2" xfId="79" xr:uid="{00000000-0005-0000-0000-000064000000}"/>
    <cellStyle name="Normal 2 3" xfId="155" xr:uid="{00000000-0005-0000-0000-000065000000}"/>
    <cellStyle name="Normal 20" xfId="144" xr:uid="{00000000-0005-0000-0000-000066000000}"/>
    <cellStyle name="Normal 3" xfId="80" xr:uid="{00000000-0005-0000-0000-000067000000}"/>
    <cellStyle name="Normal 3 2" xfId="81" xr:uid="{00000000-0005-0000-0000-000068000000}"/>
    <cellStyle name="Normal 4" xfId="129" xr:uid="{00000000-0005-0000-0000-000069000000}"/>
    <cellStyle name="Normal 4 2" xfId="156" xr:uid="{00000000-0005-0000-0000-00006A000000}"/>
    <cellStyle name="Normal 5" xfId="132" xr:uid="{00000000-0005-0000-0000-00006B000000}"/>
    <cellStyle name="Normal 5 60" xfId="164" xr:uid="{00000000-0005-0000-0000-00006C000000}"/>
    <cellStyle name="Normal 6" xfId="136" xr:uid="{00000000-0005-0000-0000-00006D000000}"/>
    <cellStyle name="Normal 6 2" xfId="151" xr:uid="{00000000-0005-0000-0000-00006E000000}"/>
    <cellStyle name="Normal 7" xfId="147" xr:uid="{00000000-0005-0000-0000-00006F000000}"/>
    <cellStyle name="Normal 8" xfId="149" xr:uid="{00000000-0005-0000-0000-000070000000}"/>
    <cellStyle name="Normal 9" xfId="158" xr:uid="{00000000-0005-0000-0000-000071000000}"/>
    <cellStyle name="Normal_21 Exh B" xfId="167" xr:uid="{00000000-0005-0000-0000-000072000000}"/>
    <cellStyle name="Normal_ATSI Attachment H-20A-Appendix A- Schedule 1A_7-29-2010 " xfId="82" xr:uid="{00000000-0005-0000-0000-000073000000}"/>
    <cellStyle name="Normal_Attachment Os for 2002 True-up" xfId="142" xr:uid="{00000000-0005-0000-0000-000074000000}"/>
    <cellStyle name="Note" xfId="83" builtinId="10" customBuiltin="1"/>
    <cellStyle name="Output" xfId="84" builtinId="21" customBuiltin="1"/>
    <cellStyle name="Percent" xfId="85" builtinId="5"/>
    <cellStyle name="Percent 2" xfId="130" xr:uid="{00000000-0005-0000-0000-000078000000}"/>
    <cellStyle name="Percent 2 2" xfId="86" xr:uid="{00000000-0005-0000-0000-000079000000}"/>
    <cellStyle name="Percent 2 2 2" xfId="140" xr:uid="{00000000-0005-0000-0000-00007A000000}"/>
    <cellStyle name="Percent 3" xfId="134" xr:uid="{00000000-0005-0000-0000-00007B000000}"/>
    <cellStyle name="Percent 4" xfId="152" xr:uid="{00000000-0005-0000-0000-00007C000000}"/>
    <cellStyle name="Percent 5" xfId="162" xr:uid="{00000000-0005-0000-0000-00007D000000}"/>
    <cellStyle name="PSChar" xfId="87" xr:uid="{00000000-0005-0000-0000-00007E000000}"/>
    <cellStyle name="PSDate" xfId="88" xr:uid="{00000000-0005-0000-0000-00007F000000}"/>
    <cellStyle name="PSDec" xfId="89" xr:uid="{00000000-0005-0000-0000-000080000000}"/>
    <cellStyle name="PSdesc" xfId="90" xr:uid="{00000000-0005-0000-0000-000081000000}"/>
    <cellStyle name="PSHeading" xfId="91" xr:uid="{00000000-0005-0000-0000-000082000000}"/>
    <cellStyle name="PSInt" xfId="92" xr:uid="{00000000-0005-0000-0000-000083000000}"/>
    <cellStyle name="PSSpacer" xfId="93" xr:uid="{00000000-0005-0000-0000-000084000000}"/>
    <cellStyle name="PStest" xfId="94" xr:uid="{00000000-0005-0000-0000-000085000000}"/>
    <cellStyle name="R00A" xfId="95" xr:uid="{00000000-0005-0000-0000-000086000000}"/>
    <cellStyle name="R00B" xfId="96" xr:uid="{00000000-0005-0000-0000-000087000000}"/>
    <cellStyle name="R00L" xfId="97" xr:uid="{00000000-0005-0000-0000-000088000000}"/>
    <cellStyle name="R01A" xfId="98" xr:uid="{00000000-0005-0000-0000-000089000000}"/>
    <cellStyle name="R01B" xfId="99" xr:uid="{00000000-0005-0000-0000-00008A000000}"/>
    <cellStyle name="R01H" xfId="100" xr:uid="{00000000-0005-0000-0000-00008B000000}"/>
    <cellStyle name="R01L" xfId="101" xr:uid="{00000000-0005-0000-0000-00008C000000}"/>
    <cellStyle name="R02A" xfId="102" xr:uid="{00000000-0005-0000-0000-00008D000000}"/>
    <cellStyle name="R02B" xfId="103" xr:uid="{00000000-0005-0000-0000-00008E000000}"/>
    <cellStyle name="R02H" xfId="104" xr:uid="{00000000-0005-0000-0000-00008F000000}"/>
    <cellStyle name="R02L" xfId="105" xr:uid="{00000000-0005-0000-0000-000090000000}"/>
    <cellStyle name="R03A" xfId="106" xr:uid="{00000000-0005-0000-0000-000091000000}"/>
    <cellStyle name="R03B" xfId="107" xr:uid="{00000000-0005-0000-0000-000092000000}"/>
    <cellStyle name="R03H" xfId="108" xr:uid="{00000000-0005-0000-0000-000093000000}"/>
    <cellStyle name="R03L" xfId="109" xr:uid="{00000000-0005-0000-0000-000094000000}"/>
    <cellStyle name="R04A" xfId="110" xr:uid="{00000000-0005-0000-0000-000095000000}"/>
    <cellStyle name="R04B" xfId="111" xr:uid="{00000000-0005-0000-0000-000096000000}"/>
    <cellStyle name="R04H" xfId="112" xr:uid="{00000000-0005-0000-0000-000097000000}"/>
    <cellStyle name="R04L" xfId="113" xr:uid="{00000000-0005-0000-0000-000098000000}"/>
    <cellStyle name="R05A" xfId="114" xr:uid="{00000000-0005-0000-0000-000099000000}"/>
    <cellStyle name="R05B" xfId="115" xr:uid="{00000000-0005-0000-0000-00009A000000}"/>
    <cellStyle name="R05H" xfId="116" xr:uid="{00000000-0005-0000-0000-00009B000000}"/>
    <cellStyle name="R05L" xfId="117" xr:uid="{00000000-0005-0000-0000-00009C000000}"/>
    <cellStyle name="R06A" xfId="118" xr:uid="{00000000-0005-0000-0000-00009D000000}"/>
    <cellStyle name="R06B" xfId="119" xr:uid="{00000000-0005-0000-0000-00009E000000}"/>
    <cellStyle name="R06H" xfId="120" xr:uid="{00000000-0005-0000-0000-00009F000000}"/>
    <cellStyle name="R06L" xfId="121" xr:uid="{00000000-0005-0000-0000-0000A0000000}"/>
    <cellStyle name="R07A" xfId="122" xr:uid="{00000000-0005-0000-0000-0000A1000000}"/>
    <cellStyle name="R07B" xfId="123" xr:uid="{00000000-0005-0000-0000-0000A2000000}"/>
    <cellStyle name="R07H" xfId="124" xr:uid="{00000000-0005-0000-0000-0000A3000000}"/>
    <cellStyle name="R07L" xfId="125" xr:uid="{00000000-0005-0000-0000-0000A4000000}"/>
    <cellStyle name="Title" xfId="126" builtinId="15" customBuiltin="1"/>
    <cellStyle name="Total" xfId="127" builtinId="25" customBuiltin="1"/>
    <cellStyle name="Warning Text" xfId="128" builtinId="11" customBuiltin="1"/>
  </cellStyles>
  <dxfs count="2">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84" Type="http://schemas.openxmlformats.org/officeDocument/2006/relationships/externalLink" Target="externalLinks/externalLink56.xml"/><Relationship Id="rId89" Type="http://schemas.openxmlformats.org/officeDocument/2006/relationships/externalLink" Target="externalLinks/externalLink6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74" Type="http://schemas.openxmlformats.org/officeDocument/2006/relationships/externalLink" Target="externalLinks/externalLink46.xml"/><Relationship Id="rId79" Type="http://schemas.openxmlformats.org/officeDocument/2006/relationships/externalLink" Target="externalLinks/externalLink51.xml"/><Relationship Id="rId5" Type="http://schemas.openxmlformats.org/officeDocument/2006/relationships/worksheet" Target="worksheets/sheet5.xml"/><Relationship Id="rId90" Type="http://schemas.openxmlformats.org/officeDocument/2006/relationships/externalLink" Target="externalLinks/externalLink62.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80" Type="http://schemas.openxmlformats.org/officeDocument/2006/relationships/externalLink" Target="externalLinks/externalLink52.xml"/><Relationship Id="rId85" Type="http://schemas.openxmlformats.org/officeDocument/2006/relationships/externalLink" Target="externalLinks/externalLink5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83" Type="http://schemas.openxmlformats.org/officeDocument/2006/relationships/externalLink" Target="externalLinks/externalLink55.xml"/><Relationship Id="rId88" Type="http://schemas.openxmlformats.org/officeDocument/2006/relationships/externalLink" Target="externalLinks/externalLink60.xml"/><Relationship Id="rId91" Type="http://schemas.openxmlformats.org/officeDocument/2006/relationships/externalLink" Target="externalLinks/externalLink63.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externalLink" Target="externalLinks/externalLink50.xml"/><Relationship Id="rId81" Type="http://schemas.openxmlformats.org/officeDocument/2006/relationships/externalLink" Target="externalLinks/externalLink53.xml"/><Relationship Id="rId86" Type="http://schemas.openxmlformats.org/officeDocument/2006/relationships/externalLink" Target="externalLinks/externalLink58.xml"/><Relationship Id="rId94" Type="http://schemas.openxmlformats.org/officeDocument/2006/relationships/theme" Target="theme/theme1.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1.xml"/><Relationship Id="rId34" Type="http://schemas.openxmlformats.org/officeDocument/2006/relationships/externalLink" Target="externalLinks/externalLink6.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6" Type="http://schemas.openxmlformats.org/officeDocument/2006/relationships/externalLink" Target="externalLinks/externalLink48.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3.xml"/><Relationship Id="rId92" Type="http://schemas.openxmlformats.org/officeDocument/2006/relationships/externalLink" Target="externalLinks/externalLink64.xml"/><Relationship Id="rId2" Type="http://schemas.openxmlformats.org/officeDocument/2006/relationships/worksheet" Target="worksheets/sheet2.xml"/><Relationship Id="rId29" Type="http://schemas.openxmlformats.org/officeDocument/2006/relationships/externalLink" Target="externalLinks/externalLink1.xml"/><Relationship Id="rId24" Type="http://schemas.openxmlformats.org/officeDocument/2006/relationships/worksheet" Target="worksheets/sheet24.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66" Type="http://schemas.openxmlformats.org/officeDocument/2006/relationships/externalLink" Target="externalLinks/externalLink38.xml"/><Relationship Id="rId87" Type="http://schemas.openxmlformats.org/officeDocument/2006/relationships/externalLink" Target="externalLinks/externalLink59.xml"/><Relationship Id="rId61" Type="http://schemas.openxmlformats.org/officeDocument/2006/relationships/externalLink" Target="externalLinks/externalLink33.xml"/><Relationship Id="rId82" Type="http://schemas.openxmlformats.org/officeDocument/2006/relationships/externalLink" Target="externalLinks/externalLink5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56" Type="http://schemas.openxmlformats.org/officeDocument/2006/relationships/externalLink" Target="externalLinks/externalLink28.xml"/><Relationship Id="rId77" Type="http://schemas.openxmlformats.org/officeDocument/2006/relationships/externalLink" Target="externalLinks/externalLink49.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93" Type="http://schemas.openxmlformats.org/officeDocument/2006/relationships/externalLink" Target="externalLinks/externalLink65.xml"/><Relationship Id="rId98"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48_corptaxnorth/tax/accrual/2006/ACE/December/Worksheet%20in%20Basis%20(1).xls?CDCE4AE2" TargetMode="External"/><Relationship Id="rId1" Type="http://schemas.openxmlformats.org/officeDocument/2006/relationships/externalLinkPath" Target="file:///\\CDCE4AE2\Worksheet%20in%20Basis%20(1).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J%20Restructuring/2002%20Budget%20and%20Rates/2002%20High%20Level%20Budget/2002-2006%20TUB%20Forecast%20.xls?CD785EF7" TargetMode="External"/><Relationship Id="rId1" Type="http://schemas.openxmlformats.org/officeDocument/2006/relationships/externalLinkPath" Target="file:///\\CD785EF7\2002-2006%20TUB%20Forecast%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20SPPC%202001%20Remove%20Capital%20Direct%20Costs.xls?244E6EAA" TargetMode="External"/><Relationship Id="rId1" Type="http://schemas.openxmlformats.org/officeDocument/2006/relationships/externalLinkPath" Target="file:///\\244E6EAA\3)%20SPPC%202001%20Remove%20Capital%20Direct%20Cost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youlee/Local%20Settings/Temp/3)NPC%20%20Adjustment%20%202001%20Direct%20Capital%20Costs%20Removed%20.xls?244E6EAA" TargetMode="External"/><Relationship Id="rId1" Type="http://schemas.openxmlformats.org/officeDocument/2006/relationships/externalLinkPath" Target="file:///\\244E6EAA\3)NPC%20%20Adjustment%20%202001%20Direct%20Capital%20Costs%20Removed%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2013%20Annual%20Update%2020130430.xlsx?6D31B094" TargetMode="External"/><Relationship Id="rId1" Type="http://schemas.openxmlformats.org/officeDocument/2006/relationships/externalLinkPath" Target="file:///\\6D31B094\2013%20Annual%20Update%2020130430.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IDD%20#5 - Alliant - IPL_7.xlsx?EECC93CA" TargetMode="External"/><Relationship Id="rId1" Type="http://schemas.openxmlformats.org/officeDocument/2006/relationships/externalLinkPath" Target="file:///\\EECC93CA\IDD%20%235%20-%20Alliant%20-%20IPL_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4tr/Monthly%20Balances%20for%20Cap%20Int%20excluded%20routine%20jobs.xls?4D16C662" TargetMode="External"/><Relationship Id="rId1" Type="http://schemas.openxmlformats.org/officeDocument/2006/relationships/externalLinkPath" Target="file:///\\4D16C662\Monthly%20Balances%20for%20Cap%20Int%20excluded%20routine%20jobs.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My%20Documents/Clients/Accounting%20Method/AES/2002%20Indirect%20Cost%20Study%20-%20Calculation.xls?271EAAB5" TargetMode="External"/><Relationship Id="rId1" Type="http://schemas.openxmlformats.org/officeDocument/2006/relationships/externalLinkPath" Target="file:///\\271EAAB5\2002%20Indirect%20Cost%20Study%20-%20Calculatio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yeh001/My%20Documents/Agouron/Ready%20for%20Review/Executive%20Summary/california%20Agouron%20Supermodel@10%25.xls?6457426F" TargetMode="External"/><Relationship Id="rId1" Type="http://schemas.openxmlformats.org/officeDocument/2006/relationships/externalLinkPath" Target="file:///\\6457426F\california%20Agouron%20Supermodel@10%25.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8%20New%20Method%20263A%20Calculation.xls?EECC93CA" TargetMode="External"/><Relationship Id="rId1" Type="http://schemas.openxmlformats.org/officeDocument/2006/relationships/externalLinkPath" Target="file:///\\EECC93CA\2008%20New%20Method%20263A%20Calculation.xls"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WBS%20by%20Profit%20Center%20CE%20Summary.xls?F0F141B4" TargetMode="External"/><Relationship Id="rId1" Type="http://schemas.openxmlformats.org/officeDocument/2006/relationships/externalLinkPath" Target="file:///\\F0F141B4\WBS%20by%20Profit%20Center%20CE%20Summary.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fjeldal/LOCALS~1/Temp/notes8160F2/2003-2007%20TUB%20Forecast%20Deferral%20Case%20v080102.xls?89F62F70" TargetMode="External"/><Relationship Id="rId1" Type="http://schemas.openxmlformats.org/officeDocument/2006/relationships/externalLinkPath" Target="file:///\\89F62F70\2003-2007%20TUB%20Forecast%20Deferral%20Case%20v080102.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Alliant%20Energy/Dept%20Analysis/AandGAnalysis%201999.xls?C5DBA643" TargetMode="External"/><Relationship Id="rId1" Type="http://schemas.openxmlformats.org/officeDocument/2006/relationships/externalLinkPath" Target="file:///\\C5DBA643\AandGAnalysis%201999.xls"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hared/NewJerseyDeferrals/1999%20Deferrals/oct99/OctoberTariff(Old).xls?CBEBD174" TargetMode="External"/><Relationship Id="rId1" Type="http://schemas.openxmlformats.org/officeDocument/2006/relationships/externalLinkPath" Target="file:///\\CBEBD174\OctoberTariff(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TEMP/Res_Alloc_MBS_Replacement_Project.xls?FA5F6583" TargetMode="External"/><Relationship Id="rId1" Type="http://schemas.openxmlformats.org/officeDocument/2006/relationships/externalLinkPath" Target="file:///\\FA5F6583\Res_Alloc_MBS_Replacement_Project.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Cut-Ins.xls?86443B4B" TargetMode="External"/><Relationship Id="rId1" Type="http://schemas.openxmlformats.org/officeDocument/2006/relationships/externalLinkPath" Target="file:///\\86443B4B\Cut-I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31.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INDOWS/TEMP/Unit%20Data%20Upload/Templates/Hyp.%20Retrieve%20v3.5%20%20-%20May%20%2002.xls?0184345A" TargetMode="External"/><Relationship Id="rId1" Type="http://schemas.openxmlformats.org/officeDocument/2006/relationships/externalLinkPath" Target="file:///\\0184345A\Hyp.%20Retrieve%20v3.5%20%20-%20May%20%200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CONADM/TEST/FCW/Data97/TRAN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nvision/NPC/NVPWR_BALANCE_SHEET_(2001-12-31).xls?C3DCFF1F" TargetMode="External"/><Relationship Id="rId1" Type="http://schemas.openxmlformats.org/officeDocument/2006/relationships/externalLinkPath" Target="file:///\\C3DCFF1F\NVPWR_BALANCE_SHEET_(2001-12-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1\smallk\LOCALS~1\Temp\notesA188F6\DOCUME~1\x0560fs\LOCALS~1\Temp\notes61BBD3\Pepco%2012-31-07%20TBBS%20adjust%20for%20MD%20rate%20change%20updated%20KRS.xls?91875CAF" TargetMode="External"/><Relationship Id="rId1" Type="http://schemas.openxmlformats.org/officeDocument/2006/relationships/externalLinkPath" Target="file:///\\91875CAF\Pepco%2012-31-07%20TBBS%20adjust%20for%20MD%20rate%20change%20updated%20K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DOCUME~1/e50781/LOCALS~1/Temp/Domino%20Web%20Access/3-12-07%20KCK%20-%20For%20Next%20Rate%20Case.xls?CFAA6E1A" TargetMode="External"/><Relationship Id="rId1" Type="http://schemas.openxmlformats.org/officeDocument/2006/relationships/externalLinkPath" Target="file:///\\CFAA6E1A\3-12-07%20KCK%20-%20For%20Next%20Rate%20Cas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G304/CorpModel/Download/eda_cwip.xls?F48554DC" TargetMode="External"/><Relationship Id="rId1" Type="http://schemas.openxmlformats.org/officeDocument/2006/relationships/externalLinkPath" Target="file:///\\F48554DC\eda_cwip.xls" TargetMode="External"/></Relationships>
</file>

<file path=xl/externalLinks/_rels/externalLink4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Services/Finance/0865/06tr/cap%20int%202006/Interest%20Computation.xls?86443B4B" TargetMode="External"/><Relationship Id="rId1" Type="http://schemas.openxmlformats.org/officeDocument/2006/relationships/externalLinkPath" Target="file:///\\86443B4B\Interest%20Computation.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2007/Accounting/March%20Q1/DTE%20YTD%20MARCH%202007%20FIT%20ANALYSIS.xls?C139141B" TargetMode="External"/><Relationship Id="rId1" Type="http://schemas.openxmlformats.org/officeDocument/2006/relationships/externalLinkPath" Target="file:///\\C139141B\DTE%20YTD%20MARCH%202007%20FIT%20ANALYS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Services\Finance\0848_tax_dept\Tax%20Accounting,%20Provisions,%20and%20Reserves\Provisions\2012\Power%20Delivery\Pepco\Q3\September\Pepco%202012%20September%20Close%202.xlsx?A4C5C635" TargetMode="External"/><Relationship Id="rId1" Type="http://schemas.openxmlformats.org/officeDocument/2006/relationships/externalLinkPath" Target="file:///\\A4C5C635\Pepco%202012%20September%20Close%20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MARS001/Local%20Settings/Temp/wz5907/Expense%20by%20Cost%20Center%20Group%20Reg%20Ind%205-9%202008%20with%20Group%20TDBU%20PC's.xls?1DC8E409" TargetMode="External"/><Relationship Id="rId1" Type="http://schemas.openxmlformats.org/officeDocument/2006/relationships/externalLinkPath" Target="file:///\\1DC8E409\Expense%20by%20Cost%20Center%20Group%20Reg%20Ind%205-9%202008%20with%20Group%20TDBU%20PC's.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um/Viewed/Financial%20Reports/Rpts2000/1200/UNSEC/DECO10QB.xls?5233D700" TargetMode="External"/><Relationship Id="rId1" Type="http://schemas.openxmlformats.org/officeDocument/2006/relationships/externalLinkPath" Target="file:///\\5233D700\DECO10Q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54.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orking/Annual%20Update%20-%202013/Data/Capital%20projection%2020130417.xlsx?C6D8CEDB" TargetMode="External"/><Relationship Id="rId1" Type="http://schemas.openxmlformats.org/officeDocument/2006/relationships/externalLinkPath" Target="file:///\\C6D8CEDB\Capital%20projection%2020130417.xlsx" TargetMode="External"/></Relationships>
</file>

<file path=xl/externalLinks/_rels/externalLink5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nts%20and%20Settings/kellevans/My%20Documents/Clients/STR/Indirect%20Cost/Nstar/Pools/Summary%20Query%20other%20cos%20-%20full%20lists.xls?1C1A347F" TargetMode="External"/><Relationship Id="rId1" Type="http://schemas.openxmlformats.org/officeDocument/2006/relationships/externalLinkPath" Target="file:///\\1C1A347F\Summary%20Query%20other%20cos%20-%20full%20lists.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MARS001/LOCALS~1/Temp/notes335BF6/MEC%20EMPLOYEE%20HEADCOUNT%202006-2009%20updated.xls?F0F141B4" TargetMode="External"/><Relationship Id="rId1" Type="http://schemas.openxmlformats.org/officeDocument/2006/relationships/externalLinkPath" Target="file:///\\F0F141B4\MEC%20EMPLOYEE%20HEADCOUNT%202006-2009%20update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file:///C:\users\joe.hoffman\appdata\local\microsoft\windows\inetcache\content.outlook\si030mas\Documents%20and%20Settings\mangai\Local%20Settings\Temporary%20Internet%20Files\OLK184\Appleton%20Papers%202000-2001_Additional%201040%20exclusions.xls?C2521D90" TargetMode="External"/><Relationship Id="rId1" Type="http://schemas.openxmlformats.org/officeDocument/2006/relationships/externalLinkPath" Target="file:///\\C2521D90\Appleton%20Papers%202000-2001_Additional%201040%20exclusion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WDIR/Desktop/Synforms_4.1.xls?50C81544" TargetMode="External"/><Relationship Id="rId1" Type="http://schemas.openxmlformats.org/officeDocument/2006/relationships/externalLinkPath" Target="file:///\\50C81544\Synforms_4.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63.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rogram%20Files/Exchange/MP%20Adds%202001.xls?89E929CB" TargetMode="External"/><Relationship Id="rId1" Type="http://schemas.openxmlformats.org/officeDocument/2006/relationships/externalLinkPath" Target="file:///\\89E929CB\MP%20Adds%20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PHI_Shared_Services/G038/MDDETAIL/PROPTAX.XLS?84372ADB" TargetMode="External"/><Relationship Id="rId1" Type="http://schemas.openxmlformats.org/officeDocument/2006/relationships/externalLinkPath" Target="file:///\\84372ADB\PROPTAX.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Corp/Rates/Akr/Rates/FERC%20Transmission/JCP&amp;L%20Transmission/Rate%20Updates/2020%20Settlement%20Template%20Updates%20Round%204/users/joe.hoffman/appdata/local/microsoft/windows/inetcache/content.outlook/si030mas/DOCUME~1/khang/LOCALS~1/Temp/notesC66157/2011%20Q4%20SAP%20Cash%20Payment%20Data.xlsx?9D031E54" TargetMode="External"/><Relationship Id="rId1" Type="http://schemas.openxmlformats.org/officeDocument/2006/relationships/externalLinkPath" Target="file:///\\9D031E54\2011%20Q4%20SAP%20Cash%20Paymen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efreshError="1">
        <row r="220">
          <cell r="P220">
            <v>607090822.76530898</v>
          </cell>
        </row>
      </sheetData>
      <sheetData sheetId="7" refreshError="1"/>
      <sheetData sheetId="8" refreshError="1"/>
      <sheetData sheetId="9" refreshError="1">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7.3398818350960335E-2</v>
          </cell>
        </row>
        <row r="29">
          <cell r="H29">
            <v>0.20421179118054886</v>
          </cell>
        </row>
        <row r="32">
          <cell r="H32">
            <v>0.24176082444075614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22657380.059999999</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0.82265223799684317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-20999.920000000002</v>
          </cell>
          <cell r="AC133">
            <v>66350.159999999989</v>
          </cell>
          <cell r="AD133">
            <v>827519.35000000009</v>
          </cell>
          <cell r="AE133">
            <v>10000</v>
          </cell>
          <cell r="AF133">
            <v>10000</v>
          </cell>
          <cell r="AG133">
            <v>10000</v>
          </cell>
          <cell r="AH133">
            <v>30000</v>
          </cell>
          <cell r="AI133">
            <v>10000</v>
          </cell>
          <cell r="AJ133">
            <v>10000</v>
          </cell>
          <cell r="AK133">
            <v>10000</v>
          </cell>
          <cell r="AL133">
            <v>10000</v>
          </cell>
          <cell r="AM133">
            <v>10000</v>
          </cell>
        </row>
        <row r="134">
          <cell r="AB134">
            <v>-390.07000000000016</v>
          </cell>
          <cell r="AC134">
            <v>0</v>
          </cell>
          <cell r="AD134">
            <v>0</v>
          </cell>
          <cell r="AE134">
            <v>0</v>
          </cell>
          <cell r="AF134">
            <v>345596138.16000003</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-37897.029999998893</v>
          </cell>
          <cell r="AC137">
            <v>119152.57000000028</v>
          </cell>
          <cell r="AD137">
            <v>1511930.7099999997</v>
          </cell>
          <cell r="AE137">
            <v>0</v>
          </cell>
          <cell r="AF137">
            <v>5349832.6900000004</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3992288.5300000007</v>
          </cell>
          <cell r="AC140">
            <v>7625573.330000001</v>
          </cell>
          <cell r="AD140">
            <v>5693982.3799999999</v>
          </cell>
          <cell r="AE140">
            <v>10184079.280000003</v>
          </cell>
          <cell r="AF140">
            <v>16641004.163303988</v>
          </cell>
          <cell r="AG140">
            <v>37416529.201457046</v>
          </cell>
          <cell r="AH140">
            <v>7905111.2525474746</v>
          </cell>
          <cell r="AI140">
            <v>8893021.5248183459</v>
          </cell>
          <cell r="AJ140">
            <v>13926173.173849482</v>
          </cell>
          <cell r="AK140">
            <v>22098349.088597469</v>
          </cell>
          <cell r="AL140">
            <v>14469713.982168067</v>
          </cell>
          <cell r="AM140">
            <v>9599588.802168062</v>
          </cell>
        </row>
        <row r="141">
          <cell r="AB141">
            <v>3933001.5100000016</v>
          </cell>
          <cell r="AC141">
            <v>7811076.0600000015</v>
          </cell>
          <cell r="AD141">
            <v>8223729.129999999</v>
          </cell>
          <cell r="AE141">
            <v>10003782.590000004</v>
          </cell>
          <cell r="AF141">
            <v>369596975.013304</v>
          </cell>
          <cell r="AG141">
            <v>48683475.201457046</v>
          </cell>
          <cell r="AH141">
            <v>10085858.252547475</v>
          </cell>
          <cell r="AI141">
            <v>10366579.524818346</v>
          </cell>
          <cell r="AJ141">
            <v>15085660.173849482</v>
          </cell>
          <cell r="AK141">
            <v>23030100.088597469</v>
          </cell>
          <cell r="AL141">
            <v>14953113.982168067</v>
          </cell>
          <cell r="AM141">
            <v>9714924.802168062</v>
          </cell>
        </row>
      </sheetData>
      <sheetData sheetId="2">
        <row r="5">
          <cell r="C5">
            <v>3933001.5100000016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dimension ref="A1:R311"/>
  <sheetViews>
    <sheetView tabSelected="1" view="pageBreakPreview" zoomScale="75" zoomScaleNormal="75" zoomScaleSheetLayoutView="75" workbookViewId="0">
      <selection activeCell="B1" sqref="B1"/>
    </sheetView>
  </sheetViews>
  <sheetFormatPr defaultColWidth="8.81640625" defaultRowHeight="15.6"/>
  <cols>
    <col min="1" max="1" width="5.7265625" style="417" bestFit="1" customWidth="1"/>
    <col min="2" max="2" width="38.7265625" style="417" customWidth="1"/>
    <col min="3" max="3" width="44.26953125" style="417" customWidth="1"/>
    <col min="4" max="4" width="18.453125" style="417" customWidth="1"/>
    <col min="5" max="5" width="10.26953125" style="417" customWidth="1"/>
    <col min="6" max="6" width="11.54296875" style="417" customWidth="1"/>
    <col min="7" max="7" width="13" style="417" bestFit="1" customWidth="1"/>
    <col min="8" max="8" width="4.08984375" style="417" customWidth="1"/>
    <col min="9" max="9" width="18.26953125" style="417" customWidth="1"/>
    <col min="10" max="10" width="15.7265625" style="417" customWidth="1"/>
    <col min="11" max="11" width="17.08984375" style="417" customWidth="1"/>
    <col min="12" max="12" width="15.54296875" style="523" customWidth="1"/>
    <col min="13" max="13" width="10.7265625" style="417" customWidth="1"/>
    <col min="14" max="14" width="10.453125" style="417" customWidth="1"/>
    <col min="15" max="15" width="10.54296875" style="417" customWidth="1"/>
    <col min="16" max="16384" width="8.81640625" style="417"/>
  </cols>
  <sheetData>
    <row r="1" spans="1:14" ht="16.5" customHeight="1">
      <c r="A1" s="1"/>
      <c r="B1" s="1030"/>
      <c r="C1" s="1031"/>
      <c r="D1" s="1032"/>
      <c r="E1" s="418"/>
      <c r="F1" s="418"/>
      <c r="G1" s="418"/>
      <c r="H1" s="418"/>
      <c r="I1" s="418"/>
      <c r="K1" s="420" t="s">
        <v>448</v>
      </c>
      <c r="L1" s="418"/>
      <c r="M1" s="418"/>
      <c r="N1" s="418"/>
    </row>
    <row r="2" spans="1:14" ht="16.5" customHeight="1">
      <c r="B2" s="1030"/>
      <c r="C2" s="1031"/>
      <c r="D2" s="1032"/>
      <c r="E2" s="418"/>
      <c r="F2" s="418"/>
      <c r="G2" s="418"/>
      <c r="H2" s="418"/>
      <c r="I2" s="418"/>
      <c r="J2" s="418"/>
      <c r="K2" s="420" t="s">
        <v>0</v>
      </c>
      <c r="L2" s="418"/>
      <c r="M2" s="418"/>
      <c r="N2" s="418"/>
    </row>
    <row r="3" spans="1:14" ht="16.5" customHeight="1">
      <c r="B3" s="1033"/>
      <c r="C3" s="1031"/>
      <c r="D3" s="1032"/>
      <c r="E3" s="418"/>
      <c r="F3" s="418"/>
      <c r="G3" s="418"/>
      <c r="H3" s="418"/>
      <c r="I3" s="418"/>
      <c r="J3" s="418"/>
      <c r="K3" s="418"/>
      <c r="L3" s="418"/>
      <c r="M3" s="418"/>
      <c r="N3" s="418"/>
    </row>
    <row r="4" spans="1:14">
      <c r="B4" s="418" t="s">
        <v>1</v>
      </c>
      <c r="C4" s="418"/>
      <c r="D4" s="419" t="s">
        <v>2</v>
      </c>
      <c r="E4" s="418"/>
      <c r="F4" s="418"/>
      <c r="G4" s="418"/>
      <c r="H4" s="421"/>
      <c r="I4" s="422"/>
      <c r="J4" s="421"/>
      <c r="K4" s="32" t="s">
        <v>1156</v>
      </c>
      <c r="L4" s="418"/>
      <c r="M4" s="418"/>
      <c r="N4" s="418"/>
    </row>
    <row r="5" spans="1:14">
      <c r="B5" s="418"/>
      <c r="C5" s="423"/>
      <c r="D5" s="423" t="s">
        <v>4</v>
      </c>
      <c r="E5" s="423"/>
      <c r="F5" s="423"/>
      <c r="G5" s="423"/>
      <c r="H5" s="418"/>
      <c r="I5" s="418"/>
      <c r="J5" s="418"/>
      <c r="K5" s="418"/>
      <c r="L5" s="418"/>
      <c r="M5" s="418"/>
      <c r="N5" s="418"/>
    </row>
    <row r="6" spans="1:14">
      <c r="B6" s="418"/>
      <c r="C6" s="418"/>
      <c r="D6" s="418"/>
      <c r="E6" s="418"/>
      <c r="F6" s="418"/>
      <c r="G6" s="418"/>
      <c r="H6" s="418"/>
      <c r="I6" s="418"/>
      <c r="J6" s="418"/>
      <c r="K6" s="418"/>
      <c r="L6" s="418"/>
      <c r="M6" s="418"/>
      <c r="N6" s="418"/>
    </row>
    <row r="7" spans="1:14">
      <c r="A7" s="424"/>
      <c r="B7" s="418"/>
      <c r="C7" s="418"/>
      <c r="D7" s="425" t="s">
        <v>264</v>
      </c>
      <c r="E7" s="418"/>
      <c r="F7" s="418"/>
      <c r="G7" s="418"/>
      <c r="H7" s="418"/>
      <c r="I7" s="418"/>
      <c r="J7" s="418"/>
      <c r="K7" s="418"/>
      <c r="L7" s="418"/>
      <c r="M7" s="418"/>
      <c r="N7" s="418"/>
    </row>
    <row r="8" spans="1:14">
      <c r="A8" s="424"/>
      <c r="B8" s="424" t="s">
        <v>16</v>
      </c>
      <c r="C8" s="424" t="s">
        <v>17</v>
      </c>
      <c r="D8" s="424" t="s">
        <v>18</v>
      </c>
      <c r="E8" s="423" t="s">
        <v>3</v>
      </c>
      <c r="F8" s="423"/>
      <c r="G8" s="426" t="s">
        <v>19</v>
      </c>
      <c r="H8" s="423"/>
      <c r="I8" s="427" t="s">
        <v>20</v>
      </c>
      <c r="J8" s="418"/>
      <c r="K8" s="418"/>
      <c r="L8" s="418"/>
      <c r="M8" s="418"/>
      <c r="N8" s="418"/>
    </row>
    <row r="9" spans="1:14">
      <c r="A9" s="424" t="s">
        <v>5</v>
      </c>
      <c r="B9" s="418"/>
      <c r="C9" s="418"/>
      <c r="D9" s="425"/>
      <c r="E9" s="418"/>
      <c r="F9" s="418"/>
      <c r="G9" s="418"/>
      <c r="H9" s="418"/>
      <c r="I9" s="424" t="s">
        <v>6</v>
      </c>
      <c r="J9" s="418"/>
      <c r="K9" s="418"/>
      <c r="L9" s="418"/>
      <c r="M9" s="418"/>
      <c r="N9" s="418"/>
    </row>
    <row r="10" spans="1:14" ht="16.2" thickBot="1">
      <c r="A10" s="428" t="s">
        <v>7</v>
      </c>
      <c r="B10" s="418"/>
      <c r="C10" s="418"/>
      <c r="D10" s="418"/>
      <c r="E10" s="418"/>
      <c r="F10" s="418"/>
      <c r="G10" s="424"/>
      <c r="H10" s="418"/>
      <c r="I10" s="428" t="s">
        <v>8</v>
      </c>
      <c r="J10" s="418"/>
      <c r="K10" s="420"/>
      <c r="L10" s="418"/>
      <c r="M10" s="418"/>
      <c r="N10" s="418"/>
    </row>
    <row r="11" spans="1:14">
      <c r="A11" s="424">
        <v>1</v>
      </c>
      <c r="B11" s="2" t="s">
        <v>888</v>
      </c>
      <c r="C11" s="418"/>
      <c r="D11" s="423"/>
      <c r="E11" s="418"/>
      <c r="F11" s="418"/>
      <c r="G11" s="418"/>
      <c r="H11" s="418"/>
      <c r="I11" s="429">
        <f ca="1">I145</f>
        <v>208594160.3418963</v>
      </c>
      <c r="J11" s="843"/>
      <c r="K11" s="429"/>
      <c r="L11" s="418"/>
      <c r="M11" s="418"/>
      <c r="N11" s="418"/>
    </row>
    <row r="12" spans="1:14">
      <c r="A12" s="424"/>
      <c r="B12" s="418"/>
      <c r="C12" s="418"/>
      <c r="D12" s="418"/>
      <c r="E12" s="418"/>
      <c r="F12" s="418"/>
      <c r="G12" s="431"/>
      <c r="H12" s="418"/>
      <c r="I12" s="423"/>
      <c r="J12" s="430"/>
      <c r="K12" s="429"/>
      <c r="L12" s="418"/>
      <c r="M12" s="418"/>
      <c r="N12" s="418"/>
    </row>
    <row r="13" spans="1:14" ht="16.2" thickBot="1">
      <c r="A13" s="424" t="s">
        <v>3</v>
      </c>
      <c r="B13" s="418" t="s">
        <v>67</v>
      </c>
      <c r="C13" s="561" t="s">
        <v>954</v>
      </c>
      <c r="D13" s="428" t="s">
        <v>9</v>
      </c>
      <c r="E13" s="423"/>
      <c r="F13" s="433" t="s">
        <v>10</v>
      </c>
      <c r="G13" s="433"/>
      <c r="H13" s="418"/>
      <c r="I13" s="423"/>
      <c r="J13" s="430"/>
      <c r="K13" s="429"/>
      <c r="L13" s="418"/>
      <c r="M13" s="418"/>
      <c r="N13" s="418"/>
    </row>
    <row r="14" spans="1:14">
      <c r="A14" s="424">
        <f>MAX($A$11:A13)+1</f>
        <v>2</v>
      </c>
      <c r="B14" s="561" t="s">
        <v>713</v>
      </c>
      <c r="C14" s="561" t="str">
        <f>"Attachment 18, Line "&amp;'Attachment 18 - Rev Creds'!A37&amp;", Col. "&amp;'Attachment 18 - Rev Creds'!I5</f>
        <v>Attachment 18, Line 9, Col. (E)</v>
      </c>
      <c r="D14" s="436">
        <f ca="1">'Attachment 18 - Rev Creds'!I37</f>
        <v>1225471</v>
      </c>
      <c r="E14" s="423"/>
      <c r="F14" s="561" t="s">
        <v>250</v>
      </c>
      <c r="G14" s="434">
        <v>1</v>
      </c>
      <c r="H14" s="423"/>
      <c r="I14" s="435">
        <f ca="1">+G14*D14</f>
        <v>1225471</v>
      </c>
      <c r="J14" s="430"/>
      <c r="K14" s="429"/>
      <c r="L14" s="423"/>
      <c r="N14" s="418"/>
    </row>
    <row r="15" spans="1:14" ht="17.399999999999999">
      <c r="A15" s="424">
        <f>MAX($A$11:A14)+1</f>
        <v>3</v>
      </c>
      <c r="B15" s="423" t="s">
        <v>381</v>
      </c>
      <c r="C15" s="423" t="s">
        <v>391</v>
      </c>
      <c r="D15" s="438">
        <f ca="1">'Attachment 11 - TEC'!N79</f>
        <v>22726158.195614345</v>
      </c>
      <c r="E15" s="423"/>
      <c r="F15" s="423" t="s">
        <v>250</v>
      </c>
      <c r="G15" s="434">
        <v>1</v>
      </c>
      <c r="H15" s="423"/>
      <c r="I15" s="439">
        <f ca="1">D15*G15</f>
        <v>22726158.195614345</v>
      </c>
      <c r="J15" s="435"/>
      <c r="K15" s="429"/>
      <c r="L15" s="423"/>
      <c r="N15" s="418"/>
    </row>
    <row r="16" spans="1:14">
      <c r="A16" s="424">
        <f>MAX($A$11:A15)+1</f>
        <v>4</v>
      </c>
      <c r="B16" s="2" t="s">
        <v>764</v>
      </c>
      <c r="C16" s="418"/>
      <c r="D16" s="440">
        <f ca="1">SUM(D14:D15)</f>
        <v>23951629.195614345</v>
      </c>
      <c r="E16" s="423"/>
      <c r="F16" s="423"/>
      <c r="G16" s="434"/>
      <c r="H16" s="423"/>
      <c r="I16" s="441">
        <f ca="1">SUM(I14:I15)</f>
        <v>23951629.195614345</v>
      </c>
      <c r="J16" s="435"/>
      <c r="K16" s="429"/>
      <c r="L16" s="418"/>
      <c r="N16" s="418"/>
    </row>
    <row r="17" spans="1:14">
      <c r="A17" s="424"/>
      <c r="B17" s="418"/>
      <c r="C17" s="418"/>
      <c r="D17" s="440"/>
      <c r="E17" s="423"/>
      <c r="F17" s="423"/>
      <c r="G17" s="434"/>
      <c r="H17" s="423"/>
      <c r="I17" s="441"/>
      <c r="J17" s="418"/>
      <c r="K17" s="429"/>
      <c r="L17" s="418"/>
      <c r="N17" s="418"/>
    </row>
    <row r="18" spans="1:14">
      <c r="A18" s="424">
        <f>MAX($A$11:A17)+1</f>
        <v>5</v>
      </c>
      <c r="B18" s="442" t="s">
        <v>371</v>
      </c>
      <c r="C18" s="2" t="s">
        <v>1023</v>
      </c>
      <c r="D18" s="443"/>
      <c r="E18" s="423"/>
      <c r="F18" s="423"/>
      <c r="G18" s="434"/>
      <c r="H18" s="423"/>
      <c r="I18" s="444">
        <v>0</v>
      </c>
      <c r="J18" s="844"/>
      <c r="K18" s="429"/>
      <c r="L18" s="418"/>
      <c r="N18" s="418"/>
    </row>
    <row r="19" spans="1:14">
      <c r="A19" s="424"/>
      <c r="B19" s="418"/>
      <c r="C19" s="418"/>
      <c r="D19" s="443"/>
      <c r="E19" s="423"/>
      <c r="F19" s="423"/>
      <c r="G19" s="434"/>
      <c r="H19" s="423"/>
      <c r="I19" s="435"/>
      <c r="J19" s="2"/>
      <c r="K19" s="963"/>
      <c r="L19" s="418"/>
      <c r="N19" s="418"/>
    </row>
    <row r="20" spans="1:14">
      <c r="A20" s="424">
        <f>MAX($A$11:A19)+1</f>
        <v>6</v>
      </c>
      <c r="B20" s="418" t="s">
        <v>370</v>
      </c>
      <c r="C20" s="2" t="s">
        <v>765</v>
      </c>
      <c r="D20" s="445"/>
      <c r="E20" s="423"/>
      <c r="F20" s="423"/>
      <c r="G20" s="423"/>
      <c r="H20" s="423"/>
      <c r="I20" s="446">
        <f ca="1">I11-I16+I18</f>
        <v>184642531.14628196</v>
      </c>
      <c r="J20" s="435"/>
      <c r="K20" s="435"/>
      <c r="L20" s="418"/>
      <c r="N20" s="418"/>
    </row>
    <row r="21" spans="1:14">
      <c r="A21" s="424"/>
      <c r="B21" s="418"/>
      <c r="C21" s="418"/>
      <c r="D21" s="445"/>
      <c r="E21" s="423"/>
      <c r="F21" s="423"/>
      <c r="G21" s="423"/>
      <c r="H21" s="423"/>
      <c r="I21" s="446"/>
      <c r="J21" s="430"/>
      <c r="K21" s="432"/>
      <c r="L21" s="418"/>
      <c r="N21" s="418"/>
    </row>
    <row r="22" spans="1:14">
      <c r="A22" s="424"/>
      <c r="B22" s="418"/>
      <c r="C22" s="418"/>
      <c r="D22" s="445"/>
      <c r="E22" s="423"/>
      <c r="F22" s="423"/>
      <c r="G22" s="423"/>
      <c r="H22" s="423"/>
      <c r="I22" s="446"/>
      <c r="J22" s="462"/>
      <c r="K22" s="432"/>
      <c r="L22" s="418"/>
      <c r="N22" s="418"/>
    </row>
    <row r="23" spans="1:14">
      <c r="A23" s="424"/>
      <c r="C23" s="423"/>
      <c r="I23" s="423"/>
      <c r="J23" s="418"/>
      <c r="K23" s="432"/>
      <c r="L23" s="418"/>
      <c r="N23" s="418"/>
    </row>
    <row r="24" spans="1:14" ht="16.2" thickBot="1">
      <c r="A24" s="424">
        <f>MAX($A$11:A23)+1</f>
        <v>7</v>
      </c>
      <c r="B24" s="418" t="s">
        <v>12</v>
      </c>
      <c r="C24" s="418"/>
      <c r="D24" s="423"/>
      <c r="E24" s="418"/>
      <c r="F24" s="418"/>
      <c r="G24" s="418"/>
      <c r="H24" s="418"/>
      <c r="I24" s="447" t="s">
        <v>9</v>
      </c>
      <c r="J24" s="424"/>
      <c r="K24" s="432"/>
      <c r="L24" s="418"/>
      <c r="N24" s="418"/>
    </row>
    <row r="25" spans="1:14">
      <c r="A25" s="424">
        <f>MAX($A$11:A24)+1</f>
        <v>8</v>
      </c>
      <c r="B25" s="418" t="s">
        <v>151</v>
      </c>
      <c r="D25" s="423"/>
      <c r="E25" s="418"/>
      <c r="F25" s="418"/>
      <c r="G25" s="418" t="s">
        <v>13</v>
      </c>
      <c r="H25" s="418"/>
      <c r="I25" s="448">
        <v>6122.9</v>
      </c>
      <c r="J25" s="1034"/>
      <c r="K25" s="968"/>
      <c r="L25" s="417"/>
      <c r="N25" s="418"/>
    </row>
    <row r="26" spans="1:14">
      <c r="A26" s="424">
        <f>MAX($A$11:A25)+1</f>
        <v>9</v>
      </c>
      <c r="B26" s="418" t="s">
        <v>488</v>
      </c>
      <c r="C26" s="423"/>
      <c r="D26" s="423"/>
      <c r="E26" s="423"/>
      <c r="F26" s="423"/>
      <c r="G26" s="2" t="s">
        <v>973</v>
      </c>
      <c r="H26" s="423"/>
      <c r="I26" s="448">
        <v>4046.5</v>
      </c>
      <c r="J26" s="1035"/>
      <c r="K26" s="432"/>
      <c r="L26" s="417"/>
      <c r="M26" s="418"/>
      <c r="N26" s="418"/>
    </row>
    <row r="27" spans="1:14" ht="16.5" customHeight="1">
      <c r="A27" s="424"/>
      <c r="B27" s="418"/>
      <c r="C27" s="418"/>
      <c r="D27" s="418"/>
      <c r="E27" s="418"/>
      <c r="F27" s="418"/>
      <c r="G27" s="418"/>
      <c r="H27" s="418"/>
      <c r="I27" s="423"/>
      <c r="J27" s="418"/>
      <c r="K27" s="432"/>
      <c r="L27" s="418"/>
      <c r="M27" s="418"/>
      <c r="N27" s="418"/>
    </row>
    <row r="28" spans="1:14" ht="16.2" thickBot="1">
      <c r="A28" s="424"/>
      <c r="B28" s="418"/>
      <c r="C28" s="418"/>
      <c r="D28" s="428" t="s">
        <v>9</v>
      </c>
      <c r="F28" s="418"/>
      <c r="G28" s="418"/>
      <c r="H28" s="418"/>
      <c r="I28" s="423"/>
      <c r="J28" s="418"/>
      <c r="K28" s="418"/>
      <c r="L28" s="418"/>
      <c r="M28" s="418"/>
      <c r="N28" s="418"/>
    </row>
    <row r="29" spans="1:14">
      <c r="A29" s="424">
        <f>MAX($A$11:A28)+1</f>
        <v>10</v>
      </c>
      <c r="B29" s="418" t="s">
        <v>468</v>
      </c>
      <c r="C29" s="2" t="s">
        <v>836</v>
      </c>
      <c r="D29" s="449">
        <f ca="1">IF(I25&gt;0,(I20/I25),0)</f>
        <v>30156.058590909859</v>
      </c>
      <c r="F29" s="450"/>
      <c r="G29" s="418"/>
      <c r="H29" s="418"/>
      <c r="J29" s="844"/>
      <c r="K29" s="418"/>
      <c r="L29" s="417"/>
      <c r="M29" s="418"/>
      <c r="N29" s="418"/>
    </row>
    <row r="30" spans="1:14">
      <c r="A30" s="424"/>
      <c r="B30" s="418"/>
      <c r="C30" s="418"/>
      <c r="D30" s="451"/>
      <c r="F30" s="452"/>
      <c r="G30" s="418"/>
      <c r="H30" s="418"/>
      <c r="J30" s="418"/>
      <c r="K30" s="418"/>
      <c r="L30" s="418"/>
      <c r="M30" s="418"/>
    </row>
    <row r="31" spans="1:14">
      <c r="A31" s="424"/>
      <c r="B31" s="418"/>
      <c r="C31" s="418"/>
      <c r="D31" s="453" t="s">
        <v>494</v>
      </c>
      <c r="E31" s="452"/>
      <c r="F31" s="454"/>
      <c r="G31" s="455"/>
      <c r="H31" s="418"/>
      <c r="I31" s="456" t="s">
        <v>495</v>
      </c>
      <c r="J31" s="418"/>
      <c r="K31" s="418"/>
      <c r="L31" s="418"/>
      <c r="M31" s="418"/>
    </row>
    <row r="32" spans="1:14" ht="16.2" thickBot="1">
      <c r="A32" s="424"/>
      <c r="B32" s="418"/>
      <c r="C32" s="418"/>
      <c r="D32" s="457" t="s">
        <v>9</v>
      </c>
      <c r="E32" s="424"/>
      <c r="F32" s="424"/>
      <c r="G32" s="424"/>
      <c r="H32" s="424"/>
      <c r="I32" s="458" t="str">
        <f>D32</f>
        <v>Total</v>
      </c>
      <c r="K32" s="418"/>
      <c r="L32" s="418"/>
      <c r="M32" s="418"/>
    </row>
    <row r="33" spans="1:13">
      <c r="A33" s="424">
        <f>MAX($A$11:A32)+1</f>
        <v>11</v>
      </c>
      <c r="B33" s="418" t="s">
        <v>489</v>
      </c>
      <c r="C33" s="2" t="s">
        <v>837</v>
      </c>
      <c r="D33" s="459">
        <f ca="1">I20/I26</f>
        <v>45630.181921730371</v>
      </c>
      <c r="E33" s="460"/>
      <c r="F33" s="461"/>
      <c r="G33" s="462"/>
      <c r="H33" s="462"/>
      <c r="I33" s="459">
        <f ca="1">I20/I26</f>
        <v>45630.181921730371</v>
      </c>
      <c r="J33" s="844"/>
      <c r="K33" s="420"/>
      <c r="L33" s="418"/>
      <c r="M33" s="418"/>
    </row>
    <row r="34" spans="1:13">
      <c r="A34" s="424">
        <f>MAX($A$11:A33)+1</f>
        <v>12</v>
      </c>
      <c r="B34" s="418" t="s">
        <v>490</v>
      </c>
      <c r="C34" s="2" t="s">
        <v>838</v>
      </c>
      <c r="D34" s="462">
        <f ca="1">D33/12</f>
        <v>3802.5151601441976</v>
      </c>
      <c r="E34" s="460"/>
      <c r="F34" s="462"/>
      <c r="G34" s="462"/>
      <c r="H34" s="462"/>
      <c r="I34" s="462">
        <f ca="1">I33/12</f>
        <v>3802.5151601441976</v>
      </c>
      <c r="J34" s="844"/>
      <c r="K34" s="420"/>
      <c r="L34" s="418"/>
      <c r="M34" s="418"/>
    </row>
    <row r="35" spans="1:13">
      <c r="A35" s="424">
        <f>MAX($A$11:A34)+1</f>
        <v>13</v>
      </c>
      <c r="B35" s="418" t="s">
        <v>491</v>
      </c>
      <c r="C35" s="568" t="s">
        <v>839</v>
      </c>
      <c r="D35" s="462">
        <f ca="1">D33/52</f>
        <v>877.50349849481483</v>
      </c>
      <c r="E35" s="460"/>
      <c r="F35" s="463"/>
      <c r="G35" s="464"/>
      <c r="H35" s="462"/>
      <c r="I35" s="462">
        <f ca="1">I33/52</f>
        <v>877.50349849481483</v>
      </c>
      <c r="J35" s="844"/>
      <c r="K35" s="465"/>
      <c r="L35" s="418"/>
      <c r="M35" s="418"/>
    </row>
    <row r="36" spans="1:13">
      <c r="A36" s="424">
        <f>MAX($A$11:A35)+1</f>
        <v>14</v>
      </c>
      <c r="B36" s="418" t="s">
        <v>492</v>
      </c>
      <c r="C36" s="568" t="s">
        <v>840</v>
      </c>
      <c r="D36" s="462">
        <f ca="1">D35/5</f>
        <v>175.50069969896296</v>
      </c>
      <c r="E36" s="460"/>
      <c r="F36" s="463"/>
      <c r="G36" s="464"/>
      <c r="H36" s="462"/>
      <c r="I36" s="462">
        <f ca="1">I35/7</f>
        <v>125.3576426421164</v>
      </c>
      <c r="J36" s="844"/>
      <c r="K36" s="465"/>
      <c r="L36" s="418"/>
      <c r="M36" s="418"/>
    </row>
    <row r="37" spans="1:13">
      <c r="A37" s="424">
        <f>MAX($A$11:A36)+1</f>
        <v>15</v>
      </c>
      <c r="B37" s="418" t="s">
        <v>493</v>
      </c>
      <c r="C37" s="2" t="s">
        <v>841</v>
      </c>
      <c r="D37" s="462">
        <f ca="1">D33/4160</f>
        <v>10.968793731185185</v>
      </c>
      <c r="E37" s="460"/>
      <c r="F37" s="463"/>
      <c r="G37" s="464"/>
      <c r="H37" s="462"/>
      <c r="I37" s="449">
        <f ca="1">I33/8760</f>
        <v>5.2089248769098599</v>
      </c>
      <c r="J37" s="844"/>
      <c r="K37" s="465"/>
      <c r="L37" s="418"/>
      <c r="M37" s="418"/>
    </row>
    <row r="38" spans="1:13">
      <c r="A38" s="424"/>
      <c r="B38" s="418"/>
      <c r="C38" s="418"/>
      <c r="D38" s="461"/>
      <c r="E38" s="460"/>
      <c r="F38" s="460"/>
      <c r="G38" s="466"/>
      <c r="H38" s="461"/>
      <c r="I38" s="467"/>
      <c r="J38" s="468"/>
      <c r="K38" s="418" t="s">
        <v>3</v>
      </c>
      <c r="L38" s="418"/>
      <c r="M38" s="418"/>
    </row>
    <row r="39" spans="1:13">
      <c r="A39" s="424"/>
      <c r="B39" s="418"/>
      <c r="C39" s="418"/>
      <c r="D39" s="462"/>
      <c r="E39" s="462"/>
      <c r="F39" s="464"/>
      <c r="G39" s="463"/>
      <c r="H39" s="462"/>
      <c r="I39" s="449"/>
      <c r="J39" s="418"/>
      <c r="K39" s="418" t="s">
        <v>3</v>
      </c>
      <c r="L39" s="418"/>
      <c r="M39" s="418"/>
    </row>
    <row r="40" spans="1:13">
      <c r="A40" s="1"/>
      <c r="B40" s="418"/>
      <c r="C40" s="418"/>
      <c r="D40" s="462"/>
      <c r="E40" s="462"/>
      <c r="F40" s="464"/>
      <c r="G40" s="463"/>
      <c r="H40" s="462"/>
      <c r="I40" s="449"/>
      <c r="J40" s="418"/>
      <c r="K40" s="16"/>
      <c r="L40" s="418"/>
      <c r="M40" s="418"/>
    </row>
    <row r="41" spans="1:13" ht="16.5" customHeight="1">
      <c r="B41" s="418"/>
      <c r="C41" s="418"/>
      <c r="D41" s="419"/>
      <c r="E41" s="418"/>
      <c r="F41" s="418"/>
      <c r="G41" s="418"/>
      <c r="H41" s="418"/>
      <c r="I41" s="418"/>
      <c r="K41" s="420" t="str">
        <f>K1</f>
        <v>Attachment  H-4A</v>
      </c>
      <c r="L41" s="418"/>
      <c r="M41" s="418"/>
    </row>
    <row r="42" spans="1:13" ht="16.5" customHeight="1">
      <c r="B42" s="418"/>
      <c r="C42" s="418"/>
      <c r="D42" s="419"/>
      <c r="E42" s="418"/>
      <c r="F42" s="418"/>
      <c r="G42" s="418"/>
      <c r="H42" s="418"/>
      <c r="I42" s="418"/>
      <c r="J42" s="418"/>
      <c r="K42" s="420" t="s">
        <v>15</v>
      </c>
      <c r="L42" s="418"/>
      <c r="M42" s="418"/>
    </row>
    <row r="43" spans="1:13" ht="16.5" customHeight="1">
      <c r="B43" s="418"/>
      <c r="C43" s="418"/>
      <c r="D43" s="419"/>
      <c r="E43" s="418"/>
      <c r="F43" s="418"/>
      <c r="G43" s="418"/>
      <c r="H43" s="418"/>
      <c r="I43" s="418"/>
      <c r="J43" s="418"/>
      <c r="K43" s="420"/>
      <c r="L43" s="418"/>
      <c r="M43" s="418"/>
    </row>
    <row r="44" spans="1:13">
      <c r="B44" s="418" t="s">
        <v>1</v>
      </c>
      <c r="C44" s="418"/>
      <c r="D44" s="419" t="s">
        <v>2</v>
      </c>
      <c r="E44" s="418"/>
      <c r="F44" s="418"/>
      <c r="G44" s="418"/>
      <c r="H44" s="418"/>
      <c r="J44" s="418"/>
      <c r="K44" s="420" t="str">
        <f>K4</f>
        <v>For the 12 months ended 12/31/2023</v>
      </c>
      <c r="L44" s="418"/>
      <c r="M44" s="418"/>
    </row>
    <row r="45" spans="1:13">
      <c r="B45" s="418"/>
      <c r="C45" s="423" t="s">
        <v>3</v>
      </c>
      <c r="D45" s="423" t="s">
        <v>4</v>
      </c>
      <c r="E45" s="423"/>
      <c r="F45" s="423"/>
      <c r="G45" s="423"/>
      <c r="H45" s="418"/>
      <c r="I45" s="418"/>
      <c r="J45" s="418"/>
      <c r="K45" s="418"/>
      <c r="L45" s="418"/>
      <c r="M45" s="418"/>
    </row>
    <row r="46" spans="1:13">
      <c r="B46" s="418"/>
      <c r="C46" s="423"/>
      <c r="D46" s="423"/>
      <c r="E46" s="423"/>
      <c r="F46" s="423"/>
      <c r="G46" s="423"/>
      <c r="H46" s="418"/>
      <c r="I46" s="418"/>
      <c r="J46" s="418"/>
      <c r="K46" s="418"/>
      <c r="L46" s="418"/>
      <c r="M46" s="418"/>
    </row>
    <row r="47" spans="1:13">
      <c r="B47" s="418"/>
      <c r="C47" s="418"/>
      <c r="D47" s="423" t="str">
        <f>D7</f>
        <v>Jersey Central Power &amp; Light</v>
      </c>
      <c r="E47" s="423"/>
      <c r="F47" s="423"/>
      <c r="G47" s="423"/>
      <c r="H47" s="423"/>
      <c r="I47" s="423"/>
      <c r="J47" s="423"/>
      <c r="K47" s="423"/>
      <c r="L47" s="423"/>
      <c r="M47" s="423"/>
    </row>
    <row r="48" spans="1:13">
      <c r="B48" s="424" t="s">
        <v>16</v>
      </c>
      <c r="C48" s="424" t="s">
        <v>17</v>
      </c>
      <c r="D48" s="424" t="s">
        <v>18</v>
      </c>
      <c r="E48" s="423" t="s">
        <v>3</v>
      </c>
      <c r="F48" s="423"/>
      <c r="G48" s="426" t="s">
        <v>19</v>
      </c>
      <c r="H48" s="423"/>
      <c r="I48" s="427" t="s">
        <v>20</v>
      </c>
      <c r="J48" s="423"/>
      <c r="K48" s="427"/>
      <c r="L48" s="424"/>
      <c r="M48" s="423"/>
    </row>
    <row r="49" spans="1:13">
      <c r="B49" s="418"/>
      <c r="C49" s="469"/>
      <c r="D49" s="423"/>
      <c r="E49" s="423"/>
      <c r="F49" s="423"/>
      <c r="G49" s="424"/>
      <c r="H49" s="423"/>
      <c r="I49" s="470" t="s">
        <v>22</v>
      </c>
      <c r="J49" s="423"/>
      <c r="K49" s="471"/>
      <c r="L49" s="424"/>
      <c r="M49" s="424"/>
    </row>
    <row r="50" spans="1:13">
      <c r="A50" s="424" t="s">
        <v>5</v>
      </c>
      <c r="B50" s="418"/>
      <c r="C50" s="469" t="s">
        <v>232</v>
      </c>
      <c r="D50" s="470" t="s">
        <v>23</v>
      </c>
      <c r="E50" s="472"/>
      <c r="F50" s="470" t="s">
        <v>24</v>
      </c>
      <c r="H50" s="472"/>
      <c r="I50" s="424" t="s">
        <v>25</v>
      </c>
      <c r="J50" s="423"/>
      <c r="K50" s="473"/>
      <c r="L50" s="424"/>
      <c r="M50" s="424"/>
    </row>
    <row r="51" spans="1:13" ht="16.2" thickBot="1">
      <c r="A51" s="428" t="s">
        <v>7</v>
      </c>
      <c r="B51" s="2" t="s">
        <v>26</v>
      </c>
      <c r="C51" s="423"/>
      <c r="D51" s="423"/>
      <c r="E51" s="423"/>
      <c r="F51" s="423"/>
      <c r="G51" s="423"/>
      <c r="H51" s="423"/>
      <c r="I51" s="423"/>
      <c r="J51" s="423"/>
      <c r="K51" s="423"/>
      <c r="L51" s="423"/>
      <c r="M51" s="423"/>
    </row>
    <row r="52" spans="1:13">
      <c r="A52" s="424"/>
      <c r="B52" s="418" t="s">
        <v>27</v>
      </c>
      <c r="C52" s="423"/>
      <c r="D52" s="423"/>
      <c r="E52" s="423"/>
      <c r="F52" s="423"/>
      <c r="G52" s="423"/>
      <c r="H52" s="423"/>
      <c r="I52" s="423"/>
      <c r="J52" s="423"/>
      <c r="L52" s="423"/>
      <c r="M52" s="423"/>
    </row>
    <row r="53" spans="1:13">
      <c r="A53" s="424">
        <v>1</v>
      </c>
      <c r="B53" s="418" t="s">
        <v>28</v>
      </c>
      <c r="C53" s="561" t="s">
        <v>956</v>
      </c>
      <c r="D53" s="436">
        <f>'Attachment 3 - Gross Plant'!E22</f>
        <v>0</v>
      </c>
      <c r="E53" s="1036"/>
      <c r="F53" s="423" t="s">
        <v>29</v>
      </c>
      <c r="G53" s="475" t="s">
        <v>3</v>
      </c>
      <c r="H53" s="423"/>
      <c r="I53" s="423" t="s">
        <v>3</v>
      </c>
      <c r="J53" s="423"/>
      <c r="K53" s="466"/>
      <c r="L53" s="417"/>
      <c r="M53" s="423"/>
    </row>
    <row r="54" spans="1:13">
      <c r="A54" s="424">
        <f>MAX($A$53:A53)+1</f>
        <v>2</v>
      </c>
      <c r="B54" s="418" t="s">
        <v>30</v>
      </c>
      <c r="C54" s="561" t="s">
        <v>957</v>
      </c>
      <c r="D54" s="436">
        <f>'Attachment 3 - Gross Plant'!F22</f>
        <v>1948638808.1407704</v>
      </c>
      <c r="E54" s="1036"/>
      <c r="F54" s="423" t="s">
        <v>11</v>
      </c>
      <c r="G54" s="475">
        <f>I175</f>
        <v>1</v>
      </c>
      <c r="H54" s="423"/>
      <c r="I54" s="476">
        <f>+G54*D54</f>
        <v>1948638808.1407704</v>
      </c>
      <c r="J54" s="423"/>
      <c r="K54" s="466"/>
      <c r="L54" s="417"/>
      <c r="M54" s="423"/>
    </row>
    <row r="55" spans="1:13">
      <c r="A55" s="424">
        <f>MAX($A$53:A54)+1</f>
        <v>3</v>
      </c>
      <c r="B55" s="418" t="s">
        <v>31</v>
      </c>
      <c r="C55" s="561" t="s">
        <v>958</v>
      </c>
      <c r="D55" s="436">
        <f>'Attachment 3 - Gross Plant'!G22</f>
        <v>5544296730.7199993</v>
      </c>
      <c r="E55" s="1036"/>
      <c r="F55" s="423" t="s">
        <v>29</v>
      </c>
      <c r="G55" s="475" t="s">
        <v>3</v>
      </c>
      <c r="H55" s="423"/>
      <c r="I55" s="476" t="s">
        <v>3</v>
      </c>
      <c r="J55" s="423"/>
      <c r="K55" s="466"/>
      <c r="L55" s="417"/>
      <c r="M55" s="423"/>
    </row>
    <row r="56" spans="1:13" ht="16.2" thickBot="1">
      <c r="A56" s="424">
        <f>MAX($A$53:A55)+1</f>
        <v>4</v>
      </c>
      <c r="B56" s="418" t="s">
        <v>32</v>
      </c>
      <c r="C56" s="561" t="s">
        <v>959</v>
      </c>
      <c r="D56" s="477">
        <f>'Attachment 3 - Gross Plant'!H22+'Attachment 3 - Gross Plant'!I22</f>
        <v>479053156.39692318</v>
      </c>
      <c r="E56" s="1036"/>
      <c r="F56" s="561" t="s">
        <v>33</v>
      </c>
      <c r="G56" s="564">
        <f>I192</f>
        <v>8.0618739267835124E-2</v>
      </c>
      <c r="H56" s="423"/>
      <c r="I56" s="478">
        <f>+G56*D56</f>
        <v>38620661.51099699</v>
      </c>
      <c r="J56" s="423"/>
      <c r="K56" s="466"/>
      <c r="L56" s="417"/>
      <c r="M56" s="424"/>
    </row>
    <row r="57" spans="1:13">
      <c r="A57" s="424">
        <f>MAX($A$53:A56)+1</f>
        <v>5</v>
      </c>
      <c r="B57" s="2" t="s">
        <v>766</v>
      </c>
      <c r="C57" s="423"/>
      <c r="D57" s="476">
        <f>SUM(D53:D56)</f>
        <v>7971988695.2576923</v>
      </c>
      <c r="E57" s="1036"/>
      <c r="F57" s="423" t="s">
        <v>34</v>
      </c>
      <c r="G57" s="479">
        <f>IF(I57&gt;0,I57/D57,0)</f>
        <v>0.24928026689675703</v>
      </c>
      <c r="H57" s="423"/>
      <c r="I57" s="476">
        <f>SUM(I53:I56)</f>
        <v>1987259469.6517675</v>
      </c>
      <c r="J57" s="423"/>
      <c r="K57" s="480"/>
      <c r="L57" s="481"/>
      <c r="M57" s="423"/>
    </row>
    <row r="58" spans="1:13">
      <c r="A58" s="424"/>
      <c r="B58" s="418"/>
      <c r="C58" s="423"/>
      <c r="D58" s="476"/>
      <c r="E58" s="1036"/>
      <c r="F58" s="561"/>
      <c r="G58" s="479"/>
      <c r="H58" s="423"/>
      <c r="I58" s="476"/>
      <c r="J58" s="423"/>
      <c r="K58" s="480"/>
      <c r="L58" s="423"/>
      <c r="M58" s="423"/>
    </row>
    <row r="59" spans="1:13">
      <c r="A59" s="424">
        <f>MAX($A$53:A58)+1</f>
        <v>6</v>
      </c>
      <c r="B59" s="418" t="s">
        <v>35</v>
      </c>
      <c r="C59" s="423"/>
      <c r="D59" s="476"/>
      <c r="E59" s="1036"/>
      <c r="F59" s="423"/>
      <c r="G59" s="962"/>
      <c r="H59" s="423"/>
      <c r="I59" s="476"/>
      <c r="J59" s="423"/>
      <c r="K59" s="466"/>
      <c r="L59" s="417"/>
      <c r="M59" s="423"/>
    </row>
    <row r="60" spans="1:13">
      <c r="A60" s="424">
        <f>MAX($A$53:A59)+1</f>
        <v>7</v>
      </c>
      <c r="B60" s="418" t="str">
        <f>+B53</f>
        <v xml:space="preserve">  Production</v>
      </c>
      <c r="C60" s="561" t="s">
        <v>960</v>
      </c>
      <c r="D60" s="436">
        <f>'Attachment 4 - Accum Depr'!E22</f>
        <v>0</v>
      </c>
      <c r="E60" s="1036"/>
      <c r="F60" s="423" t="str">
        <f t="shared" ref="F60:G62" si="0">+F53</f>
        <v>NA</v>
      </c>
      <c r="G60" s="475" t="str">
        <f t="shared" si="0"/>
        <v xml:space="preserve"> </v>
      </c>
      <c r="H60" s="423"/>
      <c r="I60" s="476" t="s">
        <v>3</v>
      </c>
      <c r="J60" s="423"/>
      <c r="K60" s="466"/>
      <c r="L60" s="417"/>
      <c r="M60" s="423"/>
    </row>
    <row r="61" spans="1:13">
      <c r="A61" s="424">
        <f>MAX($A$53:A60)+1</f>
        <v>8</v>
      </c>
      <c r="B61" s="418" t="str">
        <f>+B54</f>
        <v xml:space="preserve">  Transmission</v>
      </c>
      <c r="C61" s="561" t="s">
        <v>961</v>
      </c>
      <c r="D61" s="436">
        <f>'Attachment 4 - Accum Depr'!F22</f>
        <v>476807978.33060658</v>
      </c>
      <c r="E61" s="1036"/>
      <c r="F61" s="423" t="str">
        <f t="shared" si="0"/>
        <v>TP</v>
      </c>
      <c r="G61" s="475">
        <f t="shared" si="0"/>
        <v>1</v>
      </c>
      <c r="H61" s="423"/>
      <c r="I61" s="476">
        <f>+G61*D61</f>
        <v>476807978.33060658</v>
      </c>
      <c r="J61" s="423"/>
      <c r="K61" s="466"/>
      <c r="L61" s="423"/>
      <c r="M61" s="423"/>
    </row>
    <row r="62" spans="1:13">
      <c r="A62" s="424">
        <f>MAX($A$53:A61)+1</f>
        <v>9</v>
      </c>
      <c r="B62" s="418" t="str">
        <f>+B55</f>
        <v xml:space="preserve">  Distribution</v>
      </c>
      <c r="C62" s="561" t="s">
        <v>962</v>
      </c>
      <c r="D62" s="436">
        <f>'Attachment 4 - Accum Depr'!G22</f>
        <v>1723948803.2499995</v>
      </c>
      <c r="E62" s="1036"/>
      <c r="F62" s="423" t="str">
        <f t="shared" si="0"/>
        <v>NA</v>
      </c>
      <c r="G62" s="475" t="str">
        <f t="shared" si="0"/>
        <v xml:space="preserve"> </v>
      </c>
      <c r="H62" s="423"/>
      <c r="I62" s="476" t="s">
        <v>3</v>
      </c>
      <c r="J62" s="423"/>
      <c r="K62" s="466"/>
      <c r="L62" s="423"/>
      <c r="M62" s="423"/>
    </row>
    <row r="63" spans="1:13" ht="16.2" thickBot="1">
      <c r="A63" s="424">
        <f>MAX($A$53:A62)+1</f>
        <v>10</v>
      </c>
      <c r="B63" s="418" t="str">
        <f>+B56</f>
        <v xml:space="preserve">  General &amp; Intangible</v>
      </c>
      <c r="C63" s="561" t="s">
        <v>963</v>
      </c>
      <c r="D63" s="477">
        <f>'Attachment 4 - Accum Depr'!H22+'Attachment 4 - Accum Depr'!I22</f>
        <v>231610331.83335894</v>
      </c>
      <c r="E63" s="1036"/>
      <c r="F63" s="561" t="s">
        <v>33</v>
      </c>
      <c r="G63" s="564">
        <f>+G56</f>
        <v>8.0618739267835124E-2</v>
      </c>
      <c r="H63" s="423"/>
      <c r="I63" s="478">
        <f>+G63*D63</f>
        <v>18672132.953810338</v>
      </c>
      <c r="J63" s="423"/>
      <c r="K63" s="466"/>
      <c r="L63" s="417"/>
      <c r="M63" s="424"/>
    </row>
    <row r="64" spans="1:13">
      <c r="A64" s="424">
        <f>MAX($A$53:A63)+1</f>
        <v>11</v>
      </c>
      <c r="B64" s="2" t="s">
        <v>767</v>
      </c>
      <c r="C64" s="423"/>
      <c r="D64" s="476">
        <f>SUM(D60:D63)</f>
        <v>2432367113.4139647</v>
      </c>
      <c r="E64" s="1036"/>
      <c r="F64" s="423"/>
      <c r="G64" s="423"/>
      <c r="H64" s="423"/>
      <c r="I64" s="476">
        <f>SUM(I60:I63)</f>
        <v>495480111.28441691</v>
      </c>
      <c r="J64" s="423"/>
      <c r="K64" s="466"/>
      <c r="L64" s="482"/>
      <c r="M64" s="423"/>
    </row>
    <row r="65" spans="1:14">
      <c r="A65" s="424"/>
      <c r="C65" s="423" t="s">
        <v>3</v>
      </c>
      <c r="E65" s="1036"/>
      <c r="F65" s="423"/>
      <c r="G65" s="479"/>
      <c r="H65" s="423"/>
      <c r="I65" s="449"/>
      <c r="J65" s="423"/>
      <c r="K65" s="480"/>
      <c r="L65" s="423"/>
      <c r="M65" s="423"/>
    </row>
    <row r="66" spans="1:14">
      <c r="A66" s="424">
        <f>MAX($A$53:A65)+1</f>
        <v>12</v>
      </c>
      <c r="B66" s="418" t="s">
        <v>38</v>
      </c>
      <c r="C66" s="423"/>
      <c r="D66" s="423"/>
      <c r="E66" s="1036"/>
      <c r="F66" s="423"/>
      <c r="G66" s="423"/>
      <c r="H66" s="423"/>
      <c r="I66" s="449"/>
      <c r="J66" s="423"/>
      <c r="K66" s="466"/>
      <c r="L66" s="423"/>
      <c r="M66" s="423"/>
    </row>
    <row r="67" spans="1:14">
      <c r="A67" s="424">
        <f>MAX($A$53:A66)+1</f>
        <v>13</v>
      </c>
      <c r="B67" s="418" t="str">
        <f>+B60</f>
        <v xml:space="preserve">  Production</v>
      </c>
      <c r="C67" s="423" t="s">
        <v>104</v>
      </c>
      <c r="D67" s="476">
        <f>D53-D60</f>
        <v>0</v>
      </c>
      <c r="E67" s="1036"/>
      <c r="F67" s="423"/>
      <c r="G67" s="479"/>
      <c r="H67" s="423"/>
      <c r="I67" s="570" t="s">
        <v>3</v>
      </c>
      <c r="J67" s="423"/>
      <c r="K67" s="480"/>
      <c r="L67" s="423"/>
      <c r="M67" s="423"/>
    </row>
    <row r="68" spans="1:14">
      <c r="A68" s="424">
        <f>MAX($A$53:A67)+1</f>
        <v>14</v>
      </c>
      <c r="B68" s="418" t="str">
        <f>+B61</f>
        <v xml:space="preserve">  Transmission</v>
      </c>
      <c r="C68" s="423" t="s">
        <v>105</v>
      </c>
      <c r="D68" s="476">
        <f>D54-D61</f>
        <v>1471830829.810164</v>
      </c>
      <c r="E68" s="1036"/>
      <c r="F68" s="423"/>
      <c r="G68" s="475"/>
      <c r="H68" s="423"/>
      <c r="I68" s="476">
        <f>I54-I61</f>
        <v>1471830829.810164</v>
      </c>
      <c r="J68" s="423"/>
      <c r="K68" s="466"/>
      <c r="L68" s="423"/>
      <c r="M68" s="423"/>
    </row>
    <row r="69" spans="1:14">
      <c r="A69" s="424">
        <f>MAX($A$53:A68)+1</f>
        <v>15</v>
      </c>
      <c r="B69" s="418" t="str">
        <f>+B62</f>
        <v xml:space="preserve">  Distribution</v>
      </c>
      <c r="C69" s="423" t="s">
        <v>106</v>
      </c>
      <c r="D69" s="476">
        <f>D55-D62</f>
        <v>3820347927.4699998</v>
      </c>
      <c r="E69" s="1036"/>
      <c r="F69" s="423"/>
      <c r="G69" s="479"/>
      <c r="H69" s="423"/>
      <c r="I69" s="476" t="s">
        <v>3</v>
      </c>
      <c r="J69" s="423"/>
      <c r="K69" s="483"/>
      <c r="L69" s="423"/>
      <c r="M69" s="423"/>
    </row>
    <row r="70" spans="1:14" ht="16.2" thickBot="1">
      <c r="A70" s="424">
        <f>MAX($A$53:A69)+1</f>
        <v>16</v>
      </c>
      <c r="B70" s="418" t="str">
        <f>+B63</f>
        <v xml:space="preserve">  General &amp; Intangible</v>
      </c>
      <c r="C70" s="423" t="s">
        <v>107</v>
      </c>
      <c r="D70" s="477">
        <f>D56-D63</f>
        <v>247442824.56356424</v>
      </c>
      <c r="E70" s="1036"/>
      <c r="F70" s="423"/>
      <c r="G70" s="479"/>
      <c r="H70" s="423"/>
      <c r="I70" s="478">
        <f>I56-I63</f>
        <v>19948528.557186652</v>
      </c>
      <c r="J70" s="423"/>
      <c r="K70" s="479"/>
      <c r="L70" s="423"/>
      <c r="M70" s="424"/>
    </row>
    <row r="71" spans="1:14">
      <c r="A71" s="424">
        <f>MAX($A$53:A70)+1</f>
        <v>17</v>
      </c>
      <c r="B71" s="2" t="s">
        <v>768</v>
      </c>
      <c r="C71" s="423"/>
      <c r="D71" s="476">
        <f>SUM(D67:D70)</f>
        <v>5539621581.8437281</v>
      </c>
      <c r="E71" s="1036"/>
      <c r="F71" s="479"/>
      <c r="G71" s="479"/>
      <c r="H71" s="423"/>
      <c r="I71" s="476">
        <f>SUM(I67:I70)</f>
        <v>1491779358.3673506</v>
      </c>
      <c r="J71" s="423"/>
      <c r="K71" s="423"/>
      <c r="L71" s="445"/>
      <c r="M71" s="423"/>
    </row>
    <row r="72" spans="1:14">
      <c r="A72" s="424"/>
      <c r="C72" s="423"/>
      <c r="D72" s="476"/>
      <c r="E72" s="1036"/>
      <c r="H72" s="423"/>
      <c r="I72" s="476"/>
      <c r="J72" s="423"/>
      <c r="K72" s="479"/>
      <c r="L72" s="423"/>
      <c r="M72" s="423"/>
    </row>
    <row r="73" spans="1:14">
      <c r="A73" s="424">
        <f>MAX($A$53:A72)+1</f>
        <v>18</v>
      </c>
      <c r="B73" s="418" t="s">
        <v>467</v>
      </c>
      <c r="C73" s="423"/>
      <c r="D73" s="476"/>
      <c r="E73" s="1036"/>
      <c r="F73" s="423"/>
      <c r="G73" s="423"/>
      <c r="H73" s="423"/>
      <c r="I73" s="476"/>
      <c r="J73" s="423"/>
      <c r="K73" s="423"/>
      <c r="L73" s="417"/>
      <c r="M73" s="423"/>
    </row>
    <row r="74" spans="1:14">
      <c r="A74" s="424">
        <f>MAX($A$53:A73)+1</f>
        <v>19</v>
      </c>
      <c r="B74" s="1" t="s">
        <v>731</v>
      </c>
      <c r="C74" s="561" t="s">
        <v>948</v>
      </c>
      <c r="D74" s="485">
        <f ca="1">'Attachment 5 - ADIT'!Y105</f>
        <v>-377535429.12039751</v>
      </c>
      <c r="E74" s="1036"/>
      <c r="F74" s="561" t="s">
        <v>250</v>
      </c>
      <c r="G74" s="475">
        <v>1</v>
      </c>
      <c r="H74" s="423"/>
      <c r="I74" s="485">
        <f ca="1">D74*G74</f>
        <v>-377535429.12039751</v>
      </c>
      <c r="J74" s="423"/>
      <c r="K74" s="479"/>
      <c r="L74" s="484"/>
      <c r="M74" s="424"/>
    </row>
    <row r="75" spans="1:14">
      <c r="A75" s="424">
        <f>MAX($A$53:A74)+1</f>
        <v>20</v>
      </c>
      <c r="B75" s="2" t="s">
        <v>684</v>
      </c>
      <c r="C75" s="2" t="s">
        <v>1033</v>
      </c>
      <c r="D75" s="485">
        <f ca="1">-'Attachment 14b - Unfunded Res'!AK46</f>
        <v>-396933.1471621677</v>
      </c>
      <c r="E75" s="1036"/>
      <c r="F75" s="423" t="s">
        <v>250</v>
      </c>
      <c r="G75" s="475">
        <v>1</v>
      </c>
      <c r="H75" s="423"/>
      <c r="I75" s="485">
        <f ca="1">D75*G75</f>
        <v>-396933.1471621677</v>
      </c>
      <c r="J75" s="423"/>
      <c r="K75" s="479"/>
      <c r="L75" s="484"/>
      <c r="M75" s="424"/>
    </row>
    <row r="76" spans="1:14">
      <c r="A76" s="424">
        <f>MAX($A$53:A75)+1</f>
        <v>21</v>
      </c>
      <c r="B76" s="2" t="s">
        <v>787</v>
      </c>
      <c r="C76" s="2" t="s">
        <v>970</v>
      </c>
      <c r="D76" s="805">
        <f>'Attachment 19 - Reg Asset-Liab'!AU27</f>
        <v>0</v>
      </c>
      <c r="E76" s="1036"/>
      <c r="F76" s="423" t="s">
        <v>250</v>
      </c>
      <c r="G76" s="475">
        <v>1</v>
      </c>
      <c r="H76" s="423"/>
      <c r="I76" s="485">
        <f>D76*G76</f>
        <v>0</v>
      </c>
      <c r="J76" s="423"/>
      <c r="K76" s="479"/>
      <c r="L76" s="484"/>
      <c r="M76" s="424"/>
    </row>
    <row r="77" spans="1:14">
      <c r="A77" s="424">
        <f>MAX($A$53:A76)+1</f>
        <v>22</v>
      </c>
      <c r="B77" s="417" t="s">
        <v>233</v>
      </c>
      <c r="C77" s="1" t="s">
        <v>1034</v>
      </c>
      <c r="D77" s="485">
        <f ca="1">'Attachment 17 - CWIP in RB'!AT14</f>
        <v>0</v>
      </c>
      <c r="E77" s="1036"/>
      <c r="F77" s="423" t="s">
        <v>250</v>
      </c>
      <c r="G77" s="475">
        <v>1</v>
      </c>
      <c r="H77" s="423"/>
      <c r="I77" s="485">
        <f ca="1">D77*G77</f>
        <v>0</v>
      </c>
      <c r="J77" s="423"/>
      <c r="K77" s="479"/>
      <c r="L77" s="423"/>
      <c r="M77" s="424"/>
    </row>
    <row r="78" spans="1:14" ht="16.2" thickBot="1">
      <c r="A78" s="424">
        <f>MAX($A$53:A77)+1</f>
        <v>23</v>
      </c>
      <c r="B78" s="1" t="s">
        <v>871</v>
      </c>
      <c r="C78" s="1" t="s">
        <v>971</v>
      </c>
      <c r="D78" s="880">
        <f>'Attachment 16 - Abandoned Plant'!H20</f>
        <v>0</v>
      </c>
      <c r="E78" s="1037"/>
      <c r="F78" s="561" t="s">
        <v>250</v>
      </c>
      <c r="G78" s="564">
        <f>G77</f>
        <v>1</v>
      </c>
      <c r="H78" s="561"/>
      <c r="I78" s="880">
        <f>D78*G78</f>
        <v>0</v>
      </c>
      <c r="J78" s="423"/>
      <c r="K78" s="479"/>
      <c r="L78" s="423"/>
      <c r="M78" s="424"/>
    </row>
    <row r="79" spans="1:14">
      <c r="A79" s="424">
        <f>MAX($A$53:A78)+1</f>
        <v>24</v>
      </c>
      <c r="B79" s="2" t="s">
        <v>873</v>
      </c>
      <c r="C79" s="423"/>
      <c r="D79" s="436">
        <f ca="1">SUM(D74:D78)</f>
        <v>-377932362.26755965</v>
      </c>
      <c r="E79" s="1038"/>
      <c r="F79" s="881"/>
      <c r="G79" s="881"/>
      <c r="H79" s="881"/>
      <c r="I79" s="436">
        <f ca="1">SUM(I74:I78)</f>
        <v>-377932362.26755965</v>
      </c>
      <c r="J79" s="423"/>
      <c r="K79" s="423"/>
      <c r="L79" s="482"/>
      <c r="M79" s="423"/>
      <c r="N79" s="487"/>
    </row>
    <row r="80" spans="1:14">
      <c r="A80" s="424"/>
      <c r="C80" s="423"/>
      <c r="D80" s="476"/>
      <c r="E80" s="1036"/>
      <c r="F80" s="423"/>
      <c r="G80" s="479"/>
      <c r="H80" s="423"/>
      <c r="I80" s="436"/>
      <c r="J80" s="423"/>
      <c r="K80" s="479"/>
      <c r="L80" s="423"/>
      <c r="M80" s="423"/>
    </row>
    <row r="81" spans="1:13">
      <c r="A81" s="424">
        <f>MAX($A$53:A80)+1</f>
        <v>25</v>
      </c>
      <c r="B81" s="2" t="s">
        <v>39</v>
      </c>
      <c r="C81" s="561" t="s">
        <v>949</v>
      </c>
      <c r="D81" s="559">
        <f ca="1">'Attachment 14a - Working Cap.'!AM20</f>
        <v>0</v>
      </c>
      <c r="E81" s="1036"/>
      <c r="F81" s="423" t="s">
        <v>250</v>
      </c>
      <c r="G81" s="475">
        <v>1</v>
      </c>
      <c r="H81" s="423"/>
      <c r="I81" s="436">
        <f ca="1">+G81*D81</f>
        <v>0</v>
      </c>
      <c r="J81" s="423"/>
      <c r="K81" s="423"/>
      <c r="L81" s="423"/>
      <c r="M81" s="423"/>
    </row>
    <row r="82" spans="1:13">
      <c r="A82" s="424"/>
      <c r="B82" s="2"/>
      <c r="C82" s="561"/>
      <c r="D82" s="566"/>
      <c r="E82" s="1036"/>
      <c r="F82" s="423"/>
      <c r="G82" s="423"/>
      <c r="H82" s="423"/>
      <c r="I82" s="476"/>
      <c r="J82" s="423"/>
      <c r="K82" s="423"/>
      <c r="L82" s="423"/>
      <c r="M82" s="423"/>
    </row>
    <row r="83" spans="1:13">
      <c r="A83" s="424">
        <f>MAX($A$53:A82)+1</f>
        <v>26</v>
      </c>
      <c r="B83" s="2" t="s">
        <v>950</v>
      </c>
      <c r="C83" s="561" t="s">
        <v>3</v>
      </c>
      <c r="D83" s="566"/>
      <c r="E83" s="1036"/>
      <c r="F83" s="423"/>
      <c r="G83" s="423"/>
      <c r="H83" s="423"/>
      <c r="I83" s="449"/>
      <c r="J83" s="423"/>
      <c r="K83" s="423"/>
      <c r="L83" s="423"/>
      <c r="M83" s="423"/>
    </row>
    <row r="84" spans="1:13">
      <c r="A84" s="424">
        <f>MAX($A$53:A83)+1</f>
        <v>27</v>
      </c>
      <c r="B84" s="2" t="s">
        <v>40</v>
      </c>
      <c r="C84" s="882" t="s">
        <v>775</v>
      </c>
      <c r="D84" s="559">
        <f>(D124-D123-11058264)/8</f>
        <v>6165804.2849435471</v>
      </c>
      <c r="E84" s="1036"/>
      <c r="F84" s="423"/>
      <c r="G84" s="479"/>
      <c r="H84" s="423"/>
      <c r="I84" s="436">
        <f>(I124-I123-891503)/8</f>
        <v>7436649.4099435471</v>
      </c>
      <c r="J84" s="1030"/>
      <c r="K84" s="479"/>
      <c r="L84" s="488"/>
      <c r="M84" s="424"/>
    </row>
    <row r="85" spans="1:13">
      <c r="A85" s="424">
        <f>MAX($A$53:A84)+1</f>
        <v>28</v>
      </c>
      <c r="B85" s="2" t="s">
        <v>784</v>
      </c>
      <c r="C85" s="561" t="s">
        <v>964</v>
      </c>
      <c r="D85" s="559">
        <f ca="1">'Attachment 14a - Working Cap.'!AM17</f>
        <v>0</v>
      </c>
      <c r="E85" s="1036"/>
      <c r="F85" s="561" t="s">
        <v>250</v>
      </c>
      <c r="G85" s="475">
        <v>1</v>
      </c>
      <c r="H85" s="423"/>
      <c r="I85" s="436">
        <f ca="1">+G85*D85</f>
        <v>0</v>
      </c>
      <c r="J85" s="423" t="s">
        <v>3</v>
      </c>
      <c r="K85" s="479"/>
      <c r="L85" s="488"/>
      <c r="M85" s="424"/>
    </row>
    <row r="86" spans="1:13" ht="16.2" thickBot="1">
      <c r="A86" s="424">
        <f>MAX($A$53:A85)+1</f>
        <v>29</v>
      </c>
      <c r="B86" s="2" t="s">
        <v>41</v>
      </c>
      <c r="C86" s="882" t="s">
        <v>965</v>
      </c>
      <c r="D86" s="560">
        <f ca="1">'Attachment 14a - Working Cap.'!AM14</f>
        <v>0</v>
      </c>
      <c r="E86" s="423"/>
      <c r="F86" s="561" t="s">
        <v>250</v>
      </c>
      <c r="G86" s="475">
        <v>1</v>
      </c>
      <c r="H86" s="423"/>
      <c r="I86" s="477">
        <f ca="1">+G86*D86</f>
        <v>0</v>
      </c>
      <c r="J86" s="423"/>
      <c r="K86" s="479"/>
      <c r="L86" s="488"/>
      <c r="M86" s="424"/>
    </row>
    <row r="87" spans="1:13">
      <c r="A87" s="424">
        <f>MAX($A$53:A86)+1</f>
        <v>30</v>
      </c>
      <c r="B87" s="2" t="s">
        <v>874</v>
      </c>
      <c r="C87" s="2"/>
      <c r="D87" s="559">
        <f ca="1">SUM(D84:D86)</f>
        <v>6165804.2849435471</v>
      </c>
      <c r="E87" s="418"/>
      <c r="F87" s="418"/>
      <c r="G87" s="418"/>
      <c r="H87" s="418"/>
      <c r="I87" s="436">
        <f ca="1">SUM(I84:I86)</f>
        <v>7436649.4099435471</v>
      </c>
      <c r="J87" s="418"/>
      <c r="K87" s="418"/>
      <c r="L87" s="419"/>
      <c r="M87" s="423"/>
    </row>
    <row r="88" spans="1:13" ht="16.2" thickBot="1">
      <c r="A88" s="424"/>
      <c r="B88" s="1"/>
      <c r="C88" s="561"/>
      <c r="D88" s="560"/>
      <c r="E88" s="423"/>
      <c r="F88" s="423"/>
      <c r="G88" s="423"/>
      <c r="H88" s="423"/>
      <c r="I88" s="477"/>
      <c r="J88" s="423"/>
      <c r="K88" s="423"/>
      <c r="L88" s="423"/>
      <c r="M88" s="423"/>
    </row>
    <row r="89" spans="1:13" ht="16.2" thickBot="1">
      <c r="A89" s="424">
        <f>MAX($A$53:A88)+1</f>
        <v>31</v>
      </c>
      <c r="B89" s="2" t="s">
        <v>875</v>
      </c>
      <c r="C89" s="561"/>
      <c r="D89" s="567">
        <f ca="1">+D87+D81+D79+D71</f>
        <v>5167855023.8611116</v>
      </c>
      <c r="E89" s="423"/>
      <c r="F89" s="423"/>
      <c r="G89" s="479"/>
      <c r="H89" s="423"/>
      <c r="I89" s="883">
        <f ca="1">+I87+I81+I79+I71</f>
        <v>1121283645.5097344</v>
      </c>
      <c r="J89" s="423"/>
      <c r="K89" s="479"/>
      <c r="L89" s="423"/>
      <c r="M89" s="423"/>
    </row>
    <row r="90" spans="1:13" ht="16.2" thickTop="1">
      <c r="A90" s="424"/>
      <c r="B90" s="418"/>
      <c r="C90" s="423"/>
      <c r="D90" s="467"/>
      <c r="E90" s="423"/>
      <c r="F90" s="423"/>
      <c r="G90" s="479"/>
      <c r="H90" s="423"/>
      <c r="I90" s="423"/>
      <c r="J90" s="423"/>
      <c r="K90" s="479"/>
      <c r="L90" s="423"/>
      <c r="M90" s="423"/>
    </row>
    <row r="91" spans="1:13">
      <c r="A91" s="424"/>
      <c r="B91" s="418"/>
      <c r="C91" s="423"/>
      <c r="D91" s="467"/>
      <c r="E91" s="423"/>
      <c r="F91" s="423"/>
      <c r="G91" s="479"/>
      <c r="H91" s="423"/>
      <c r="I91" s="423"/>
      <c r="J91" s="423"/>
      <c r="K91" s="479"/>
      <c r="L91" s="423"/>
      <c r="M91" s="423"/>
    </row>
    <row r="92" spans="1:13">
      <c r="A92" s="424"/>
      <c r="B92" s="418"/>
      <c r="C92" s="423"/>
      <c r="D92" s="467"/>
      <c r="E92" s="423"/>
      <c r="F92" s="423"/>
      <c r="G92" s="479"/>
      <c r="H92" s="423"/>
      <c r="I92" s="423"/>
      <c r="J92" s="423"/>
      <c r="K92" s="479"/>
      <c r="L92" s="423"/>
      <c r="M92" s="423"/>
    </row>
    <row r="93" spans="1:13">
      <c r="A93" s="424"/>
      <c r="B93" s="418"/>
      <c r="C93" s="423"/>
      <c r="D93" s="423"/>
      <c r="E93" s="423"/>
      <c r="F93" s="423"/>
      <c r="G93" s="479"/>
      <c r="H93" s="423"/>
      <c r="I93" s="423"/>
      <c r="J93" s="423"/>
      <c r="K93" s="479"/>
      <c r="L93" s="423"/>
      <c r="M93" s="423"/>
    </row>
    <row r="94" spans="1:13">
      <c r="A94" s="424"/>
      <c r="B94" s="418"/>
      <c r="C94" s="423"/>
      <c r="D94" s="423"/>
      <c r="E94" s="423"/>
      <c r="F94" s="423"/>
      <c r="G94" s="479"/>
      <c r="H94" s="423"/>
      <c r="I94" s="423"/>
      <c r="J94" s="423"/>
      <c r="K94" s="479"/>
      <c r="L94" s="423"/>
      <c r="M94" s="423"/>
    </row>
    <row r="95" spans="1:13">
      <c r="A95" s="424"/>
      <c r="B95" s="418"/>
      <c r="C95" s="423"/>
      <c r="D95" s="423"/>
      <c r="E95" s="423"/>
      <c r="F95" s="423"/>
      <c r="G95" s="479"/>
      <c r="H95" s="423"/>
      <c r="I95" s="423"/>
      <c r="J95" s="423"/>
      <c r="K95" s="479"/>
      <c r="L95" s="423"/>
      <c r="M95" s="423"/>
    </row>
    <row r="96" spans="1:13">
      <c r="A96" s="424"/>
      <c r="B96" s="418"/>
      <c r="C96" s="423"/>
      <c r="D96" s="423"/>
      <c r="E96" s="423"/>
      <c r="F96" s="423"/>
      <c r="G96" s="479"/>
      <c r="H96" s="423"/>
      <c r="I96" s="423"/>
      <c r="J96" s="423"/>
      <c r="K96" s="479"/>
      <c r="L96" s="423"/>
      <c r="M96" s="423"/>
    </row>
    <row r="97" spans="1:13">
      <c r="A97" s="424"/>
      <c r="B97" s="418"/>
      <c r="C97" s="423"/>
      <c r="D97" s="423"/>
      <c r="E97" s="423"/>
      <c r="F97" s="423"/>
      <c r="G97" s="479"/>
      <c r="H97" s="423"/>
      <c r="I97" s="423"/>
      <c r="J97" s="423"/>
      <c r="K97" s="479"/>
      <c r="L97" s="423"/>
      <c r="M97" s="423"/>
    </row>
    <row r="98" spans="1:13">
      <c r="A98" s="424"/>
      <c r="B98" s="418"/>
      <c r="C98" s="423"/>
      <c r="D98" s="423"/>
      <c r="E98" s="423"/>
      <c r="F98" s="423"/>
      <c r="G98" s="479"/>
      <c r="H98" s="423"/>
      <c r="I98" s="423"/>
      <c r="J98" s="423"/>
      <c r="K98" s="479"/>
      <c r="L98" s="423"/>
      <c r="M98" s="423"/>
    </row>
    <row r="99" spans="1:13">
      <c r="A99" s="424"/>
      <c r="B99" s="418"/>
      <c r="C99" s="423"/>
      <c r="D99" s="423"/>
      <c r="E99" s="423"/>
      <c r="F99" s="423"/>
      <c r="G99" s="479"/>
      <c r="H99" s="423"/>
      <c r="I99" s="423"/>
      <c r="J99" s="423"/>
      <c r="K99" s="479"/>
      <c r="L99" s="423"/>
      <c r="M99" s="423"/>
    </row>
    <row r="100" spans="1:13">
      <c r="A100" s="424"/>
      <c r="B100" s="418"/>
      <c r="C100" s="423"/>
      <c r="D100" s="423"/>
      <c r="E100" s="423"/>
      <c r="F100" s="423"/>
      <c r="G100" s="479"/>
      <c r="H100" s="423"/>
      <c r="I100" s="423"/>
      <c r="J100" s="423"/>
      <c r="K100" s="479"/>
      <c r="L100" s="423"/>
      <c r="M100" s="423"/>
    </row>
    <row r="101" spans="1:13">
      <c r="A101" s="424"/>
      <c r="B101" s="418"/>
      <c r="C101" s="423"/>
      <c r="D101" s="423"/>
      <c r="E101" s="423"/>
      <c r="F101" s="423"/>
      <c r="G101" s="479"/>
      <c r="H101" s="423"/>
      <c r="I101" s="423"/>
      <c r="J101" s="423"/>
      <c r="K101" s="479"/>
      <c r="L101" s="423"/>
      <c r="M101" s="423"/>
    </row>
    <row r="102" spans="1:13">
      <c r="A102" s="424"/>
      <c r="B102" s="418"/>
      <c r="C102" s="423"/>
      <c r="D102" s="423"/>
      <c r="E102" s="423"/>
      <c r="F102" s="423"/>
      <c r="G102" s="479"/>
      <c r="H102" s="423"/>
      <c r="I102" s="423"/>
      <c r="J102" s="423"/>
      <c r="K102" s="479"/>
      <c r="L102" s="423"/>
      <c r="M102" s="423"/>
    </row>
    <row r="103" spans="1:13">
      <c r="A103" s="424"/>
      <c r="B103" s="418"/>
      <c r="C103" s="423"/>
      <c r="D103" s="423"/>
      <c r="E103" s="423"/>
      <c r="F103" s="423"/>
      <c r="G103" s="479"/>
      <c r="H103" s="423"/>
      <c r="I103" s="423"/>
      <c r="J103" s="423"/>
      <c r="K103" s="479"/>
      <c r="L103" s="423"/>
      <c r="M103" s="423"/>
    </row>
    <row r="104" spans="1:13">
      <c r="A104" s="489"/>
      <c r="B104" s="418"/>
      <c r="C104" s="423"/>
      <c r="D104" s="423"/>
      <c r="E104" s="423"/>
      <c r="F104" s="423"/>
      <c r="G104" s="479"/>
      <c r="H104" s="423"/>
      <c r="I104" s="423"/>
      <c r="J104" s="423"/>
      <c r="K104" s="473"/>
      <c r="L104" s="417"/>
    </row>
    <row r="105" spans="1:13">
      <c r="A105" s="489"/>
      <c r="B105" s="418"/>
      <c r="C105" s="423"/>
      <c r="D105" s="423"/>
      <c r="E105" s="423"/>
      <c r="F105" s="423"/>
      <c r="G105" s="479"/>
      <c r="H105" s="423"/>
      <c r="I105" s="423"/>
      <c r="J105" s="423"/>
      <c r="K105" s="473"/>
      <c r="L105" s="417"/>
    </row>
    <row r="106" spans="1:13">
      <c r="B106" s="418"/>
      <c r="C106" s="418"/>
      <c r="D106" s="419"/>
      <c r="E106" s="418"/>
      <c r="F106" s="418"/>
      <c r="G106" s="418"/>
      <c r="H106" s="418"/>
      <c r="I106" s="424"/>
      <c r="J106" s="424"/>
      <c r="K106" s="420"/>
      <c r="L106" s="418"/>
      <c r="M106" s="418"/>
    </row>
    <row r="107" spans="1:13">
      <c r="B107" s="418"/>
      <c r="C107" s="418"/>
      <c r="D107" s="419"/>
      <c r="E107" s="418"/>
      <c r="F107" s="418"/>
      <c r="G107" s="418"/>
      <c r="H107" s="418"/>
      <c r="I107" s="420"/>
      <c r="J107" s="420"/>
      <c r="K107" s="420"/>
      <c r="L107" s="418"/>
      <c r="M107" s="418"/>
    </row>
    <row r="108" spans="1:13">
      <c r="A108" s="1"/>
      <c r="B108" s="418"/>
      <c r="C108" s="418"/>
      <c r="D108" s="419"/>
      <c r="E108" s="418"/>
      <c r="F108" s="418"/>
      <c r="G108" s="418"/>
      <c r="H108" s="418"/>
      <c r="I108" s="420"/>
      <c r="J108" s="420"/>
      <c r="K108" s="16"/>
      <c r="L108" s="418"/>
      <c r="M108" s="418"/>
    </row>
    <row r="109" spans="1:13" ht="16.5" customHeight="1">
      <c r="B109" s="418"/>
      <c r="C109" s="418"/>
      <c r="D109" s="419"/>
      <c r="E109" s="418"/>
      <c r="F109" s="418"/>
      <c r="G109" s="418"/>
      <c r="H109" s="418"/>
      <c r="I109" s="418"/>
      <c r="K109" s="420" t="str">
        <f>K41</f>
        <v>Attachment  H-4A</v>
      </c>
      <c r="L109" s="418"/>
      <c r="M109" s="418"/>
    </row>
    <row r="110" spans="1:13" ht="16.5" customHeight="1">
      <c r="B110" s="418"/>
      <c r="C110" s="418"/>
      <c r="D110" s="419"/>
      <c r="E110" s="418"/>
      <c r="F110" s="418"/>
      <c r="G110" s="418"/>
      <c r="H110" s="418"/>
      <c r="I110" s="418"/>
      <c r="J110" s="418"/>
      <c r="K110" s="420" t="s">
        <v>100</v>
      </c>
      <c r="L110" s="418"/>
      <c r="M110" s="418"/>
    </row>
    <row r="111" spans="1:13" ht="16.5" customHeight="1">
      <c r="B111" s="418"/>
      <c r="C111" s="418"/>
      <c r="D111" s="419"/>
      <c r="E111" s="418"/>
      <c r="F111" s="418"/>
      <c r="G111" s="418"/>
      <c r="H111" s="418"/>
      <c r="I111" s="418"/>
      <c r="J111" s="418"/>
      <c r="K111" s="420"/>
      <c r="L111" s="418"/>
      <c r="M111" s="418"/>
    </row>
    <row r="112" spans="1:13">
      <c r="B112" s="418" t="s">
        <v>1</v>
      </c>
      <c r="C112" s="418"/>
      <c r="D112" s="419" t="s">
        <v>2</v>
      </c>
      <c r="E112" s="418"/>
      <c r="F112" s="418"/>
      <c r="G112" s="418"/>
      <c r="H112" s="418"/>
      <c r="J112" s="418"/>
      <c r="K112" s="420" t="str">
        <f>K4</f>
        <v>For the 12 months ended 12/31/2023</v>
      </c>
      <c r="L112" s="418"/>
      <c r="M112" s="418"/>
    </row>
    <row r="113" spans="1:13">
      <c r="B113" s="418"/>
      <c r="C113" s="423" t="s">
        <v>3</v>
      </c>
      <c r="D113" s="423" t="s">
        <v>4</v>
      </c>
      <c r="E113" s="423"/>
      <c r="F113" s="423"/>
      <c r="G113" s="423"/>
      <c r="H113" s="418"/>
      <c r="I113" s="418"/>
      <c r="J113" s="418"/>
      <c r="K113" s="418"/>
      <c r="L113" s="418"/>
      <c r="M113" s="418"/>
    </row>
    <row r="114" spans="1:13">
      <c r="B114" s="418"/>
      <c r="C114" s="423"/>
      <c r="D114" s="423"/>
      <c r="E114" s="423"/>
      <c r="F114" s="423"/>
      <c r="G114" s="423"/>
      <c r="H114" s="418"/>
      <c r="I114" s="418"/>
      <c r="J114" s="418"/>
      <c r="K114" s="418"/>
      <c r="L114" s="418"/>
      <c r="M114" s="418"/>
    </row>
    <row r="115" spans="1:13">
      <c r="A115" s="424"/>
      <c r="D115" s="417" t="str">
        <f>D7</f>
        <v>Jersey Central Power &amp; Light</v>
      </c>
      <c r="J115" s="423"/>
      <c r="K115" s="423"/>
      <c r="L115" s="423"/>
      <c r="M115" s="423"/>
    </row>
    <row r="116" spans="1:13">
      <c r="A116" s="424"/>
      <c r="B116" s="424" t="s">
        <v>16</v>
      </c>
      <c r="C116" s="424" t="s">
        <v>17</v>
      </c>
      <c r="D116" s="424" t="s">
        <v>18</v>
      </c>
      <c r="E116" s="423" t="s">
        <v>3</v>
      </c>
      <c r="F116" s="423"/>
      <c r="G116" s="426" t="s">
        <v>19</v>
      </c>
      <c r="H116" s="423"/>
      <c r="I116" s="427" t="s">
        <v>20</v>
      </c>
      <c r="J116" s="423"/>
      <c r="K116" s="423"/>
      <c r="L116" s="418"/>
      <c r="M116" s="423"/>
    </row>
    <row r="117" spans="1:13">
      <c r="A117" s="424" t="s">
        <v>5</v>
      </c>
      <c r="B117" s="418"/>
      <c r="C117" s="469"/>
      <c r="D117" s="423"/>
      <c r="E117" s="423"/>
      <c r="F117" s="423"/>
      <c r="G117" s="424"/>
      <c r="H117" s="423"/>
      <c r="I117" s="470" t="s">
        <v>22</v>
      </c>
      <c r="J117" s="423"/>
      <c r="K117" s="470"/>
      <c r="L117" s="424"/>
      <c r="M117" s="423"/>
    </row>
    <row r="118" spans="1:13" ht="16.2" thickBot="1">
      <c r="A118" s="428" t="s">
        <v>7</v>
      </c>
      <c r="B118" s="418"/>
      <c r="C118" s="469" t="s">
        <v>232</v>
      </c>
      <c r="D118" s="470" t="s">
        <v>23</v>
      </c>
      <c r="E118" s="472"/>
      <c r="F118" s="470" t="s">
        <v>24</v>
      </c>
      <c r="H118" s="472"/>
      <c r="I118" s="424" t="s">
        <v>25</v>
      </c>
      <c r="J118" s="423"/>
      <c r="K118" s="470"/>
      <c r="L118" s="470"/>
      <c r="M118" s="423"/>
    </row>
    <row r="119" spans="1:13">
      <c r="A119" s="424">
        <v>1</v>
      </c>
      <c r="B119" s="2" t="s">
        <v>683</v>
      </c>
      <c r="C119" s="423"/>
      <c r="D119" s="423"/>
      <c r="E119" s="1036"/>
      <c r="F119" s="423"/>
      <c r="G119" s="423"/>
      <c r="H119" s="423"/>
      <c r="I119" s="423"/>
      <c r="J119" s="423"/>
      <c r="K119" s="423"/>
      <c r="L119" s="423"/>
      <c r="M119" s="423"/>
    </row>
    <row r="120" spans="1:13">
      <c r="A120" s="424">
        <f>MAX($A$119:A119)+1</f>
        <v>2</v>
      </c>
      <c r="B120" s="2" t="s">
        <v>42</v>
      </c>
      <c r="C120" s="561" t="s">
        <v>993</v>
      </c>
      <c r="D120" s="436">
        <f>'Attachment 20 - OpEx'!Q32</f>
        <v>50618013.989841595</v>
      </c>
      <c r="E120" s="1036"/>
      <c r="F120" s="561" t="s">
        <v>250</v>
      </c>
      <c r="G120" s="475">
        <v>1</v>
      </c>
      <c r="H120" s="423"/>
      <c r="I120" s="436">
        <f>+G120*D120</f>
        <v>50618013.989841595</v>
      </c>
      <c r="J120" s="490"/>
      <c r="K120" s="423"/>
      <c r="L120" s="423"/>
      <c r="M120" s="424"/>
    </row>
    <row r="121" spans="1:13">
      <c r="A121" s="424">
        <f>MAX($A$119:A120)+1</f>
        <v>3</v>
      </c>
      <c r="B121" s="2" t="s">
        <v>714</v>
      </c>
      <c r="C121" s="561" t="s">
        <v>802</v>
      </c>
      <c r="D121" s="436">
        <f>'Attachment 6 - PBOP'!E18</f>
        <v>1783222.4601058383</v>
      </c>
      <c r="E121" s="1036"/>
      <c r="F121" s="561" t="s">
        <v>250</v>
      </c>
      <c r="G121" s="475">
        <v>1</v>
      </c>
      <c r="H121" s="423"/>
      <c r="I121" s="436">
        <f>+G121*D121</f>
        <v>1783222.4601058383</v>
      </c>
      <c r="J121" s="418"/>
      <c r="K121" s="423"/>
      <c r="L121" s="423"/>
      <c r="M121" s="424"/>
    </row>
    <row r="122" spans="1:13">
      <c r="A122" s="424">
        <f>MAX($A$119:A121)+1</f>
        <v>4</v>
      </c>
      <c r="B122" s="2" t="s">
        <v>763</v>
      </c>
      <c r="C122" s="561" t="str">
        <f>"Attachment 20, Line "&amp;'Attachment 20 - OpEx'!A52&amp;", Col. "&amp;'Attachment 20 - OpEx'!U5</f>
        <v>Attachment 20, Line 41, Col. (I)</v>
      </c>
      <c r="D122" s="436">
        <f>'Attachment 20 - OpEx'!U52</f>
        <v>7983461.829600947</v>
      </c>
      <c r="E122" s="1036"/>
      <c r="F122" s="561" t="s">
        <v>250</v>
      </c>
      <c r="G122" s="475">
        <v>1</v>
      </c>
      <c r="H122" s="423"/>
      <c r="I122" s="436">
        <f>+G122*D122</f>
        <v>7983461.829600947</v>
      </c>
      <c r="J122" s="423"/>
      <c r="K122" s="423" t="s">
        <v>3</v>
      </c>
      <c r="L122" s="423"/>
      <c r="M122" s="424"/>
    </row>
    <row r="123" spans="1:13" ht="16.2" thickBot="1">
      <c r="A123" s="424">
        <f>MAX($A$119:A122)+1</f>
        <v>5</v>
      </c>
      <c r="B123" s="2" t="s">
        <v>788</v>
      </c>
      <c r="C123" s="561" t="s">
        <v>969</v>
      </c>
      <c r="D123" s="477">
        <f>'Attachment 19 - Reg Asset-Liab'!AY27</f>
        <v>0</v>
      </c>
      <c r="E123" s="1036"/>
      <c r="F123" s="561" t="s">
        <v>250</v>
      </c>
      <c r="G123" s="475">
        <v>1</v>
      </c>
      <c r="H123" s="423"/>
      <c r="I123" s="477">
        <f>+G123*D123</f>
        <v>0</v>
      </c>
      <c r="J123" s="423"/>
      <c r="K123" s="423"/>
      <c r="L123" s="423"/>
      <c r="M123" s="424"/>
    </row>
    <row r="124" spans="1:13">
      <c r="A124" s="424">
        <f>MAX($A$119:A123)+1</f>
        <v>6</v>
      </c>
      <c r="B124" s="2" t="s">
        <v>829</v>
      </c>
      <c r="C124" s="561"/>
      <c r="D124" s="436">
        <f>SUM(D120:D123)</f>
        <v>60384698.279548377</v>
      </c>
      <c r="E124" s="1036"/>
      <c r="F124" s="423"/>
      <c r="G124" s="423"/>
      <c r="H124" s="423"/>
      <c r="I124" s="436">
        <f>SUM(I120:I123)</f>
        <v>60384698.279548377</v>
      </c>
      <c r="J124" s="423"/>
      <c r="K124" s="423"/>
      <c r="L124" s="482"/>
      <c r="M124" s="423"/>
    </row>
    <row r="125" spans="1:13">
      <c r="A125" s="424"/>
      <c r="B125" s="1"/>
      <c r="C125" s="561"/>
      <c r="D125" s="570"/>
      <c r="E125" s="1036"/>
      <c r="F125" s="423"/>
      <c r="G125" s="423"/>
      <c r="H125" s="423"/>
      <c r="I125" s="476"/>
      <c r="J125" s="423"/>
      <c r="K125" s="423"/>
      <c r="L125" s="423"/>
      <c r="M125" s="423"/>
    </row>
    <row r="126" spans="1:13" ht="15.6" customHeight="1">
      <c r="A126" s="424">
        <f>MAX($A$119:A125)+1</f>
        <v>7</v>
      </c>
      <c r="B126" s="2" t="s">
        <v>156</v>
      </c>
      <c r="C126" s="561"/>
      <c r="D126" s="570"/>
      <c r="E126" s="423"/>
      <c r="F126" s="423"/>
      <c r="G126" s="423"/>
      <c r="H126" s="423"/>
      <c r="I126" s="476"/>
      <c r="J126" s="1039"/>
      <c r="K126" s="1039"/>
      <c r="L126" s="423"/>
      <c r="M126" s="423"/>
    </row>
    <row r="127" spans="1:13" ht="15.6" customHeight="1">
      <c r="A127" s="424">
        <f>MAX($A$119:A126)+1</f>
        <v>8</v>
      </c>
      <c r="B127" s="2" t="str">
        <f>+B120</f>
        <v xml:space="preserve">  Transmission </v>
      </c>
      <c r="C127" s="561" t="s">
        <v>955</v>
      </c>
      <c r="D127" s="569">
        <v>39983184</v>
      </c>
      <c r="E127" s="1036"/>
      <c r="F127" s="423" t="s">
        <v>11</v>
      </c>
      <c r="G127" s="475">
        <f>TP</f>
        <v>1</v>
      </c>
      <c r="H127" s="423"/>
      <c r="I127" s="476">
        <f>+G127*D127</f>
        <v>39983184</v>
      </c>
      <c r="J127" s="1039"/>
      <c r="K127" s="1039"/>
      <c r="L127" s="423"/>
      <c r="M127" s="424"/>
    </row>
    <row r="128" spans="1:13">
      <c r="A128" s="424">
        <f>MAX($A$119:A127)+1</f>
        <v>9</v>
      </c>
      <c r="B128" s="568" t="s">
        <v>32</v>
      </c>
      <c r="C128" s="561" t="s">
        <v>1051</v>
      </c>
      <c r="D128" s="569">
        <v>29648675</v>
      </c>
      <c r="E128" s="1036"/>
      <c r="F128" s="423" t="s">
        <v>33</v>
      </c>
      <c r="G128" s="475">
        <f>G56</f>
        <v>8.0618739267835124E-2</v>
      </c>
      <c r="H128" s="423"/>
      <c r="I128" s="486">
        <f>+G128*D128</f>
        <v>2390238.7994617815</v>
      </c>
      <c r="J128" s="1039"/>
      <c r="K128" s="1039"/>
      <c r="L128" s="417"/>
      <c r="M128" s="424"/>
    </row>
    <row r="129" spans="1:13" ht="16.2" thickBot="1">
      <c r="A129" s="424">
        <f>MAX($A$119:A128)+1</f>
        <v>10</v>
      </c>
      <c r="B129" s="568" t="s">
        <v>867</v>
      </c>
      <c r="C129" s="561" t="s">
        <v>968</v>
      </c>
      <c r="D129" s="560">
        <f>'Attachment 16 - Abandoned Plant'!F20</f>
        <v>0</v>
      </c>
      <c r="E129" s="1040"/>
      <c r="F129" s="561" t="s">
        <v>250</v>
      </c>
      <c r="G129" s="564">
        <v>1</v>
      </c>
      <c r="H129" s="423"/>
      <c r="I129" s="477">
        <f>D129*G129</f>
        <v>0</v>
      </c>
      <c r="J129" s="1039"/>
      <c r="K129" s="1039"/>
      <c r="L129" s="417"/>
      <c r="M129" s="424"/>
    </row>
    <row r="130" spans="1:13" ht="18" customHeight="1">
      <c r="A130" s="424">
        <f>MAX($A$119:A129)+1</f>
        <v>11</v>
      </c>
      <c r="B130" s="2" t="s">
        <v>868</v>
      </c>
      <c r="C130" s="561"/>
      <c r="D130" s="570">
        <f>SUM(D127:D129)</f>
        <v>69631859</v>
      </c>
      <c r="E130" s="1036"/>
      <c r="F130" s="423"/>
      <c r="G130" s="423"/>
      <c r="H130" s="423"/>
      <c r="I130" s="476">
        <f>SUM(I127:I129)</f>
        <v>42373422.799461782</v>
      </c>
      <c r="J130" s="970"/>
      <c r="K130" s="970"/>
      <c r="L130" s="423"/>
      <c r="M130" s="423"/>
    </row>
    <row r="131" spans="1:13" ht="18" customHeight="1">
      <c r="A131" s="424"/>
      <c r="B131" s="2"/>
      <c r="C131" s="561"/>
      <c r="D131" s="559"/>
      <c r="E131" s="1036"/>
      <c r="F131" s="423"/>
      <c r="G131" s="423"/>
      <c r="H131" s="423"/>
      <c r="I131" s="436"/>
      <c r="J131" s="970"/>
      <c r="K131" s="970"/>
      <c r="L131" s="423"/>
      <c r="M131" s="423"/>
    </row>
    <row r="132" spans="1:13">
      <c r="A132" s="424">
        <f>MAX($A$119:A130)+1</f>
        <v>12</v>
      </c>
      <c r="B132" s="2" t="s">
        <v>732</v>
      </c>
      <c r="C132" s="561" t="str">
        <f>"Attachment 7, Line "&amp;'Attachment 7 - TOTI'!A20&amp;", Col. "&amp;'Attachment 7 - TOTI'!K5</f>
        <v>Attachment 7, Line 2, Col. (E)</v>
      </c>
      <c r="D132" s="559">
        <f ca="1">'Attachment 7 - TOTI'!K20</f>
        <v>2096562.1302360541</v>
      </c>
      <c r="E132" s="1036"/>
      <c r="F132" s="423" t="s">
        <v>250</v>
      </c>
      <c r="G132" s="475">
        <v>1</v>
      </c>
      <c r="H132" s="423"/>
      <c r="I132" s="436">
        <f ca="1">D132*G132</f>
        <v>2096562.1302360541</v>
      </c>
      <c r="J132" s="423"/>
      <c r="K132" s="423"/>
      <c r="L132" s="482"/>
      <c r="M132" s="423"/>
    </row>
    <row r="133" spans="1:13">
      <c r="A133" s="424"/>
      <c r="B133" s="2"/>
      <c r="C133" s="561"/>
      <c r="D133" s="561"/>
      <c r="E133" s="423"/>
      <c r="F133" s="423"/>
      <c r="G133" s="434"/>
      <c r="H133" s="423"/>
      <c r="I133" s="449"/>
      <c r="J133" s="423"/>
      <c r="K133" s="423"/>
      <c r="L133" s="482"/>
      <c r="M133" s="423"/>
    </row>
    <row r="134" spans="1:13">
      <c r="A134" s="424">
        <f>MAX($A$119:A133)+1</f>
        <v>13</v>
      </c>
      <c r="B134" s="2" t="s">
        <v>44</v>
      </c>
      <c r="C134" s="561" t="s">
        <v>263</v>
      </c>
      <c r="D134" s="884"/>
      <c r="E134" s="423"/>
      <c r="G134" s="491"/>
      <c r="H134" s="423"/>
      <c r="I134" s="464"/>
      <c r="J134" s="423"/>
      <c r="L134" s="423"/>
      <c r="M134" s="424"/>
    </row>
    <row r="135" spans="1:13">
      <c r="A135" s="424">
        <f>MAX($A$119:A134)+1</f>
        <v>14</v>
      </c>
      <c r="B135" s="2" t="s">
        <v>47</v>
      </c>
      <c r="C135" s="561" t="str">
        <f>"Attachment 15, Line "&amp;'Attachment 15 - Income Taxes'!A31</f>
        <v>Attachment 15, Line 22</v>
      </c>
      <c r="D135" s="559">
        <f ca="1">'Attachment 15 - Income Taxes'!E31</f>
        <v>20248060.502560548</v>
      </c>
      <c r="E135" s="423"/>
      <c r="F135" s="423" t="s">
        <v>250</v>
      </c>
      <c r="G135" s="475">
        <v>1</v>
      </c>
      <c r="H135" s="423"/>
      <c r="I135" s="436">
        <f ca="1">D135*G135</f>
        <v>20248060.502560548</v>
      </c>
      <c r="J135" s="423"/>
      <c r="K135" s="423"/>
      <c r="L135" s="423"/>
      <c r="M135" s="423"/>
    </row>
    <row r="136" spans="1:13">
      <c r="A136" s="424"/>
      <c r="B136" s="1"/>
      <c r="C136" s="576"/>
      <c r="D136" s="570"/>
      <c r="E136" s="423"/>
      <c r="F136" s="423"/>
      <c r="G136" s="434"/>
      <c r="H136" s="423"/>
      <c r="I136" s="476"/>
      <c r="J136" s="423"/>
      <c r="K136" s="423"/>
      <c r="L136" s="423"/>
      <c r="M136" s="423"/>
    </row>
    <row r="137" spans="1:13" ht="31.2">
      <c r="A137" s="424">
        <f>MAX($A$119:A136)+1</f>
        <v>15</v>
      </c>
      <c r="B137" s="2" t="s">
        <v>48</v>
      </c>
      <c r="C137" s="928" t="s">
        <v>927</v>
      </c>
      <c r="D137" s="570">
        <f ca="1">+$I205*D89</f>
        <v>384801418.09697288</v>
      </c>
      <c r="E137" s="423"/>
      <c r="F137" s="423" t="s">
        <v>29</v>
      </c>
      <c r="G137" s="491"/>
      <c r="H137" s="423"/>
      <c r="I137" s="476">
        <f ca="1">+$I205*I89</f>
        <v>83491416.630089507</v>
      </c>
      <c r="J137" s="423"/>
      <c r="L137" s="423"/>
      <c r="M137" s="424"/>
    </row>
    <row r="138" spans="1:13">
      <c r="A138" s="424"/>
      <c r="B138" s="577"/>
      <c r="C138" s="1"/>
      <c r="D138" s="570"/>
      <c r="E138" s="423"/>
      <c r="F138" s="423"/>
      <c r="G138" s="491"/>
      <c r="H138" s="423"/>
      <c r="I138" s="476"/>
      <c r="J138" s="423"/>
      <c r="K138" s="479"/>
      <c r="L138" s="423"/>
      <c r="M138" s="424"/>
    </row>
    <row r="139" spans="1:13">
      <c r="A139" s="424"/>
      <c r="B139" s="2"/>
      <c r="C139" s="1"/>
      <c r="D139" s="572"/>
      <c r="E139" s="423"/>
      <c r="F139" s="423"/>
      <c r="G139" s="491"/>
      <c r="H139" s="423"/>
      <c r="I139" s="486"/>
      <c r="J139" s="423"/>
      <c r="K139" s="479"/>
      <c r="L139" s="423"/>
      <c r="M139" s="424"/>
    </row>
    <row r="140" spans="1:13" ht="31.2">
      <c r="A140" s="424">
        <f>MAX($A$119:A139)+1</f>
        <v>16</v>
      </c>
      <c r="B140" s="578" t="s">
        <v>369</v>
      </c>
      <c r="C140" s="575" t="s">
        <v>876</v>
      </c>
      <c r="D140" s="573">
        <f ca="1">+D124+D130+D132+D135+D137</f>
        <v>537162598.00931787</v>
      </c>
      <c r="E140" s="423"/>
      <c r="F140" s="423"/>
      <c r="G140" s="423"/>
      <c r="H140" s="423"/>
      <c r="I140" s="492">
        <f ca="1">+I124+I130+I132+I135+I137</f>
        <v>208594160.3418963</v>
      </c>
      <c r="J140" s="418"/>
      <c r="K140" s="418"/>
      <c r="L140" s="418"/>
      <c r="M140" s="418"/>
    </row>
    <row r="141" spans="1:13">
      <c r="A141" s="424"/>
      <c r="B141" s="577"/>
      <c r="C141" s="561"/>
      <c r="D141" s="561"/>
      <c r="E141" s="423"/>
      <c r="F141" s="423"/>
      <c r="G141" s="423"/>
      <c r="H141" s="423"/>
      <c r="I141" s="423"/>
      <c r="J141" s="418"/>
      <c r="K141" s="418"/>
      <c r="L141" s="418"/>
      <c r="M141" s="418"/>
    </row>
    <row r="142" spans="1:13">
      <c r="A142" s="424"/>
      <c r="B142" s="1"/>
      <c r="C142" s="561"/>
      <c r="D142" s="1"/>
      <c r="J142" s="418"/>
      <c r="K142" s="418"/>
      <c r="L142" s="418"/>
      <c r="M142" s="418"/>
    </row>
    <row r="143" spans="1:13">
      <c r="A143" s="424">
        <f>MAX($A$119:A142)+1</f>
        <v>17</v>
      </c>
      <c r="B143" s="575" t="s">
        <v>368</v>
      </c>
      <c r="C143" s="561" t="s">
        <v>966</v>
      </c>
      <c r="D143" s="561">
        <f ca="1">'Attachment 11 - TEC'!M80</f>
        <v>0</v>
      </c>
      <c r="E143" s="423"/>
      <c r="F143" s="423"/>
      <c r="G143" s="423"/>
      <c r="H143" s="423"/>
      <c r="I143" s="423">
        <f ca="1">D143</f>
        <v>0</v>
      </c>
      <c r="J143" s="418"/>
      <c r="K143" s="418"/>
      <c r="L143" s="418"/>
      <c r="M143" s="418"/>
    </row>
    <row r="144" spans="1:13" ht="16.2" thickBot="1">
      <c r="A144" s="424"/>
      <c r="B144" s="575"/>
      <c r="C144" s="561"/>
      <c r="D144" s="561"/>
      <c r="E144" s="423"/>
      <c r="F144" s="423"/>
      <c r="G144" s="423"/>
      <c r="H144" s="423"/>
      <c r="I144" s="423"/>
      <c r="J144" s="418"/>
      <c r="K144" s="418"/>
      <c r="L144" s="418"/>
      <c r="M144" s="418"/>
    </row>
    <row r="145" spans="1:13" ht="16.2" thickBot="1">
      <c r="A145" s="424">
        <f>MAX($A$119:A144)+1</f>
        <v>18</v>
      </c>
      <c r="B145" s="575" t="s">
        <v>487</v>
      </c>
      <c r="C145" s="575" t="s">
        <v>877</v>
      </c>
      <c r="D145" s="574">
        <f ca="1">D140+D143</f>
        <v>537162598.00931787</v>
      </c>
      <c r="E145" s="423"/>
      <c r="F145" s="423"/>
      <c r="G145" s="423"/>
      <c r="H145" s="423"/>
      <c r="I145" s="493">
        <f ca="1">I140+I143</f>
        <v>208594160.3418963</v>
      </c>
      <c r="J145" s="418"/>
      <c r="K145" s="418"/>
      <c r="L145" s="418"/>
      <c r="M145" s="418"/>
    </row>
    <row r="146" spans="1:13" ht="16.2" thickTop="1">
      <c r="A146" s="565"/>
      <c r="B146" s="577"/>
      <c r="C146" s="561"/>
      <c r="D146" s="561"/>
      <c r="E146" s="423"/>
      <c r="F146" s="423"/>
      <c r="G146" s="423"/>
      <c r="H146" s="423"/>
      <c r="I146" s="423"/>
      <c r="J146" s="418"/>
      <c r="K146" s="418"/>
      <c r="L146" s="418"/>
      <c r="M146" s="418"/>
    </row>
    <row r="147" spans="1:13">
      <c r="A147" s="565"/>
      <c r="B147" s="575"/>
      <c r="C147" s="561"/>
      <c r="D147" s="561"/>
      <c r="E147" s="751"/>
      <c r="F147" s="752"/>
      <c r="G147" s="423"/>
      <c r="I147" s="423"/>
      <c r="J147" s="418"/>
      <c r="K147" s="418"/>
      <c r="L147" s="418"/>
      <c r="M147" s="418"/>
    </row>
    <row r="148" spans="1:13">
      <c r="A148" s="565"/>
      <c r="B148" s="575"/>
      <c r="C148" s="561"/>
      <c r="D148" s="561"/>
      <c r="E148" s="751"/>
      <c r="F148" s="423"/>
      <c r="G148" s="423"/>
      <c r="I148" s="423"/>
      <c r="J148" s="418"/>
      <c r="K148" s="418"/>
      <c r="L148" s="418"/>
      <c r="M148" s="418"/>
    </row>
    <row r="149" spans="1:13">
      <c r="A149" s="424"/>
      <c r="B149" s="484"/>
      <c r="C149" s="423"/>
      <c r="D149" s="423"/>
      <c r="E149" s="751"/>
      <c r="F149" s="423"/>
      <c r="G149" s="423"/>
      <c r="I149" s="423"/>
      <c r="J149" s="418"/>
      <c r="K149" s="418"/>
      <c r="L149" s="418"/>
      <c r="M149" s="418"/>
    </row>
    <row r="150" spans="1:13">
      <c r="A150" s="424"/>
      <c r="B150" s="484"/>
      <c r="C150" s="423"/>
      <c r="D150" s="423"/>
      <c r="E150" s="751"/>
      <c r="F150" s="423"/>
      <c r="G150" s="423"/>
      <c r="I150" s="423"/>
      <c r="J150" s="418"/>
      <c r="K150" s="418"/>
      <c r="L150" s="418"/>
      <c r="M150" s="418"/>
    </row>
    <row r="151" spans="1:13">
      <c r="A151" s="424"/>
      <c r="B151" s="484"/>
      <c r="C151" s="423"/>
      <c r="D151" s="423"/>
      <c r="E151" s="751"/>
      <c r="F151" s="423"/>
      <c r="G151" s="423"/>
      <c r="I151" s="423"/>
      <c r="J151" s="418"/>
      <c r="K151" s="418"/>
      <c r="L151" s="418"/>
      <c r="M151" s="418"/>
    </row>
    <row r="152" spans="1:13">
      <c r="A152" s="424"/>
      <c r="B152" s="484"/>
      <c r="C152" s="423"/>
      <c r="D152" s="423"/>
      <c r="E152" s="751"/>
      <c r="F152" s="423"/>
      <c r="G152" s="423"/>
      <c r="I152" s="423"/>
      <c r="J152" s="418"/>
      <c r="K152" s="418"/>
      <c r="L152" s="418"/>
      <c r="M152" s="418"/>
    </row>
    <row r="153" spans="1:13">
      <c r="A153" s="424"/>
      <c r="B153" s="484"/>
      <c r="C153" s="423"/>
      <c r="D153" s="423"/>
      <c r="E153" s="751"/>
      <c r="F153" s="423"/>
      <c r="G153" s="423"/>
      <c r="I153" s="423"/>
      <c r="J153" s="418"/>
      <c r="K153" s="418"/>
      <c r="L153" s="418"/>
      <c r="M153" s="418"/>
    </row>
    <row r="154" spans="1:13">
      <c r="A154" s="424"/>
      <c r="B154" s="484"/>
      <c r="C154" s="423"/>
      <c r="D154" s="423"/>
      <c r="E154" s="751"/>
      <c r="F154" s="423"/>
      <c r="G154" s="423"/>
      <c r="I154" s="423"/>
      <c r="J154" s="418"/>
      <c r="K154" s="418"/>
      <c r="L154" s="418"/>
      <c r="M154" s="418"/>
    </row>
    <row r="155" spans="1:13">
      <c r="A155" s="424"/>
      <c r="B155" s="484"/>
      <c r="C155" s="423"/>
      <c r="D155" s="423"/>
      <c r="E155" s="423"/>
      <c r="F155" s="423"/>
      <c r="G155" s="423"/>
      <c r="H155" s="423"/>
      <c r="I155" s="423"/>
      <c r="J155" s="418"/>
      <c r="K155" s="418"/>
      <c r="L155" s="418"/>
      <c r="M155" s="418"/>
    </row>
    <row r="156" spans="1:13">
      <c r="A156" s="489"/>
      <c r="B156" s="418"/>
      <c r="C156" s="423"/>
      <c r="D156" s="423"/>
      <c r="E156" s="423"/>
      <c r="F156" s="423"/>
      <c r="G156" s="479"/>
      <c r="H156" s="423"/>
      <c r="I156" s="423"/>
      <c r="J156" s="423"/>
      <c r="K156" s="473"/>
      <c r="L156" s="417"/>
    </row>
    <row r="157" spans="1:13">
      <c r="A157" s="489"/>
      <c r="B157" s="418"/>
      <c r="C157" s="423"/>
      <c r="D157" s="423"/>
      <c r="E157" s="423"/>
      <c r="F157" s="423"/>
      <c r="G157" s="479"/>
      <c r="H157" s="423"/>
      <c r="I157" s="423"/>
      <c r="J157" s="423"/>
      <c r="K157" s="473"/>
      <c r="L157" s="417"/>
    </row>
    <row r="158" spans="1:13">
      <c r="B158" s="418"/>
      <c r="C158" s="418"/>
      <c r="D158" s="419"/>
      <c r="E158" s="418"/>
      <c r="F158" s="418"/>
      <c r="G158" s="418"/>
      <c r="H158" s="418"/>
      <c r="I158" s="424"/>
      <c r="J158" s="424"/>
      <c r="K158" s="420"/>
      <c r="L158" s="418"/>
      <c r="M158" s="418"/>
    </row>
    <row r="159" spans="1:13">
      <c r="B159" s="418"/>
      <c r="C159" s="418"/>
      <c r="D159" s="419"/>
      <c r="E159" s="418"/>
      <c r="F159" s="418"/>
      <c r="G159" s="418"/>
      <c r="H159" s="418"/>
      <c r="I159" s="420"/>
      <c r="J159" s="420"/>
      <c r="K159" s="420"/>
      <c r="L159" s="418"/>
      <c r="M159" s="418"/>
    </row>
    <row r="160" spans="1:13">
      <c r="A160" s="1"/>
      <c r="B160" s="418"/>
      <c r="C160" s="418"/>
      <c r="D160" s="419"/>
      <c r="E160" s="418"/>
      <c r="F160" s="418"/>
      <c r="G160" s="418"/>
      <c r="H160" s="418"/>
      <c r="I160" s="420"/>
      <c r="J160" s="420"/>
      <c r="K160" s="16"/>
      <c r="L160" s="418"/>
      <c r="M160" s="418"/>
    </row>
    <row r="161" spans="1:13" ht="16.5" customHeight="1">
      <c r="B161" s="418"/>
      <c r="C161" s="418"/>
      <c r="D161" s="419"/>
      <c r="E161" s="418"/>
      <c r="F161" s="418"/>
      <c r="G161" s="418"/>
      <c r="H161" s="418"/>
      <c r="I161" s="418"/>
      <c r="K161" s="420" t="str">
        <f>K109</f>
        <v>Attachment  H-4A</v>
      </c>
      <c r="L161" s="418"/>
      <c r="M161" s="418"/>
    </row>
    <row r="162" spans="1:13" ht="16.5" customHeight="1">
      <c r="B162" s="418"/>
      <c r="C162" s="418"/>
      <c r="D162" s="419"/>
      <c r="E162" s="418"/>
      <c r="F162" s="418"/>
      <c r="G162" s="418"/>
      <c r="H162" s="418"/>
      <c r="I162" s="418"/>
      <c r="J162" s="418"/>
      <c r="K162" s="420" t="s">
        <v>101</v>
      </c>
      <c r="L162" s="418"/>
      <c r="M162" s="418"/>
    </row>
    <row r="163" spans="1:13" ht="16.5" customHeight="1">
      <c r="B163" s="418"/>
      <c r="C163" s="418"/>
      <c r="D163" s="419"/>
      <c r="E163" s="418"/>
      <c r="F163" s="418"/>
      <c r="G163" s="418"/>
      <c r="H163" s="418"/>
      <c r="I163" s="418"/>
      <c r="J163" s="418"/>
      <c r="K163" s="420"/>
      <c r="L163" s="418"/>
      <c r="M163" s="418"/>
    </row>
    <row r="164" spans="1:13">
      <c r="B164" s="418" t="s">
        <v>1</v>
      </c>
      <c r="C164" s="418"/>
      <c r="D164" s="419" t="s">
        <v>2</v>
      </c>
      <c r="E164" s="418"/>
      <c r="F164" s="418"/>
      <c r="G164" s="418"/>
      <c r="H164" s="418"/>
      <c r="I164" s="418"/>
      <c r="J164" s="418"/>
      <c r="K164" s="420" t="str">
        <f>K4</f>
        <v>For the 12 months ended 12/31/2023</v>
      </c>
      <c r="L164" s="418"/>
      <c r="M164" s="418"/>
    </row>
    <row r="165" spans="1:13">
      <c r="B165" s="418"/>
      <c r="C165" s="423" t="s">
        <v>3</v>
      </c>
      <c r="D165" s="423" t="s">
        <v>4</v>
      </c>
      <c r="E165" s="423"/>
      <c r="F165" s="423"/>
      <c r="G165" s="423"/>
      <c r="H165" s="418"/>
      <c r="I165" s="418"/>
      <c r="J165" s="418"/>
      <c r="K165" s="418"/>
      <c r="L165" s="418"/>
      <c r="M165" s="418"/>
    </row>
    <row r="166" spans="1:13" ht="9.75" customHeight="1">
      <c r="A166" s="424"/>
      <c r="J166" s="423"/>
      <c r="K166" s="423"/>
      <c r="L166" s="423"/>
      <c r="M166" s="423"/>
    </row>
    <row r="167" spans="1:13">
      <c r="A167" s="424"/>
      <c r="D167" s="417" t="str">
        <f>D7</f>
        <v>Jersey Central Power &amp; Light</v>
      </c>
      <c r="J167" s="423"/>
      <c r="K167" s="423"/>
      <c r="L167" s="423"/>
      <c r="M167" s="423"/>
    </row>
    <row r="168" spans="1:13">
      <c r="A168" s="424"/>
      <c r="C168" s="474" t="s">
        <v>49</v>
      </c>
      <c r="E168" s="418"/>
      <c r="F168" s="418"/>
      <c r="G168" s="418"/>
      <c r="H168" s="418"/>
      <c r="I168" s="418"/>
      <c r="J168" s="423"/>
      <c r="K168" s="423"/>
      <c r="L168" s="418"/>
      <c r="M168" s="423"/>
    </row>
    <row r="169" spans="1:13">
      <c r="A169" s="424" t="s">
        <v>5</v>
      </c>
      <c r="B169" s="424" t="s">
        <v>16</v>
      </c>
      <c r="C169" s="424" t="s">
        <v>17</v>
      </c>
      <c r="D169" s="424" t="s">
        <v>18</v>
      </c>
      <c r="E169" s="427" t="s">
        <v>19</v>
      </c>
      <c r="F169" s="423"/>
      <c r="G169" s="427" t="s">
        <v>20</v>
      </c>
      <c r="H169" s="423"/>
      <c r="I169" s="427" t="s">
        <v>21</v>
      </c>
      <c r="J169" s="423"/>
      <c r="L169" s="418"/>
      <c r="M169" s="423"/>
    </row>
    <row r="170" spans="1:13" ht="16.2" thickBot="1">
      <c r="A170" s="428" t="s">
        <v>7</v>
      </c>
      <c r="B170" s="418" t="s">
        <v>50</v>
      </c>
      <c r="C170" s="418"/>
      <c r="D170" s="418"/>
      <c r="E170" s="418"/>
      <c r="F170" s="418"/>
      <c r="G170" s="418"/>
      <c r="J170" s="423"/>
      <c r="K170" s="423"/>
      <c r="L170" s="418"/>
      <c r="M170" s="423"/>
    </row>
    <row r="171" spans="1:13">
      <c r="A171" s="424">
        <v>1</v>
      </c>
      <c r="B171" s="418" t="s">
        <v>108</v>
      </c>
      <c r="C171" s="418"/>
      <c r="D171" s="423"/>
      <c r="E171" s="423"/>
      <c r="F171" s="423"/>
      <c r="G171" s="423"/>
      <c r="H171" s="423"/>
      <c r="I171" s="436">
        <f>D54</f>
        <v>1948638808.1407704</v>
      </c>
      <c r="J171" s="423"/>
      <c r="K171" s="423"/>
      <c r="L171" s="418"/>
      <c r="M171" s="423"/>
    </row>
    <row r="172" spans="1:13">
      <c r="A172" s="424">
        <v>2</v>
      </c>
      <c r="B172" s="2" t="s">
        <v>951</v>
      </c>
      <c r="I172" s="437">
        <v>0</v>
      </c>
      <c r="J172" s="1036"/>
      <c r="K172" s="423"/>
      <c r="L172" s="423"/>
      <c r="M172" s="423"/>
    </row>
    <row r="173" spans="1:13" ht="16.2" thickBot="1">
      <c r="A173" s="424">
        <v>3</v>
      </c>
      <c r="B173" s="929" t="s">
        <v>952</v>
      </c>
      <c r="C173" s="511"/>
      <c r="D173" s="423"/>
      <c r="E173" s="423"/>
      <c r="F173" s="423"/>
      <c r="G173" s="488"/>
      <c r="H173" s="423"/>
      <c r="I173" s="925">
        <v>0</v>
      </c>
      <c r="J173" s="1041"/>
      <c r="K173" s="884"/>
      <c r="L173" s="423"/>
      <c r="M173" s="423"/>
    </row>
    <row r="174" spans="1:13">
      <c r="A174" s="424">
        <v>4</v>
      </c>
      <c r="B174" s="418" t="s">
        <v>51</v>
      </c>
      <c r="C174" s="418"/>
      <c r="D174" s="423"/>
      <c r="E174" s="423"/>
      <c r="F174" s="423"/>
      <c r="G174" s="488"/>
      <c r="H174" s="423"/>
      <c r="I174" s="436">
        <f>I171-I172-I173</f>
        <v>1948638808.1407704</v>
      </c>
      <c r="J174" s="1036"/>
      <c r="K174" s="423"/>
      <c r="L174" s="418"/>
      <c r="M174" s="423"/>
    </row>
    <row r="175" spans="1:13">
      <c r="A175" s="424">
        <v>5</v>
      </c>
      <c r="B175" s="418" t="s">
        <v>110</v>
      </c>
      <c r="C175" s="425"/>
      <c r="D175" s="425"/>
      <c r="E175" s="425"/>
      <c r="F175" s="425"/>
      <c r="G175" s="427"/>
      <c r="H175" s="423" t="s">
        <v>52</v>
      </c>
      <c r="I175" s="495">
        <f>IF(I171&gt;0,I174/I171,0)</f>
        <v>1</v>
      </c>
      <c r="J175" s="1036"/>
      <c r="K175" s="423"/>
      <c r="L175" s="418"/>
      <c r="M175" s="423"/>
    </row>
    <row r="176" spans="1:13" ht="7.95" customHeight="1">
      <c r="A176" s="424"/>
      <c r="B176" s="418"/>
      <c r="C176" s="425"/>
      <c r="D176" s="425"/>
      <c r="E176" s="425"/>
      <c r="F176" s="425"/>
      <c r="G176" s="427"/>
      <c r="H176" s="423"/>
      <c r="I176" s="495"/>
      <c r="J176" s="1036"/>
      <c r="K176" s="423"/>
      <c r="L176" s="418"/>
      <c r="M176" s="423"/>
    </row>
    <row r="177" spans="1:13">
      <c r="A177" s="565"/>
      <c r="B177" s="2" t="s">
        <v>918</v>
      </c>
      <c r="C177" s="1"/>
      <c r="D177" s="1"/>
      <c r="E177" s="1"/>
      <c r="F177" s="1"/>
      <c r="G177" s="1"/>
      <c r="H177" s="1"/>
      <c r="I177" s="1"/>
      <c r="J177" s="1036"/>
      <c r="K177" s="423"/>
      <c r="L177" s="418"/>
      <c r="M177" s="423"/>
    </row>
    <row r="178" spans="1:13" ht="6" customHeight="1">
      <c r="A178" s="565"/>
      <c r="B178" s="1"/>
      <c r="C178" s="1"/>
      <c r="D178" s="1"/>
      <c r="E178" s="1"/>
      <c r="F178" s="1"/>
      <c r="G178" s="1"/>
      <c r="H178" s="1"/>
      <c r="I178" s="1"/>
      <c r="J178" s="1036"/>
      <c r="K178" s="423"/>
      <c r="L178" s="418"/>
      <c r="M178" s="423"/>
    </row>
    <row r="179" spans="1:13">
      <c r="A179" s="565">
        <v>6</v>
      </c>
      <c r="B179" s="1" t="s">
        <v>996</v>
      </c>
      <c r="C179" s="1"/>
      <c r="D179" s="2"/>
      <c r="E179" s="2"/>
      <c r="F179" s="2"/>
      <c r="G179" s="565"/>
      <c r="H179" s="2"/>
      <c r="I179" s="559">
        <f>'Attachment 20 - OpEx'!I32</f>
        <v>53884910</v>
      </c>
      <c r="J179" s="1036"/>
      <c r="K179" s="423"/>
      <c r="L179" s="418"/>
      <c r="M179" s="423"/>
    </row>
    <row r="180" spans="1:13" ht="16.2" thickBot="1">
      <c r="A180" s="565">
        <v>7</v>
      </c>
      <c r="B180" s="930" t="s">
        <v>924</v>
      </c>
      <c r="C180" s="930"/>
      <c r="D180" s="561"/>
      <c r="E180" s="561"/>
      <c r="F180" s="561"/>
      <c r="G180" s="561"/>
      <c r="H180" s="561"/>
      <c r="I180" s="925">
        <v>3261551</v>
      </c>
      <c r="J180" s="1036"/>
      <c r="K180" s="423"/>
      <c r="L180" s="418"/>
      <c r="M180" s="423"/>
    </row>
    <row r="181" spans="1:13">
      <c r="A181" s="565">
        <v>8</v>
      </c>
      <c r="B181" s="2" t="s">
        <v>919</v>
      </c>
      <c r="C181" s="931"/>
      <c r="D181" s="931"/>
      <c r="E181" s="931"/>
      <c r="F181" s="931"/>
      <c r="G181" s="932"/>
      <c r="H181" s="931"/>
      <c r="I181" s="559">
        <f>SUM(I179-I180)</f>
        <v>50623359</v>
      </c>
      <c r="J181" s="1036"/>
      <c r="K181" s="423"/>
      <c r="L181" s="418"/>
      <c r="M181" s="423"/>
    </row>
    <row r="182" spans="1:13">
      <c r="A182" s="565">
        <v>9</v>
      </c>
      <c r="B182" s="2" t="s">
        <v>920</v>
      </c>
      <c r="C182" s="2"/>
      <c r="D182" s="933"/>
      <c r="E182" s="561"/>
      <c r="F182" s="561"/>
      <c r="G182" s="561"/>
      <c r="H182" s="561"/>
      <c r="I182" s="564">
        <f>IF(I179&gt;0,I181/I179,0)</f>
        <v>0.93947190410079562</v>
      </c>
      <c r="J182" s="423"/>
      <c r="K182" s="423"/>
      <c r="L182" s="418"/>
      <c r="M182" s="423"/>
    </row>
    <row r="183" spans="1:13">
      <c r="A183" s="565">
        <v>10</v>
      </c>
      <c r="B183" s="2" t="s">
        <v>921</v>
      </c>
      <c r="C183" s="2"/>
      <c r="D183" s="933"/>
      <c r="E183" s="561"/>
      <c r="F183" s="561"/>
      <c r="G183" s="561"/>
      <c r="H183" s="2" t="s">
        <v>11</v>
      </c>
      <c r="I183" s="564">
        <f>I175</f>
        <v>1</v>
      </c>
      <c r="J183" s="423"/>
      <c r="K183" s="423"/>
      <c r="L183" s="418"/>
      <c r="M183" s="423"/>
    </row>
    <row r="184" spans="1:13">
      <c r="A184" s="565">
        <v>11</v>
      </c>
      <c r="B184" s="2" t="s">
        <v>922</v>
      </c>
      <c r="C184" s="2"/>
      <c r="D184" s="933"/>
      <c r="E184" s="2"/>
      <c r="F184" s="2"/>
      <c r="G184" s="2"/>
      <c r="H184" s="2" t="s">
        <v>923</v>
      </c>
      <c r="I184" s="942">
        <f>+I183*I182</f>
        <v>0.93947190410079562</v>
      </c>
      <c r="J184" s="423"/>
      <c r="K184" s="423"/>
      <c r="L184" s="418"/>
      <c r="M184" s="423"/>
    </row>
    <row r="185" spans="1:13" ht="9.75" customHeight="1">
      <c r="A185" s="424"/>
      <c r="C185" s="418"/>
      <c r="D185" s="585"/>
      <c r="E185" s="423"/>
      <c r="F185" s="423"/>
      <c r="G185" s="488"/>
      <c r="H185" s="423"/>
      <c r="L185" s="423"/>
      <c r="M185" s="423"/>
    </row>
    <row r="186" spans="1:13">
      <c r="A186" s="424" t="s">
        <v>3</v>
      </c>
      <c r="B186" s="418" t="s">
        <v>53</v>
      </c>
      <c r="C186" s="423"/>
      <c r="D186" s="423"/>
      <c r="E186" s="423"/>
      <c r="F186" s="423"/>
      <c r="G186" s="423"/>
      <c r="H186" s="423"/>
      <c r="I186" s="423"/>
      <c r="J186" s="423"/>
      <c r="K186" s="423"/>
      <c r="L186" s="423"/>
      <c r="M186" s="423"/>
    </row>
    <row r="187" spans="1:13" ht="16.2" thickBot="1">
      <c r="A187" s="424" t="s">
        <v>3</v>
      </c>
      <c r="B187" s="418"/>
      <c r="C187" s="496" t="s">
        <v>54</v>
      </c>
      <c r="D187" s="447" t="s">
        <v>55</v>
      </c>
      <c r="E187" s="447" t="s">
        <v>11</v>
      </c>
      <c r="F187" s="1036"/>
      <c r="G187" s="447" t="s">
        <v>56</v>
      </c>
      <c r="H187" s="423"/>
      <c r="I187" s="423"/>
      <c r="J187" s="423"/>
      <c r="K187" s="423"/>
      <c r="L187" s="423"/>
      <c r="M187" s="423"/>
    </row>
    <row r="188" spans="1:13">
      <c r="A188" s="424">
        <v>12</v>
      </c>
      <c r="B188" s="418" t="s">
        <v>28</v>
      </c>
      <c r="C188" s="423" t="s">
        <v>97</v>
      </c>
      <c r="D188" s="437">
        <v>0</v>
      </c>
      <c r="E188" s="497">
        <v>0</v>
      </c>
      <c r="F188" s="1042"/>
      <c r="G188" s="476">
        <f>D188*E188</f>
        <v>0</v>
      </c>
      <c r="H188" s="423"/>
      <c r="I188" s="423"/>
      <c r="J188" s="423"/>
      <c r="K188" s="423"/>
      <c r="L188" s="423"/>
      <c r="M188" s="423"/>
    </row>
    <row r="189" spans="1:13">
      <c r="A189" s="424">
        <v>13</v>
      </c>
      <c r="B189" s="418" t="s">
        <v>30</v>
      </c>
      <c r="C189" s="423" t="s">
        <v>98</v>
      </c>
      <c r="D189" s="437">
        <v>6659282</v>
      </c>
      <c r="E189" s="497">
        <f>+I175</f>
        <v>1</v>
      </c>
      <c r="F189" s="1042"/>
      <c r="G189" s="476">
        <f>D189*E189</f>
        <v>6659282</v>
      </c>
      <c r="H189" s="423"/>
      <c r="I189" s="423"/>
      <c r="J189" s="423"/>
      <c r="K189" s="423"/>
      <c r="L189" s="423"/>
      <c r="M189" s="423"/>
    </row>
    <row r="190" spans="1:13">
      <c r="A190" s="424">
        <v>14</v>
      </c>
      <c r="B190" s="418" t="s">
        <v>31</v>
      </c>
      <c r="C190" s="423" t="s">
        <v>99</v>
      </c>
      <c r="D190" s="437">
        <v>60344147</v>
      </c>
      <c r="E190" s="497">
        <v>0</v>
      </c>
      <c r="F190" s="1042"/>
      <c r="G190" s="476">
        <f>D190*E190</f>
        <v>0</v>
      </c>
      <c r="H190" s="423"/>
      <c r="I190" s="488" t="s">
        <v>57</v>
      </c>
      <c r="J190" s="423"/>
      <c r="K190" s="423"/>
      <c r="L190" s="423"/>
      <c r="M190" s="423"/>
    </row>
    <row r="191" spans="1:13" ht="16.2" thickBot="1">
      <c r="A191" s="424">
        <v>15</v>
      </c>
      <c r="B191" s="418" t="s">
        <v>58</v>
      </c>
      <c r="C191" s="561" t="s">
        <v>561</v>
      </c>
      <c r="D191" s="494">
        <f>14977954+620777</f>
        <v>15598731</v>
      </c>
      <c r="E191" s="497">
        <v>0</v>
      </c>
      <c r="F191" s="1042"/>
      <c r="G191" s="478">
        <f>D191*E191</f>
        <v>0</v>
      </c>
      <c r="H191" s="423"/>
      <c r="I191" s="428" t="s">
        <v>59</v>
      </c>
      <c r="J191" s="423"/>
      <c r="K191" s="423"/>
      <c r="L191" s="423"/>
      <c r="M191" s="423"/>
    </row>
    <row r="192" spans="1:13">
      <c r="A192" s="424">
        <v>16</v>
      </c>
      <c r="B192" s="2" t="s">
        <v>925</v>
      </c>
      <c r="C192" s="423"/>
      <c r="D192" s="436">
        <f>SUM(D188:D191)</f>
        <v>82602160</v>
      </c>
      <c r="E192" s="423"/>
      <c r="F192" s="1036"/>
      <c r="G192" s="476">
        <f>SUM(G188:G191)</f>
        <v>6659282</v>
      </c>
      <c r="H192" s="424" t="s">
        <v>60</v>
      </c>
      <c r="I192" s="475">
        <f>IF(G192&gt;0,G192/D192,1)</f>
        <v>8.0618739267835124E-2</v>
      </c>
      <c r="J192" s="498" t="s">
        <v>109</v>
      </c>
      <c r="K192" s="1036"/>
      <c r="L192" s="423"/>
      <c r="M192" s="423"/>
    </row>
    <row r="193" spans="1:18" ht="14.55" customHeight="1">
      <c r="A193" s="424"/>
      <c r="B193" s="418"/>
      <c r="C193" s="423"/>
      <c r="D193" s="561"/>
      <c r="E193" s="423"/>
      <c r="F193" s="1036"/>
      <c r="G193" s="423"/>
      <c r="H193" s="423"/>
      <c r="I193" s="960"/>
      <c r="J193" s="423"/>
      <c r="K193" s="423"/>
      <c r="L193" s="423"/>
      <c r="M193" s="423"/>
    </row>
    <row r="194" spans="1:18">
      <c r="A194" s="424"/>
      <c r="B194" s="418"/>
      <c r="C194" s="423"/>
      <c r="E194" s="423"/>
      <c r="F194" s="423"/>
      <c r="G194" s="423"/>
      <c r="H194" s="423"/>
      <c r="I194" s="423"/>
      <c r="J194" s="423"/>
      <c r="K194" s="423"/>
      <c r="L194" s="423"/>
      <c r="M194" s="974"/>
      <c r="N194" s="974"/>
      <c r="O194" s="974"/>
      <c r="P194" s="974"/>
      <c r="Q194" s="974"/>
      <c r="R194" s="974"/>
    </row>
    <row r="195" spans="1:18" ht="16.2" thickBot="1">
      <c r="A195" s="424"/>
      <c r="B195" s="418" t="s">
        <v>61</v>
      </c>
      <c r="C195" s="423"/>
      <c r="D195" s="423"/>
      <c r="E195" s="423"/>
      <c r="F195" s="423"/>
      <c r="G195" s="423"/>
      <c r="H195" s="423"/>
      <c r="I195" s="447" t="s">
        <v>55</v>
      </c>
      <c r="J195" s="423"/>
      <c r="K195" s="423"/>
      <c r="L195" s="423"/>
      <c r="M195" s="499"/>
      <c r="N195" s="499"/>
      <c r="O195" s="500"/>
      <c r="P195" s="501"/>
      <c r="Q195" s="499"/>
      <c r="R195" s="499"/>
    </row>
    <row r="196" spans="1:18">
      <c r="A196" s="424"/>
      <c r="B196" s="418"/>
      <c r="C196" s="423"/>
      <c r="D196" s="423"/>
      <c r="E196" s="423"/>
      <c r="F196" s="423"/>
      <c r="G196" s="423"/>
      <c r="H196" s="423"/>
      <c r="I196" s="436"/>
      <c r="J196" s="423"/>
      <c r="K196" s="423"/>
      <c r="L196" s="423"/>
      <c r="M196" s="500"/>
      <c r="N196" s="500"/>
      <c r="O196" s="500"/>
      <c r="P196" s="501"/>
      <c r="Q196" s="499"/>
      <c r="R196" s="499"/>
    </row>
    <row r="197" spans="1:18">
      <c r="A197" s="424">
        <v>17</v>
      </c>
      <c r="B197" s="423" t="s">
        <v>111</v>
      </c>
      <c r="D197" s="423"/>
      <c r="E197" s="423"/>
      <c r="F197" s="423"/>
      <c r="G197" s="423"/>
      <c r="H197" s="423"/>
      <c r="I197" s="437">
        <v>0</v>
      </c>
      <c r="J197" s="423"/>
      <c r="K197" s="423"/>
      <c r="L197" s="423"/>
      <c r="M197" s="500"/>
      <c r="N197" s="499"/>
      <c r="O197" s="502"/>
      <c r="P197" s="502"/>
      <c r="Q197" s="499"/>
      <c r="R197" s="499"/>
    </row>
    <row r="198" spans="1:18">
      <c r="A198" s="424"/>
      <c r="B198" s="418"/>
      <c r="C198" s="423"/>
      <c r="D198" s="423"/>
      <c r="E198" s="423"/>
      <c r="F198" s="423"/>
      <c r="G198" s="423"/>
      <c r="H198" s="423"/>
      <c r="I198" s="476"/>
      <c r="J198" s="423"/>
      <c r="K198" s="423"/>
      <c r="L198" s="423"/>
      <c r="M198" s="500"/>
      <c r="N198" s="499"/>
      <c r="O198" s="499"/>
      <c r="P198" s="499"/>
      <c r="Q198" s="499"/>
      <c r="R198" s="499"/>
    </row>
    <row r="199" spans="1:18">
      <c r="A199" s="424"/>
      <c r="B199" s="418"/>
      <c r="C199" s="423"/>
      <c r="D199" s="418"/>
      <c r="E199" s="418"/>
      <c r="F199" s="1030"/>
      <c r="G199" s="418"/>
      <c r="H199" s="418"/>
      <c r="I199" s="485"/>
      <c r="J199" s="423"/>
      <c r="K199" s="423"/>
      <c r="L199" s="423"/>
      <c r="M199" s="500"/>
      <c r="N199" s="499"/>
      <c r="O199" s="500"/>
      <c r="P199" s="501"/>
      <c r="Q199" s="499"/>
      <c r="R199" s="499"/>
    </row>
    <row r="200" spans="1:18">
      <c r="A200" s="424"/>
      <c r="B200" s="418"/>
      <c r="C200" s="423"/>
      <c r="D200" s="423"/>
      <c r="E200" s="488"/>
      <c r="F200" s="1036"/>
      <c r="G200" s="488" t="s">
        <v>63</v>
      </c>
      <c r="H200" s="1036"/>
      <c r="I200" s="423"/>
      <c r="J200" s="423"/>
      <c r="K200" s="423"/>
      <c r="L200" s="423"/>
      <c r="M200" s="500"/>
      <c r="N200" s="499"/>
      <c r="O200" s="500"/>
      <c r="P200" s="501"/>
      <c r="Q200" s="499"/>
      <c r="R200" s="499"/>
    </row>
    <row r="201" spans="1:18" ht="16.2" thickBot="1">
      <c r="A201" s="424"/>
      <c r="B201" s="418"/>
      <c r="C201" s="423"/>
      <c r="D201" s="428" t="s">
        <v>55</v>
      </c>
      <c r="E201" s="428" t="s">
        <v>64</v>
      </c>
      <c r="F201" s="1036"/>
      <c r="G201" s="934" t="s">
        <v>804</v>
      </c>
      <c r="H201" s="1036"/>
      <c r="I201" s="428" t="s">
        <v>65</v>
      </c>
      <c r="J201" s="423"/>
      <c r="K201" s="423"/>
      <c r="L201" s="423"/>
      <c r="M201" s="423"/>
      <c r="N201" s="501"/>
    </row>
    <row r="202" spans="1:18">
      <c r="A202" s="424">
        <v>18</v>
      </c>
      <c r="B202" s="2" t="s">
        <v>974</v>
      </c>
      <c r="D202" s="436">
        <f>'Attachment 8 - Cap Structure'!K23</f>
        <v>2150000000</v>
      </c>
      <c r="E202" s="503">
        <f>IF($D$205&gt;0,D202/$D$205,0)</f>
        <v>0.49002548841985544</v>
      </c>
      <c r="F202" s="1043"/>
      <c r="G202" s="504">
        <f>'Attachment 10 - Debt Cost'!W25</f>
        <v>4.58E-2</v>
      </c>
      <c r="H202" s="1040"/>
      <c r="I202" s="504">
        <f>G202*E202</f>
        <v>2.2443167369629379E-2</v>
      </c>
      <c r="J202" s="498" t="s">
        <v>66</v>
      </c>
      <c r="K202" s="524"/>
      <c r="L202" s="417"/>
      <c r="M202" s="423"/>
    </row>
    <row r="203" spans="1:18">
      <c r="A203" s="424">
        <v>19</v>
      </c>
      <c r="B203" s="2" t="s">
        <v>975</v>
      </c>
      <c r="D203" s="436">
        <f>'Attachment 8 - Cap Structure'!F23</f>
        <v>0</v>
      </c>
      <c r="E203" s="503">
        <f>IF($D$205&gt;0,D203/$D$205,0)</f>
        <v>0</v>
      </c>
      <c r="F203" s="1043"/>
      <c r="G203" s="504">
        <f>IF(D203&gt;0,I197/D203,0)</f>
        <v>0</v>
      </c>
      <c r="H203" s="1040"/>
      <c r="I203" s="504">
        <f>G203*E203</f>
        <v>0</v>
      </c>
      <c r="J203" s="423"/>
      <c r="L203" s="423"/>
      <c r="M203" s="423"/>
    </row>
    <row r="204" spans="1:18" ht="16.2" thickBot="1">
      <c r="A204" s="424">
        <v>20</v>
      </c>
      <c r="B204" s="2" t="s">
        <v>976</v>
      </c>
      <c r="D204" s="478">
        <f>'Attachment 8 - Cap Structure'!J23</f>
        <v>2237526875.2507691</v>
      </c>
      <c r="E204" s="503">
        <f>IF($D$205&gt;0,D204/$D$205,0)</f>
        <v>0.50997451158014473</v>
      </c>
      <c r="F204" s="1043"/>
      <c r="G204" s="886">
        <v>0.10199999999999999</v>
      </c>
      <c r="H204" s="1040"/>
      <c r="I204" s="505">
        <f>G204*E204</f>
        <v>5.2017400181174761E-2</v>
      </c>
      <c r="J204" s="423"/>
      <c r="L204" s="423"/>
      <c r="M204" s="423"/>
    </row>
    <row r="205" spans="1:18">
      <c r="A205" s="424">
        <v>21</v>
      </c>
      <c r="B205" s="2" t="s">
        <v>926</v>
      </c>
      <c r="D205" s="436">
        <f>SUM(D202:D204)</f>
        <v>4387526875.2507687</v>
      </c>
      <c r="E205" s="423" t="s">
        <v>3</v>
      </c>
      <c r="F205" s="1036"/>
      <c r="G205" s="506"/>
      <c r="H205" s="1036"/>
      <c r="I205" s="504">
        <f>SUM(I202:I204)</f>
        <v>7.4460567550804144E-2</v>
      </c>
      <c r="J205" s="885" t="s">
        <v>722</v>
      </c>
      <c r="L205" s="423"/>
      <c r="M205" s="423"/>
    </row>
    <row r="206" spans="1:18" ht="9.75" customHeight="1">
      <c r="A206" s="424"/>
      <c r="F206" s="1040"/>
      <c r="H206" s="1040"/>
      <c r="K206" s="423"/>
      <c r="L206" s="423"/>
      <c r="M206" s="423"/>
    </row>
    <row r="207" spans="1:18">
      <c r="A207" s="424"/>
      <c r="B207" s="418" t="s">
        <v>67</v>
      </c>
      <c r="C207" s="418"/>
      <c r="D207" s="418"/>
      <c r="E207" s="418"/>
      <c r="F207" s="1030"/>
      <c r="G207" s="418"/>
      <c r="H207" s="1030"/>
      <c r="I207" s="418"/>
      <c r="J207" s="418"/>
      <c r="K207" s="418"/>
      <c r="L207" s="488"/>
      <c r="M207" s="423"/>
    </row>
    <row r="208" spans="1:18">
      <c r="A208" s="424"/>
      <c r="B208" s="418" t="s">
        <v>68</v>
      </c>
      <c r="C208" s="418"/>
      <c r="D208" s="418" t="s">
        <v>69</v>
      </c>
      <c r="E208" s="2" t="s">
        <v>953</v>
      </c>
      <c r="F208" s="1030"/>
      <c r="G208" s="418" t="s">
        <v>3</v>
      </c>
      <c r="I208" s="507"/>
      <c r="J208" s="507"/>
      <c r="L208" s="417"/>
      <c r="M208" s="423"/>
    </row>
    <row r="209" spans="1:13">
      <c r="A209" s="424">
        <v>22</v>
      </c>
      <c r="B209" s="417" t="s">
        <v>214</v>
      </c>
      <c r="C209" s="418"/>
      <c r="D209" s="418"/>
      <c r="F209" s="418"/>
      <c r="I209" s="508">
        <v>0</v>
      </c>
      <c r="J209" s="509"/>
      <c r="L209" s="423"/>
      <c r="M209" s="423"/>
    </row>
    <row r="210" spans="1:13" ht="16.2" thickBot="1">
      <c r="A210" s="424">
        <v>23</v>
      </c>
      <c r="B210" s="510" t="s">
        <v>215</v>
      </c>
      <c r="C210" s="511"/>
      <c r="E210" s="418"/>
      <c r="F210" s="418"/>
      <c r="G210" s="418"/>
      <c r="H210" s="418"/>
      <c r="I210" s="512">
        <v>0</v>
      </c>
      <c r="J210" s="513"/>
      <c r="L210" s="423"/>
      <c r="M210" s="423"/>
    </row>
    <row r="211" spans="1:13">
      <c r="A211" s="424">
        <v>24</v>
      </c>
      <c r="B211" s="417" t="s">
        <v>70</v>
      </c>
      <c r="C211" s="418"/>
      <c r="E211" s="418"/>
      <c r="F211" s="418"/>
      <c r="G211" s="418"/>
      <c r="H211" s="418"/>
      <c r="I211" s="514">
        <f>+I209-I210</f>
        <v>0</v>
      </c>
      <c r="J211" s="509"/>
      <c r="L211" s="417"/>
      <c r="M211" s="423"/>
    </row>
    <row r="212" spans="1:13">
      <c r="A212" s="424"/>
      <c r="B212" s="417" t="s">
        <v>3</v>
      </c>
      <c r="C212" s="418"/>
      <c r="E212" s="418"/>
      <c r="F212" s="418"/>
      <c r="G212" s="453"/>
      <c r="H212" s="418"/>
      <c r="I212" s="514"/>
      <c r="J212" s="507"/>
      <c r="K212" s="515"/>
      <c r="L212" s="488"/>
      <c r="M212" s="423"/>
    </row>
    <row r="213" spans="1:13">
      <c r="B213" s="418"/>
      <c r="C213" s="418"/>
      <c r="D213" s="423"/>
      <c r="E213" s="423"/>
      <c r="F213" s="423"/>
      <c r="G213" s="423"/>
      <c r="H213" s="423"/>
      <c r="J213" s="586"/>
      <c r="K213" s="586"/>
      <c r="L213" s="488"/>
      <c r="M213" s="418"/>
    </row>
    <row r="214" spans="1:13">
      <c r="A214" s="424"/>
      <c r="B214" s="418"/>
      <c r="C214" s="418"/>
      <c r="D214" s="418"/>
      <c r="E214" s="418"/>
      <c r="F214" s="418"/>
      <c r="G214" s="418"/>
      <c r="H214" s="418"/>
      <c r="I214" s="517"/>
      <c r="J214" s="586"/>
      <c r="K214" s="586"/>
      <c r="L214" s="488"/>
      <c r="M214" s="418"/>
    </row>
    <row r="215" spans="1:13">
      <c r="A215" s="424"/>
      <c r="C215" s="424"/>
      <c r="D215" s="423"/>
      <c r="E215" s="423"/>
      <c r="F215" s="423"/>
      <c r="G215" s="423"/>
      <c r="H215" s="418"/>
      <c r="I215" s="518"/>
      <c r="J215" s="586"/>
      <c r="K215" s="586"/>
      <c r="L215" s="424"/>
      <c r="M215" s="418"/>
    </row>
    <row r="216" spans="1:13">
      <c r="A216" s="424"/>
      <c r="C216" s="424"/>
      <c r="D216" s="423"/>
      <c r="E216" s="423"/>
      <c r="F216" s="423"/>
      <c r="G216" s="423"/>
      <c r="H216" s="418"/>
      <c r="I216" s="518"/>
      <c r="J216" s="586"/>
      <c r="K216" s="586"/>
      <c r="L216" s="424"/>
      <c r="M216" s="418"/>
    </row>
    <row r="217" spans="1:13">
      <c r="A217" s="424"/>
      <c r="C217" s="424"/>
      <c r="D217" s="423"/>
      <c r="E217" s="423"/>
      <c r="F217" s="423"/>
      <c r="G217" s="423"/>
      <c r="H217" s="418"/>
      <c r="I217" s="518"/>
      <c r="J217" s="516"/>
      <c r="K217" s="518"/>
      <c r="L217" s="424"/>
      <c r="M217" s="418"/>
    </row>
    <row r="218" spans="1:13">
      <c r="A218" s="424"/>
      <c r="C218" s="424"/>
      <c r="D218" s="423"/>
      <c r="E218" s="423"/>
      <c r="F218" s="423"/>
      <c r="G218" s="423"/>
      <c r="H218" s="418"/>
      <c r="I218" s="518"/>
      <c r="J218" s="516"/>
      <c r="K218" s="518"/>
      <c r="L218" s="424"/>
      <c r="M218" s="418"/>
    </row>
    <row r="219" spans="1:13">
      <c r="A219" s="424"/>
      <c r="C219" s="424"/>
      <c r="D219" s="423"/>
      <c r="E219" s="423"/>
      <c r="F219" s="423"/>
      <c r="G219" s="423"/>
      <c r="H219" s="418"/>
      <c r="I219" s="518"/>
      <c r="J219" s="516"/>
      <c r="K219" s="518"/>
      <c r="L219" s="424"/>
      <c r="M219" s="418"/>
    </row>
    <row r="220" spans="1:13">
      <c r="A220" s="489"/>
      <c r="B220" s="418"/>
      <c r="C220" s="423"/>
      <c r="D220" s="423"/>
      <c r="E220" s="423"/>
      <c r="F220" s="423"/>
      <c r="G220" s="479"/>
      <c r="H220" s="423"/>
      <c r="I220" s="423"/>
      <c r="J220" s="423"/>
      <c r="K220" s="473"/>
      <c r="L220" s="417"/>
    </row>
    <row r="221" spans="1:13">
      <c r="A221" s="489"/>
      <c r="B221" s="418"/>
      <c r="C221" s="423"/>
      <c r="D221" s="423"/>
      <c r="E221" s="423"/>
      <c r="F221" s="423"/>
      <c r="G221" s="479"/>
      <c r="H221" s="423"/>
      <c r="I221" s="423"/>
      <c r="J221" s="423"/>
      <c r="K221" s="473"/>
      <c r="L221" s="417"/>
    </row>
    <row r="222" spans="1:13">
      <c r="B222" s="418"/>
      <c r="C222" s="418"/>
      <c r="D222" s="419"/>
      <c r="E222" s="418"/>
      <c r="F222" s="418"/>
      <c r="G222" s="418"/>
      <c r="H222" s="418"/>
      <c r="I222" s="424"/>
      <c r="J222" s="424"/>
      <c r="K222" s="420"/>
      <c r="L222" s="418"/>
      <c r="M222" s="418"/>
    </row>
    <row r="223" spans="1:13">
      <c r="B223" s="418"/>
      <c r="C223" s="418"/>
      <c r="D223" s="419"/>
      <c r="E223" s="418"/>
      <c r="F223" s="418"/>
      <c r="G223" s="418"/>
      <c r="H223" s="418"/>
      <c r="I223" s="420"/>
      <c r="J223" s="420"/>
      <c r="K223" s="420"/>
      <c r="L223" s="418"/>
      <c r="M223" s="418"/>
    </row>
    <row r="224" spans="1:13">
      <c r="A224" s="1"/>
      <c r="B224" s="418"/>
      <c r="C224" s="418"/>
      <c r="D224" s="419"/>
      <c r="E224" s="418"/>
      <c r="F224" s="418"/>
      <c r="G224" s="418"/>
      <c r="H224" s="418"/>
      <c r="I224" s="420"/>
      <c r="J224" s="420"/>
      <c r="K224" s="16"/>
      <c r="L224" s="418"/>
      <c r="M224" s="418"/>
    </row>
    <row r="225" spans="1:13" ht="16.5" customHeight="1">
      <c r="B225" s="418"/>
      <c r="C225" s="418"/>
      <c r="D225" s="419"/>
      <c r="E225" s="418"/>
      <c r="F225" s="418"/>
      <c r="G225" s="418"/>
      <c r="H225" s="418"/>
      <c r="I225" s="418"/>
      <c r="K225" s="420" t="str">
        <f>K161</f>
        <v>Attachment  H-4A</v>
      </c>
      <c r="L225" s="418"/>
      <c r="M225" s="418"/>
    </row>
    <row r="226" spans="1:13" ht="16.5" customHeight="1">
      <c r="B226" s="418"/>
      <c r="C226" s="418"/>
      <c r="D226" s="419"/>
      <c r="E226" s="418"/>
      <c r="F226" s="418"/>
      <c r="G226" s="418"/>
      <c r="H226" s="418"/>
      <c r="I226" s="418"/>
      <c r="J226" s="418"/>
      <c r="K226" s="420" t="s">
        <v>71</v>
      </c>
      <c r="L226" s="418"/>
      <c r="M226" s="418"/>
    </row>
    <row r="227" spans="1:13" ht="16.5" customHeight="1">
      <c r="B227" s="418"/>
      <c r="C227" s="418"/>
      <c r="D227" s="419"/>
      <c r="E227" s="418"/>
      <c r="F227" s="418"/>
      <c r="G227" s="418"/>
      <c r="H227" s="418"/>
      <c r="I227" s="418"/>
      <c r="J227" s="418"/>
      <c r="K227" s="420"/>
      <c r="L227" s="418"/>
      <c r="M227" s="418"/>
    </row>
    <row r="228" spans="1:13">
      <c r="B228" s="418" t="s">
        <v>1</v>
      </c>
      <c r="C228" s="418"/>
      <c r="D228" s="419" t="s">
        <v>2</v>
      </c>
      <c r="E228" s="418"/>
      <c r="F228" s="418"/>
      <c r="G228" s="418"/>
      <c r="H228" s="418"/>
      <c r="J228" s="418"/>
      <c r="K228" s="420" t="str">
        <f>K4</f>
        <v>For the 12 months ended 12/31/2023</v>
      </c>
      <c r="L228" s="418"/>
      <c r="M228" s="418"/>
    </row>
    <row r="229" spans="1:13">
      <c r="B229" s="418"/>
      <c r="C229" s="423" t="s">
        <v>3</v>
      </c>
      <c r="D229" s="423" t="s">
        <v>4</v>
      </c>
      <c r="E229" s="423"/>
      <c r="F229" s="423"/>
      <c r="G229" s="423"/>
      <c r="H229" s="418"/>
      <c r="I229" s="418"/>
      <c r="J229" s="418"/>
      <c r="K229" s="418"/>
      <c r="L229" s="418"/>
      <c r="M229" s="418"/>
    </row>
    <row r="230" spans="1:13">
      <c r="A230" s="424"/>
      <c r="C230" s="424"/>
      <c r="D230" s="423"/>
      <c r="E230" s="423"/>
      <c r="F230" s="423"/>
      <c r="G230" s="423"/>
      <c r="H230" s="418"/>
      <c r="I230" s="519"/>
      <c r="J230" s="507"/>
      <c r="K230" s="516"/>
      <c r="L230" s="424"/>
      <c r="M230" s="418"/>
    </row>
    <row r="231" spans="1:13">
      <c r="A231" s="424"/>
      <c r="C231" s="424"/>
      <c r="D231" s="423" t="str">
        <f>D7</f>
        <v>Jersey Central Power &amp; Light</v>
      </c>
      <c r="E231" s="423"/>
      <c r="F231" s="423"/>
      <c r="G231" s="423"/>
      <c r="H231" s="418"/>
      <c r="I231" s="519"/>
      <c r="J231" s="507"/>
      <c r="K231" s="516"/>
      <c r="L231" s="424"/>
      <c r="M231" s="418"/>
    </row>
    <row r="232" spans="1:13">
      <c r="A232" s="424"/>
      <c r="C232" s="424"/>
      <c r="D232" s="423"/>
      <c r="E232" s="423"/>
      <c r="F232" s="423"/>
      <c r="G232" s="423"/>
      <c r="H232" s="418"/>
      <c r="I232" s="519"/>
      <c r="J232" s="507"/>
      <c r="K232" s="516"/>
      <c r="L232" s="424"/>
      <c r="M232" s="418"/>
    </row>
    <row r="233" spans="1:13">
      <c r="A233" s="424"/>
      <c r="B233" s="418" t="s">
        <v>72</v>
      </c>
      <c r="C233" s="424"/>
      <c r="D233" s="423"/>
      <c r="E233" s="423"/>
      <c r="F233" s="423"/>
      <c r="G233" s="423"/>
      <c r="H233" s="418"/>
      <c r="I233" s="423"/>
      <c r="J233" s="418"/>
      <c r="K233" s="423"/>
      <c r="L233" s="424"/>
      <c r="M233" s="418"/>
    </row>
    <row r="234" spans="1:13">
      <c r="A234" s="424"/>
      <c r="B234" s="520" t="s">
        <v>103</v>
      </c>
      <c r="C234" s="424"/>
      <c r="D234" s="423"/>
      <c r="E234" s="423"/>
      <c r="F234" s="423"/>
      <c r="G234" s="423"/>
      <c r="H234" s="418"/>
      <c r="I234" s="423"/>
      <c r="J234" s="418"/>
      <c r="K234" s="423"/>
      <c r="L234" s="424"/>
      <c r="M234" s="418"/>
    </row>
    <row r="235" spans="1:13">
      <c r="A235" s="424"/>
      <c r="B235" s="520"/>
      <c r="C235" s="424"/>
      <c r="D235" s="423"/>
      <c r="E235" s="423"/>
      <c r="F235" s="423"/>
      <c r="G235" s="423"/>
      <c r="H235" s="418"/>
      <c r="I235" s="423"/>
      <c r="J235" s="418"/>
      <c r="K235" s="423"/>
      <c r="L235" s="424"/>
      <c r="M235" s="418"/>
    </row>
    <row r="236" spans="1:13">
      <c r="A236" s="424" t="s">
        <v>73</v>
      </c>
      <c r="B236" s="418"/>
      <c r="C236" s="418"/>
      <c r="D236" s="423"/>
      <c r="E236" s="423"/>
      <c r="F236" s="423"/>
      <c r="G236" s="423"/>
      <c r="H236" s="418"/>
      <c r="I236" s="423"/>
      <c r="J236" s="418"/>
      <c r="K236" s="423"/>
      <c r="L236" s="424"/>
      <c r="M236" s="418"/>
    </row>
    <row r="237" spans="1:13" ht="16.2" thickBot="1">
      <c r="A237" s="428" t="s">
        <v>74</v>
      </c>
      <c r="B237" s="418"/>
      <c r="C237" s="418"/>
      <c r="D237" s="423"/>
      <c r="E237" s="423"/>
      <c r="F237" s="423"/>
      <c r="G237" s="423"/>
      <c r="H237" s="418"/>
      <c r="I237" s="423"/>
      <c r="J237" s="418"/>
      <c r="K237" s="845"/>
      <c r="L237" s="424"/>
      <c r="M237" s="418"/>
    </row>
    <row r="238" spans="1:13" ht="18" customHeight="1">
      <c r="A238" s="521" t="s">
        <v>75</v>
      </c>
      <c r="B238" s="973" t="s">
        <v>496</v>
      </c>
      <c r="C238" s="973"/>
      <c r="D238" s="973"/>
      <c r="E238" s="973"/>
      <c r="F238" s="973"/>
      <c r="G238" s="973"/>
      <c r="H238" s="973"/>
      <c r="I238" s="973"/>
      <c r="J238" s="973"/>
      <c r="K238" s="973"/>
      <c r="L238" s="845"/>
      <c r="M238" s="418"/>
    </row>
    <row r="239" spans="1:13" ht="34.950000000000003" customHeight="1">
      <c r="A239" s="712" t="s">
        <v>76</v>
      </c>
      <c r="B239" s="975" t="s">
        <v>1013</v>
      </c>
      <c r="C239" s="976"/>
      <c r="D239" s="976"/>
      <c r="E239" s="976"/>
      <c r="F239" s="976"/>
      <c r="G239" s="976"/>
      <c r="H239" s="976"/>
      <c r="I239" s="976"/>
      <c r="J239" s="976"/>
      <c r="K239" s="976"/>
      <c r="L239" s="845"/>
      <c r="M239" s="418"/>
    </row>
    <row r="240" spans="1:13" ht="19.5" customHeight="1">
      <c r="A240" s="521" t="s">
        <v>77</v>
      </c>
      <c r="B240" s="973" t="s">
        <v>437</v>
      </c>
      <c r="C240" s="973"/>
      <c r="D240" s="973"/>
      <c r="E240" s="973"/>
      <c r="F240" s="973"/>
      <c r="G240" s="973"/>
      <c r="H240" s="973"/>
      <c r="I240" s="973"/>
      <c r="J240" s="973"/>
      <c r="K240" s="973"/>
      <c r="L240" s="522"/>
      <c r="M240" s="418"/>
    </row>
    <row r="241" spans="1:13" ht="53.1" customHeight="1">
      <c r="A241" s="712" t="s">
        <v>78</v>
      </c>
      <c r="B241" s="972" t="s">
        <v>1025</v>
      </c>
      <c r="C241" s="973"/>
      <c r="D241" s="973"/>
      <c r="E241" s="973"/>
      <c r="F241" s="973"/>
      <c r="G241" s="973"/>
      <c r="H241" s="973"/>
      <c r="I241" s="973"/>
      <c r="J241" s="973"/>
      <c r="K241" s="973"/>
      <c r="L241" s="424"/>
      <c r="M241" s="418"/>
    </row>
    <row r="242" spans="1:13">
      <c r="A242" s="712" t="s">
        <v>79</v>
      </c>
      <c r="B242" s="973" t="s">
        <v>82</v>
      </c>
      <c r="C242" s="973"/>
      <c r="D242" s="973"/>
      <c r="E242" s="973"/>
      <c r="F242" s="973"/>
      <c r="G242" s="973"/>
      <c r="H242" s="973"/>
      <c r="I242" s="973"/>
      <c r="J242" s="973"/>
      <c r="K242" s="973"/>
      <c r="L242" s="424"/>
      <c r="M242" s="418"/>
    </row>
    <row r="243" spans="1:13" ht="32.25" customHeight="1">
      <c r="A243" s="712" t="s">
        <v>80</v>
      </c>
      <c r="B243" s="972" t="s">
        <v>1014</v>
      </c>
      <c r="C243" s="972"/>
      <c r="D243" s="972"/>
      <c r="E243" s="972"/>
      <c r="F243" s="972"/>
      <c r="G243" s="972"/>
      <c r="H243" s="972"/>
      <c r="I243" s="972"/>
      <c r="J243" s="972"/>
      <c r="K243" s="972"/>
      <c r="L243" s="424"/>
      <c r="M243" s="418"/>
    </row>
    <row r="244" spans="1:13" ht="78" customHeight="1">
      <c r="A244" s="712" t="s">
        <v>81</v>
      </c>
      <c r="B244" s="975" t="s">
        <v>803</v>
      </c>
      <c r="C244" s="976"/>
      <c r="D244" s="976"/>
      <c r="E244" s="976"/>
      <c r="F244" s="976"/>
      <c r="G244" s="976"/>
      <c r="H244" s="976"/>
      <c r="I244" s="976"/>
      <c r="J244" s="976"/>
      <c r="K244" s="976"/>
      <c r="L244" s="424"/>
      <c r="M244" s="418"/>
    </row>
    <row r="245" spans="1:13" ht="32.25" customHeight="1">
      <c r="A245" s="712" t="s">
        <v>83</v>
      </c>
      <c r="B245" s="973" t="s">
        <v>515</v>
      </c>
      <c r="C245" s="973"/>
      <c r="D245" s="973"/>
      <c r="E245" s="973"/>
      <c r="F245" s="973"/>
      <c r="G245" s="973"/>
      <c r="H245" s="973"/>
      <c r="I245" s="973"/>
      <c r="J245" s="973"/>
      <c r="K245" s="973"/>
      <c r="L245" s="424"/>
      <c r="M245" s="418"/>
    </row>
    <row r="246" spans="1:13" ht="48" customHeight="1">
      <c r="A246" s="712" t="s">
        <v>84</v>
      </c>
      <c r="B246" s="973" t="s">
        <v>220</v>
      </c>
      <c r="C246" s="973"/>
      <c r="D246" s="973"/>
      <c r="E246" s="973"/>
      <c r="F246" s="973"/>
      <c r="G246" s="973"/>
      <c r="H246" s="973"/>
      <c r="I246" s="973"/>
      <c r="J246" s="973"/>
      <c r="K246" s="973"/>
      <c r="L246" s="424"/>
      <c r="M246" s="418"/>
    </row>
    <row r="247" spans="1:13">
      <c r="A247" s="712" t="s">
        <v>85</v>
      </c>
      <c r="B247" s="973" t="s">
        <v>91</v>
      </c>
      <c r="C247" s="973"/>
      <c r="D247" s="973"/>
      <c r="E247" s="973"/>
      <c r="F247" s="973"/>
      <c r="G247" s="973"/>
      <c r="H247" s="973"/>
      <c r="I247" s="973"/>
      <c r="J247" s="973"/>
      <c r="K247" s="973"/>
      <c r="L247" s="424"/>
      <c r="M247" s="418"/>
    </row>
    <row r="248" spans="1:13" ht="32.25" customHeight="1">
      <c r="A248" s="712" t="s">
        <v>86</v>
      </c>
      <c r="B248" s="972" t="s">
        <v>1024</v>
      </c>
      <c r="C248" s="973"/>
      <c r="D248" s="973"/>
      <c r="E248" s="973"/>
      <c r="F248" s="973"/>
      <c r="G248" s="973"/>
      <c r="H248" s="973"/>
      <c r="I248" s="973"/>
      <c r="J248" s="973"/>
      <c r="K248" s="973"/>
      <c r="L248" s="419"/>
      <c r="M248" s="418"/>
    </row>
    <row r="249" spans="1:13" ht="23.25" customHeight="1">
      <c r="A249" s="712" t="s">
        <v>87</v>
      </c>
      <c r="B249" s="972" t="s">
        <v>805</v>
      </c>
      <c r="C249" s="973"/>
      <c r="D249" s="973"/>
      <c r="E249" s="973"/>
      <c r="F249" s="973"/>
      <c r="G249" s="973"/>
      <c r="H249" s="973"/>
      <c r="I249" s="973"/>
      <c r="J249" s="973"/>
      <c r="K249" s="973"/>
      <c r="L249" s="424"/>
      <c r="M249" s="418"/>
    </row>
    <row r="250" spans="1:13" ht="35.549999999999997" customHeight="1">
      <c r="A250" s="935" t="s">
        <v>88</v>
      </c>
      <c r="B250" s="972" t="s">
        <v>1015</v>
      </c>
      <c r="C250" s="972"/>
      <c r="D250" s="972"/>
      <c r="E250" s="972"/>
      <c r="F250" s="972"/>
      <c r="G250" s="972"/>
      <c r="H250" s="972"/>
      <c r="I250" s="972"/>
      <c r="J250" s="972"/>
      <c r="K250" s="972"/>
      <c r="L250" s="844"/>
      <c r="M250" s="418"/>
    </row>
    <row r="251" spans="1:13" ht="15.75" customHeight="1">
      <c r="A251" s="935" t="s">
        <v>89</v>
      </c>
      <c r="B251" s="972" t="s">
        <v>1065</v>
      </c>
      <c r="C251" s="972"/>
      <c r="D251" s="972"/>
      <c r="E251" s="972"/>
      <c r="F251" s="972"/>
      <c r="G251" s="972"/>
      <c r="H251" s="972"/>
      <c r="I251" s="972"/>
      <c r="J251" s="972"/>
      <c r="K251" s="972"/>
      <c r="L251" s="418"/>
      <c r="M251" s="418"/>
    </row>
    <row r="252" spans="1:13" ht="15.75" customHeight="1">
      <c r="A252" s="935" t="s">
        <v>90</v>
      </c>
      <c r="B252" s="973" t="s">
        <v>216</v>
      </c>
      <c r="C252" s="973"/>
      <c r="D252" s="973"/>
      <c r="E252" s="973"/>
      <c r="F252" s="973"/>
      <c r="G252" s="973"/>
      <c r="H252" s="973"/>
      <c r="I252" s="973"/>
      <c r="J252" s="973"/>
      <c r="K252" s="973"/>
    </row>
    <row r="253" spans="1:13" ht="19.5" customHeight="1">
      <c r="A253" s="935" t="s">
        <v>92</v>
      </c>
      <c r="B253" s="978" t="s">
        <v>399</v>
      </c>
      <c r="C253" s="978"/>
      <c r="D253" s="978"/>
      <c r="E253" s="978"/>
      <c r="F253" s="978"/>
      <c r="G253" s="978"/>
      <c r="H253" s="978"/>
      <c r="I253" s="978"/>
      <c r="J253" s="978"/>
      <c r="K253" s="978"/>
    </row>
    <row r="254" spans="1:13">
      <c r="A254" s="17" t="s">
        <v>93</v>
      </c>
      <c r="B254" s="976" t="s">
        <v>400</v>
      </c>
      <c r="C254" s="976"/>
      <c r="D254" s="976"/>
      <c r="E254" s="976"/>
      <c r="F254" s="976"/>
      <c r="G254" s="976"/>
      <c r="H254" s="976"/>
      <c r="I254" s="976"/>
      <c r="J254" s="976"/>
      <c r="K254" s="976"/>
    </row>
    <row r="255" spans="1:13" ht="32.1" customHeight="1">
      <c r="A255" s="936" t="s">
        <v>967</v>
      </c>
      <c r="B255" s="975" t="s">
        <v>869</v>
      </c>
      <c r="C255" s="976"/>
      <c r="D255" s="976"/>
      <c r="E255" s="976"/>
      <c r="F255" s="976"/>
      <c r="G255" s="976"/>
      <c r="H255" s="976"/>
      <c r="I255" s="976"/>
      <c r="J255" s="976"/>
      <c r="K255" s="976"/>
      <c r="L255" s="417"/>
    </row>
    <row r="256" spans="1:13" ht="30.75" customHeight="1">
      <c r="A256" s="936" t="s">
        <v>972</v>
      </c>
      <c r="B256" s="979" t="s">
        <v>510</v>
      </c>
      <c r="C256" s="979"/>
      <c r="D256" s="979"/>
      <c r="E256" s="979"/>
      <c r="F256" s="979"/>
      <c r="G256" s="979"/>
      <c r="H256" s="979"/>
      <c r="I256" s="979"/>
      <c r="J256" s="979"/>
      <c r="K256" s="979"/>
      <c r="L256" s="524"/>
    </row>
    <row r="257" spans="1:11">
      <c r="B257" s="418"/>
      <c r="C257" s="418"/>
      <c r="D257" s="419"/>
      <c r="E257" s="418"/>
      <c r="F257" s="418"/>
      <c r="G257" s="418"/>
      <c r="H257" s="418"/>
      <c r="I257" s="418"/>
    </row>
    <row r="258" spans="1:11">
      <c r="B258" s="418"/>
      <c r="C258" s="419"/>
      <c r="E258" s="418"/>
      <c r="F258" s="418"/>
      <c r="G258" s="418"/>
    </row>
    <row r="259" spans="1:11">
      <c r="B259" s="418"/>
      <c r="C259" s="423"/>
      <c r="E259" s="423"/>
      <c r="F259" s="423"/>
      <c r="G259" s="423"/>
      <c r="H259" s="418"/>
      <c r="I259" s="418"/>
    </row>
    <row r="260" spans="1:11">
      <c r="B260" s="418"/>
      <c r="C260" s="418"/>
      <c r="D260" s="418"/>
      <c r="E260" s="418"/>
      <c r="F260" s="418"/>
      <c r="G260" s="418"/>
      <c r="H260" s="418"/>
      <c r="I260" s="418"/>
    </row>
    <row r="261" spans="1:11">
      <c r="A261" s="424"/>
      <c r="C261" s="525"/>
      <c r="E261" s="418"/>
      <c r="F261" s="418"/>
      <c r="G261" s="418"/>
      <c r="H261" s="418"/>
      <c r="I261" s="418"/>
    </row>
    <row r="262" spans="1:11">
      <c r="A262" s="424"/>
      <c r="C262" s="418"/>
      <c r="D262" s="425"/>
      <c r="E262" s="418"/>
      <c r="F262" s="418"/>
      <c r="G262" s="418"/>
      <c r="H262" s="418"/>
      <c r="I262" s="418"/>
    </row>
    <row r="263" spans="1:11">
      <c r="A263" s="424"/>
      <c r="B263" s="977"/>
      <c r="C263" s="977"/>
      <c r="D263" s="977"/>
      <c r="E263" s="977"/>
      <c r="F263" s="977"/>
      <c r="G263" s="977"/>
      <c r="H263" s="977"/>
      <c r="I263" s="977"/>
      <c r="J263" s="977"/>
      <c r="K263" s="977"/>
    </row>
    <row r="264" spans="1:11">
      <c r="A264" s="424"/>
      <c r="B264" s="977"/>
      <c r="C264" s="977"/>
      <c r="D264" s="977"/>
      <c r="E264" s="977"/>
      <c r="F264" s="977"/>
      <c r="G264" s="977"/>
      <c r="H264" s="977"/>
      <c r="I264" s="977"/>
      <c r="J264" s="977"/>
      <c r="K264" s="977"/>
    </row>
    <row r="265" spans="1:11">
      <c r="A265" s="424"/>
      <c r="B265" s="977"/>
      <c r="C265" s="977"/>
      <c r="D265" s="977"/>
      <c r="E265" s="977"/>
      <c r="F265" s="977"/>
      <c r="G265" s="977"/>
      <c r="H265" s="977"/>
      <c r="I265" s="977"/>
      <c r="J265" s="977"/>
      <c r="K265" s="977"/>
    </row>
    <row r="266" spans="1:11">
      <c r="A266" s="424"/>
      <c r="B266" s="977"/>
      <c r="C266" s="977"/>
      <c r="D266" s="977"/>
      <c r="E266" s="977"/>
      <c r="F266" s="977"/>
      <c r="G266" s="977"/>
      <c r="H266" s="977"/>
      <c r="I266" s="977"/>
      <c r="J266" s="977"/>
      <c r="K266" s="977"/>
    </row>
    <row r="267" spans="1:11">
      <c r="A267" s="424"/>
      <c r="C267" s="418"/>
      <c r="D267" s="425"/>
      <c r="E267" s="418"/>
      <c r="F267" s="418"/>
      <c r="G267" s="418"/>
      <c r="H267" s="418"/>
      <c r="I267" s="418"/>
    </row>
    <row r="268" spans="1:11">
      <c r="A268" s="424"/>
      <c r="B268" s="977"/>
      <c r="C268" s="977"/>
      <c r="D268" s="977"/>
      <c r="E268" s="977"/>
      <c r="F268" s="977"/>
      <c r="G268" s="977"/>
      <c r="H268" s="977"/>
      <c r="I268" s="977"/>
      <c r="J268" s="977"/>
      <c r="K268" s="977"/>
    </row>
    <row r="269" spans="1:11">
      <c r="A269" s="424"/>
      <c r="B269" s="977"/>
      <c r="C269" s="977"/>
      <c r="D269" s="977"/>
      <c r="E269" s="977"/>
      <c r="F269" s="977"/>
      <c r="G269" s="977"/>
      <c r="H269" s="977"/>
      <c r="I269" s="977"/>
      <c r="J269" s="977"/>
      <c r="K269" s="977"/>
    </row>
    <row r="270" spans="1:11">
      <c r="A270" s="424"/>
      <c r="B270" s="977"/>
      <c r="C270" s="977"/>
      <c r="D270" s="977"/>
      <c r="E270" s="977"/>
      <c r="F270" s="977"/>
      <c r="G270" s="977"/>
      <c r="H270" s="977"/>
      <c r="I270" s="977"/>
      <c r="J270" s="977"/>
      <c r="K270" s="977"/>
    </row>
    <row r="271" spans="1:11">
      <c r="A271" s="424"/>
      <c r="C271" s="418"/>
      <c r="D271" s="425"/>
      <c r="E271" s="418"/>
      <c r="F271" s="418"/>
      <c r="G271" s="418"/>
      <c r="H271" s="418"/>
      <c r="I271" s="418"/>
    </row>
    <row r="272" spans="1:11">
      <c r="A272" s="424"/>
      <c r="C272" s="418"/>
      <c r="D272" s="425"/>
      <c r="E272" s="418"/>
      <c r="F272" s="418"/>
      <c r="G272" s="418"/>
      <c r="H272" s="418"/>
      <c r="I272" s="418"/>
    </row>
    <row r="273" spans="1:9">
      <c r="A273" s="424"/>
      <c r="C273" s="418"/>
      <c r="D273" s="425"/>
      <c r="E273" s="418"/>
      <c r="F273" s="418"/>
      <c r="G273" s="418"/>
      <c r="H273" s="418"/>
      <c r="I273" s="424"/>
    </row>
    <row r="274" spans="1:9">
      <c r="A274" s="424"/>
      <c r="C274" s="418"/>
      <c r="D274" s="418"/>
      <c r="E274" s="418"/>
      <c r="F274" s="418"/>
      <c r="G274" s="424"/>
      <c r="H274" s="418"/>
      <c r="I274" s="424"/>
    </row>
    <row r="275" spans="1:9">
      <c r="A275" s="424"/>
      <c r="C275" s="418"/>
      <c r="D275" s="423"/>
      <c r="E275" s="418"/>
      <c r="F275" s="418"/>
      <c r="G275" s="418"/>
      <c r="H275" s="418"/>
      <c r="I275" s="429"/>
    </row>
    <row r="276" spans="1:9">
      <c r="C276" s="424"/>
      <c r="D276" s="424"/>
      <c r="E276" s="423"/>
      <c r="F276" s="423"/>
      <c r="G276" s="426"/>
      <c r="H276" s="423"/>
      <c r="I276" s="427"/>
    </row>
    <row r="277" spans="1:9">
      <c r="C277" s="526"/>
      <c r="D277" s="423"/>
      <c r="E277" s="423"/>
      <c r="F277" s="423"/>
      <c r="G277" s="424"/>
      <c r="H277" s="423"/>
      <c r="I277" s="470"/>
    </row>
    <row r="278" spans="1:9">
      <c r="A278" s="424"/>
      <c r="B278" s="418"/>
      <c r="C278" s="469"/>
      <c r="D278" s="470"/>
      <c r="E278" s="472"/>
      <c r="F278" s="470"/>
      <c r="H278" s="472"/>
      <c r="I278" s="424"/>
    </row>
    <row r="279" spans="1:9">
      <c r="A279" s="424"/>
      <c r="B279" s="474"/>
      <c r="C279" s="423"/>
      <c r="D279" s="423"/>
      <c r="E279" s="423"/>
      <c r="F279" s="423"/>
      <c r="G279" s="423"/>
      <c r="H279" s="423"/>
      <c r="I279" s="423"/>
    </row>
    <row r="280" spans="1:9">
      <c r="A280" s="424"/>
      <c r="B280" s="418"/>
      <c r="C280" s="423"/>
      <c r="D280" s="423"/>
      <c r="E280" s="423"/>
      <c r="F280" s="423"/>
      <c r="G280" s="423"/>
      <c r="H280" s="423"/>
      <c r="I280" s="423"/>
    </row>
    <row r="281" spans="1:9">
      <c r="A281" s="424"/>
      <c r="B281" s="418"/>
      <c r="C281" s="423"/>
      <c r="D281" s="423"/>
      <c r="E281" s="423"/>
      <c r="F281" s="423"/>
      <c r="G281" s="423"/>
      <c r="H281" s="423"/>
      <c r="I281" s="423"/>
    </row>
    <row r="282" spans="1:9">
      <c r="A282" s="424"/>
      <c r="B282" s="484"/>
      <c r="D282" s="423"/>
      <c r="E282" s="423"/>
      <c r="F282" s="423"/>
      <c r="G282" s="491"/>
      <c r="H282" s="423"/>
      <c r="I282" s="423"/>
    </row>
    <row r="283" spans="1:9">
      <c r="A283" s="424"/>
      <c r="B283" s="418"/>
      <c r="D283" s="423"/>
      <c r="E283" s="423"/>
      <c r="F283" s="423"/>
      <c r="G283" s="491"/>
      <c r="H283" s="423"/>
      <c r="I283" s="423"/>
    </row>
    <row r="284" spans="1:9">
      <c r="A284" s="424"/>
      <c r="B284" s="418"/>
      <c r="C284" s="423"/>
      <c r="D284" s="423"/>
      <c r="E284" s="423"/>
      <c r="F284" s="423"/>
      <c r="G284" s="423"/>
      <c r="H284" s="423"/>
      <c r="I284" s="423"/>
    </row>
    <row r="285" spans="1:9">
      <c r="A285" s="424"/>
      <c r="B285" s="418"/>
      <c r="C285" s="423"/>
      <c r="D285" s="423"/>
      <c r="E285" s="423"/>
      <c r="F285" s="423"/>
      <c r="G285" s="423"/>
      <c r="H285" s="423"/>
      <c r="I285" s="423"/>
    </row>
    <row r="286" spans="1:9">
      <c r="A286" s="424"/>
      <c r="B286" s="418"/>
      <c r="C286" s="418"/>
      <c r="D286" s="423"/>
      <c r="E286" s="423"/>
      <c r="F286" s="423"/>
      <c r="G286" s="423"/>
      <c r="H286" s="418"/>
      <c r="I286" s="423"/>
    </row>
    <row r="287" spans="1:9">
      <c r="A287" s="424"/>
      <c r="B287" s="418"/>
      <c r="C287" s="418"/>
      <c r="D287" s="423"/>
      <c r="E287" s="423"/>
      <c r="F287" s="423"/>
      <c r="G287" s="423"/>
      <c r="H287" s="418"/>
      <c r="I287" s="423"/>
    </row>
    <row r="288" spans="1:9">
      <c r="A288" s="424"/>
      <c r="B288" s="418"/>
      <c r="C288" s="418"/>
      <c r="D288" s="418"/>
      <c r="E288" s="418"/>
      <c r="F288" s="418"/>
      <c r="G288" s="418"/>
      <c r="H288" s="418"/>
      <c r="I288" s="418"/>
    </row>
    <row r="289" spans="1:9">
      <c r="A289" s="424"/>
      <c r="B289" s="418"/>
      <c r="C289" s="418"/>
      <c r="D289" s="418"/>
      <c r="E289" s="418"/>
      <c r="F289" s="418"/>
      <c r="G289" s="418"/>
      <c r="H289" s="418"/>
      <c r="I289" s="418"/>
    </row>
    <row r="290" spans="1:9">
      <c r="A290" s="424"/>
      <c r="B290" s="418"/>
      <c r="C290" s="418"/>
      <c r="D290" s="418"/>
      <c r="E290" s="418"/>
      <c r="F290" s="418"/>
      <c r="G290" s="418"/>
      <c r="H290" s="418"/>
      <c r="I290" s="418"/>
    </row>
    <row r="291" spans="1:9">
      <c r="A291" s="424"/>
      <c r="B291" s="527"/>
      <c r="C291" s="418"/>
      <c r="D291" s="418"/>
      <c r="E291" s="418"/>
      <c r="F291" s="418"/>
      <c r="G291" s="418"/>
      <c r="H291" s="418"/>
      <c r="I291" s="418"/>
    </row>
    <row r="292" spans="1:9">
      <c r="A292" s="424"/>
      <c r="B292" s="527"/>
      <c r="C292" s="418"/>
      <c r="D292" s="418"/>
      <c r="E292" s="418"/>
      <c r="F292" s="418"/>
      <c r="G292" s="418"/>
      <c r="H292" s="418"/>
      <c r="I292" s="418"/>
    </row>
    <row r="293" spans="1:9">
      <c r="A293" s="424"/>
      <c r="B293" s="527"/>
      <c r="C293" s="418"/>
      <c r="D293" s="418"/>
      <c r="E293" s="418"/>
      <c r="F293" s="418"/>
      <c r="G293" s="418"/>
      <c r="H293" s="418"/>
      <c r="I293" s="418"/>
    </row>
    <row r="294" spans="1:9">
      <c r="A294" s="424"/>
      <c r="B294" s="527"/>
      <c r="C294" s="418"/>
      <c r="D294" s="418"/>
      <c r="E294" s="418"/>
      <c r="F294" s="418"/>
      <c r="G294" s="418"/>
      <c r="H294" s="418"/>
      <c r="I294" s="418"/>
    </row>
    <row r="295" spans="1:9">
      <c r="A295" s="424"/>
      <c r="B295" s="527"/>
      <c r="C295" s="418"/>
      <c r="D295" s="418"/>
      <c r="E295" s="418"/>
      <c r="F295" s="418"/>
      <c r="G295" s="418"/>
      <c r="H295" s="418"/>
      <c r="I295" s="418"/>
    </row>
    <row r="296" spans="1:9">
      <c r="A296" s="424"/>
      <c r="B296" s="527"/>
      <c r="C296" s="418"/>
      <c r="D296" s="418"/>
      <c r="E296" s="418"/>
      <c r="F296" s="418"/>
      <c r="G296" s="418"/>
      <c r="H296" s="418"/>
      <c r="I296" s="418"/>
    </row>
    <row r="297" spans="1:9">
      <c r="A297" s="424"/>
      <c r="B297" s="527"/>
      <c r="C297" s="418"/>
      <c r="D297" s="418"/>
      <c r="E297" s="418"/>
      <c r="F297" s="418"/>
      <c r="G297" s="418"/>
      <c r="H297" s="418"/>
      <c r="I297" s="418"/>
    </row>
    <row r="298" spans="1:9">
      <c r="A298" s="424"/>
      <c r="B298" s="418"/>
      <c r="C298" s="418"/>
      <c r="D298" s="418"/>
      <c r="E298" s="418"/>
      <c r="F298" s="418"/>
      <c r="G298" s="418"/>
      <c r="H298" s="418"/>
      <c r="I298" s="418"/>
    </row>
    <row r="299" spans="1:9">
      <c r="A299" s="424"/>
      <c r="B299" s="418"/>
      <c r="C299" s="418"/>
      <c r="D299" s="418"/>
      <c r="E299" s="418"/>
      <c r="F299" s="418"/>
      <c r="G299" s="418"/>
      <c r="H299" s="418"/>
      <c r="I299" s="418"/>
    </row>
    <row r="300" spans="1:9">
      <c r="A300" s="456"/>
      <c r="B300" s="419"/>
    </row>
    <row r="301" spans="1:9">
      <c r="B301" s="419"/>
    </row>
    <row r="302" spans="1:9">
      <c r="B302" s="419"/>
    </row>
    <row r="303" spans="1:9">
      <c r="B303" s="419"/>
    </row>
    <row r="304" spans="1:9">
      <c r="B304" s="419"/>
    </row>
    <row r="305" spans="1:12">
      <c r="B305" s="419"/>
    </row>
    <row r="306" spans="1:12">
      <c r="B306" s="419"/>
    </row>
    <row r="307" spans="1:12">
      <c r="B307" s="419"/>
    </row>
    <row r="309" spans="1:12">
      <c r="A309" s="418"/>
      <c r="B309" s="423"/>
      <c r="C309" s="423"/>
      <c r="D309" s="423"/>
      <c r="E309" s="423"/>
      <c r="F309" s="479"/>
      <c r="G309" s="423"/>
      <c r="H309" s="423"/>
      <c r="I309" s="423"/>
      <c r="K309" s="473"/>
      <c r="L309" s="417"/>
    </row>
    <row r="310" spans="1:12">
      <c r="A310" s="418"/>
      <c r="B310" s="423"/>
      <c r="C310" s="423"/>
      <c r="D310" s="423"/>
      <c r="E310" s="423"/>
      <c r="F310" s="479"/>
      <c r="G310" s="423"/>
      <c r="H310" s="423"/>
      <c r="I310" s="423"/>
      <c r="K310" s="473"/>
      <c r="L310" s="417"/>
    </row>
    <row r="311" spans="1:12">
      <c r="A311" s="418"/>
      <c r="B311" s="423"/>
      <c r="C311" s="423"/>
      <c r="D311" s="423"/>
      <c r="E311" s="423"/>
      <c r="F311" s="479"/>
      <c r="G311" s="423"/>
      <c r="H311" s="423"/>
      <c r="I311" s="423"/>
      <c r="J311" s="479"/>
      <c r="K311" s="479"/>
      <c r="L311" s="417"/>
    </row>
  </sheetData>
  <customSheetViews>
    <customSheetView guid="{E1861F40-EBD5-44AE-868B-FDE0ED504D72}" scale="75" showPageBreaks="1" printArea="1" view="pageBreakPreview" topLeftCell="A307">
      <selection activeCell="D146" sqref="D146"/>
      <rowBreaks count="4" manualBreakCount="4">
        <brk id="55" max="10" man="1"/>
        <brk id="129" max="16383" man="1"/>
        <brk id="206" max="16383" man="1"/>
        <brk id="285" max="16383" man="1"/>
      </rowBreaks>
      <pageMargins left="0.75" right="0.75" top="1" bottom="1" header="0.5" footer="0.5"/>
      <pageSetup scale="44" fitToHeight="5" orientation="portrait" r:id="rId1"/>
      <headerFooter alignWithMargins="0"/>
    </customSheetView>
  </customSheetViews>
  <mergeCells count="27">
    <mergeCell ref="B264:K264"/>
    <mergeCell ref="B263:K263"/>
    <mergeCell ref="B251:K251"/>
    <mergeCell ref="B253:K253"/>
    <mergeCell ref="B255:K255"/>
    <mergeCell ref="B254:K254"/>
    <mergeCell ref="B256:K256"/>
    <mergeCell ref="B243:K243"/>
    <mergeCell ref="B252:K252"/>
    <mergeCell ref="B244:K244"/>
    <mergeCell ref="B245:K245"/>
    <mergeCell ref="B248:K248"/>
    <mergeCell ref="B247:K247"/>
    <mergeCell ref="B246:K246"/>
    <mergeCell ref="B250:K250"/>
    <mergeCell ref="B270:K270"/>
    <mergeCell ref="B269:K269"/>
    <mergeCell ref="B268:K268"/>
    <mergeCell ref="B266:K266"/>
    <mergeCell ref="B265:K265"/>
    <mergeCell ref="B249:K249"/>
    <mergeCell ref="M194:R194"/>
    <mergeCell ref="B240:K240"/>
    <mergeCell ref="B241:K241"/>
    <mergeCell ref="B238:K238"/>
    <mergeCell ref="B242:K242"/>
    <mergeCell ref="B239:K239"/>
  </mergeCells>
  <phoneticPr fontId="0" type="noConversion"/>
  <printOptions horizontalCentered="1"/>
  <pageMargins left="0.7" right="0.7" top="0.75" bottom="0.75" header="0.3" footer="0.3"/>
  <pageSetup scale="38" fitToWidth="0" fitToHeight="0" orientation="portrait" r:id="rId2"/>
  <headerFooter alignWithMargins="0"/>
  <rowBreaks count="4" manualBreakCount="4">
    <brk id="39" max="10" man="1"/>
    <brk id="107" max="10" man="1"/>
    <brk id="159" max="10" man="1"/>
    <brk id="223" max="10" man="1"/>
  </rowBreaks>
  <ignoredErrors>
    <ignoredError sqref="D16"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pageSetUpPr fitToPage="1"/>
  </sheetPr>
  <dimension ref="A1:AE31"/>
  <sheetViews>
    <sheetView zoomScale="80" zoomScaleNormal="80" zoomScalePageLayoutView="80" workbookViewId="0">
      <selection activeCell="C1" sqref="C1"/>
    </sheetView>
  </sheetViews>
  <sheetFormatPr defaultColWidth="5" defaultRowHeight="15.6"/>
  <cols>
    <col min="1" max="1" width="5.26953125" style="601" bestFit="1" customWidth="1"/>
    <col min="2" max="2" width="2.08984375" style="601" customWidth="1"/>
    <col min="3" max="3" width="32.08984375" style="600" customWidth="1"/>
    <col min="4" max="4" width="5.08984375" style="600" customWidth="1"/>
    <col min="5" max="5" width="7.81640625" style="600" bestFit="1" customWidth="1"/>
    <col min="6" max="6" width="2.08984375" style="600" customWidth="1"/>
    <col min="7" max="7" width="16.08984375" style="600" customWidth="1"/>
    <col min="8" max="8" width="2.08984375" style="600" customWidth="1"/>
    <col min="9" max="9" width="8.81640625" style="602" customWidth="1"/>
    <col min="10" max="10" width="2.08984375" style="600" customWidth="1"/>
    <col min="11" max="11" width="16.08984375" style="602" customWidth="1"/>
    <col min="12" max="12" width="7.26953125" style="600" customWidth="1"/>
    <col min="13" max="13" width="9.81640625" style="602" customWidth="1"/>
    <col min="14" max="14" width="0.7265625" style="600" customWidth="1"/>
    <col min="15" max="15" width="13.453125" style="601" customWidth="1"/>
    <col min="16" max="16" width="0.54296875" style="600" customWidth="1"/>
    <col min="17" max="17" width="9.54296875" style="601" customWidth="1"/>
    <col min="18" max="19" width="0.54296875" style="600" customWidth="1"/>
    <col min="20" max="237" width="5" style="600"/>
    <col min="238" max="238" width="4.7265625" style="600" customWidth="1"/>
    <col min="239" max="239" width="2" style="600" customWidth="1"/>
    <col min="240" max="240" width="40.7265625" style="600" customWidth="1"/>
    <col min="241" max="241" width="3.54296875" style="600" customWidth="1"/>
    <col min="242" max="242" width="11.08984375" style="600" customWidth="1"/>
    <col min="243" max="243" width="2.7265625" style="600" customWidth="1"/>
    <col min="244" max="244" width="11.26953125" style="600" customWidth="1"/>
    <col min="245" max="245" width="2.7265625" style="600" customWidth="1"/>
    <col min="246" max="246" width="11.26953125" style="600" customWidth="1"/>
    <col min="247" max="247" width="2.7265625" style="600" customWidth="1"/>
    <col min="248" max="248" width="19.08984375" style="600" bestFit="1" customWidth="1"/>
    <col min="249" max="249" width="1.81640625" style="600" customWidth="1"/>
    <col min="250" max="250" width="6.7265625" style="600" customWidth="1"/>
    <col min="251" max="251" width="14.7265625" style="600" customWidth="1"/>
    <col min="252" max="252" width="9" style="600" bestFit="1" customWidth="1"/>
    <col min="253" max="493" width="5" style="600"/>
    <col min="494" max="494" width="4.7265625" style="600" customWidth="1"/>
    <col min="495" max="495" width="2" style="600" customWidth="1"/>
    <col min="496" max="496" width="40.7265625" style="600" customWidth="1"/>
    <col min="497" max="497" width="3.54296875" style="600" customWidth="1"/>
    <col min="498" max="498" width="11.08984375" style="600" customWidth="1"/>
    <col min="499" max="499" width="2.7265625" style="600" customWidth="1"/>
    <col min="500" max="500" width="11.26953125" style="600" customWidth="1"/>
    <col min="501" max="501" width="2.7265625" style="600" customWidth="1"/>
    <col min="502" max="502" width="11.26953125" style="600" customWidth="1"/>
    <col min="503" max="503" width="2.7265625" style="600" customWidth="1"/>
    <col min="504" max="504" width="19.08984375" style="600" bestFit="1" customWidth="1"/>
    <col min="505" max="505" width="1.81640625" style="600" customWidth="1"/>
    <col min="506" max="506" width="6.7265625" style="600" customWidth="1"/>
    <col min="507" max="507" width="14.7265625" style="600" customWidth="1"/>
    <col min="508" max="508" width="9" style="600" bestFit="1" customWidth="1"/>
    <col min="509" max="749" width="5" style="600"/>
    <col min="750" max="750" width="4.7265625" style="600" customWidth="1"/>
    <col min="751" max="751" width="2" style="600" customWidth="1"/>
    <col min="752" max="752" width="40.7265625" style="600" customWidth="1"/>
    <col min="753" max="753" width="3.54296875" style="600" customWidth="1"/>
    <col min="754" max="754" width="11.08984375" style="600" customWidth="1"/>
    <col min="755" max="755" width="2.7265625" style="600" customWidth="1"/>
    <col min="756" max="756" width="11.26953125" style="600" customWidth="1"/>
    <col min="757" max="757" width="2.7265625" style="600" customWidth="1"/>
    <col min="758" max="758" width="11.26953125" style="600" customWidth="1"/>
    <col min="759" max="759" width="2.7265625" style="600" customWidth="1"/>
    <col min="760" max="760" width="19.08984375" style="600" bestFit="1" customWidth="1"/>
    <col min="761" max="761" width="1.81640625" style="600" customWidth="1"/>
    <col min="762" max="762" width="6.7265625" style="600" customWidth="1"/>
    <col min="763" max="763" width="14.7265625" style="600" customWidth="1"/>
    <col min="764" max="764" width="9" style="600" bestFit="1" customWidth="1"/>
    <col min="765" max="1005" width="5" style="600"/>
    <col min="1006" max="1006" width="4.7265625" style="600" customWidth="1"/>
    <col min="1007" max="1007" width="2" style="600" customWidth="1"/>
    <col min="1008" max="1008" width="40.7265625" style="600" customWidth="1"/>
    <col min="1009" max="1009" width="3.54296875" style="600" customWidth="1"/>
    <col min="1010" max="1010" width="11.08984375" style="600" customWidth="1"/>
    <col min="1011" max="1011" width="2.7265625" style="600" customWidth="1"/>
    <col min="1012" max="1012" width="11.26953125" style="600" customWidth="1"/>
    <col min="1013" max="1013" width="2.7265625" style="600" customWidth="1"/>
    <col min="1014" max="1014" width="11.26953125" style="600" customWidth="1"/>
    <col min="1015" max="1015" width="2.7265625" style="600" customWidth="1"/>
    <col min="1016" max="1016" width="19.08984375" style="600" bestFit="1" customWidth="1"/>
    <col min="1017" max="1017" width="1.81640625" style="600" customWidth="1"/>
    <col min="1018" max="1018" width="6.7265625" style="600" customWidth="1"/>
    <col min="1019" max="1019" width="14.7265625" style="600" customWidth="1"/>
    <col min="1020" max="1020" width="9" style="600" bestFit="1" customWidth="1"/>
    <col min="1021" max="1261" width="5" style="600"/>
    <col min="1262" max="1262" width="4.7265625" style="600" customWidth="1"/>
    <col min="1263" max="1263" width="2" style="600" customWidth="1"/>
    <col min="1264" max="1264" width="40.7265625" style="600" customWidth="1"/>
    <col min="1265" max="1265" width="3.54296875" style="600" customWidth="1"/>
    <col min="1266" max="1266" width="11.08984375" style="600" customWidth="1"/>
    <col min="1267" max="1267" width="2.7265625" style="600" customWidth="1"/>
    <col min="1268" max="1268" width="11.26953125" style="600" customWidth="1"/>
    <col min="1269" max="1269" width="2.7265625" style="600" customWidth="1"/>
    <col min="1270" max="1270" width="11.26953125" style="600" customWidth="1"/>
    <col min="1271" max="1271" width="2.7265625" style="600" customWidth="1"/>
    <col min="1272" max="1272" width="19.08984375" style="600" bestFit="1" customWidth="1"/>
    <col min="1273" max="1273" width="1.81640625" style="600" customWidth="1"/>
    <col min="1274" max="1274" width="6.7265625" style="600" customWidth="1"/>
    <col min="1275" max="1275" width="14.7265625" style="600" customWidth="1"/>
    <col min="1276" max="1276" width="9" style="600" bestFit="1" customWidth="1"/>
    <col min="1277" max="1517" width="5" style="600"/>
    <col min="1518" max="1518" width="4.7265625" style="600" customWidth="1"/>
    <col min="1519" max="1519" width="2" style="600" customWidth="1"/>
    <col min="1520" max="1520" width="40.7265625" style="600" customWidth="1"/>
    <col min="1521" max="1521" width="3.54296875" style="600" customWidth="1"/>
    <col min="1522" max="1522" width="11.08984375" style="600" customWidth="1"/>
    <col min="1523" max="1523" width="2.7265625" style="600" customWidth="1"/>
    <col min="1524" max="1524" width="11.26953125" style="600" customWidth="1"/>
    <col min="1525" max="1525" width="2.7265625" style="600" customWidth="1"/>
    <col min="1526" max="1526" width="11.26953125" style="600" customWidth="1"/>
    <col min="1527" max="1527" width="2.7265625" style="600" customWidth="1"/>
    <col min="1528" max="1528" width="19.08984375" style="600" bestFit="1" customWidth="1"/>
    <col min="1529" max="1529" width="1.81640625" style="600" customWidth="1"/>
    <col min="1530" max="1530" width="6.7265625" style="600" customWidth="1"/>
    <col min="1531" max="1531" width="14.7265625" style="600" customWidth="1"/>
    <col min="1532" max="1532" width="9" style="600" bestFit="1" customWidth="1"/>
    <col min="1533" max="1773" width="5" style="600"/>
    <col min="1774" max="1774" width="4.7265625" style="600" customWidth="1"/>
    <col min="1775" max="1775" width="2" style="600" customWidth="1"/>
    <col min="1776" max="1776" width="40.7265625" style="600" customWidth="1"/>
    <col min="1777" max="1777" width="3.54296875" style="600" customWidth="1"/>
    <col min="1778" max="1778" width="11.08984375" style="600" customWidth="1"/>
    <col min="1779" max="1779" width="2.7265625" style="600" customWidth="1"/>
    <col min="1780" max="1780" width="11.26953125" style="600" customWidth="1"/>
    <col min="1781" max="1781" width="2.7265625" style="600" customWidth="1"/>
    <col min="1782" max="1782" width="11.26953125" style="600" customWidth="1"/>
    <col min="1783" max="1783" width="2.7265625" style="600" customWidth="1"/>
    <col min="1784" max="1784" width="19.08984375" style="600" bestFit="1" customWidth="1"/>
    <col min="1785" max="1785" width="1.81640625" style="600" customWidth="1"/>
    <col min="1786" max="1786" width="6.7265625" style="600" customWidth="1"/>
    <col min="1787" max="1787" width="14.7265625" style="600" customWidth="1"/>
    <col min="1788" max="1788" width="9" style="600" bestFit="1" customWidth="1"/>
    <col min="1789" max="2029" width="5" style="600"/>
    <col min="2030" max="2030" width="4.7265625" style="600" customWidth="1"/>
    <col min="2031" max="2031" width="2" style="600" customWidth="1"/>
    <col min="2032" max="2032" width="40.7265625" style="600" customWidth="1"/>
    <col min="2033" max="2033" width="3.54296875" style="600" customWidth="1"/>
    <col min="2034" max="2034" width="11.08984375" style="600" customWidth="1"/>
    <col min="2035" max="2035" width="2.7265625" style="600" customWidth="1"/>
    <col min="2036" max="2036" width="11.26953125" style="600" customWidth="1"/>
    <col min="2037" max="2037" width="2.7265625" style="600" customWidth="1"/>
    <col min="2038" max="2038" width="11.26953125" style="600" customWidth="1"/>
    <col min="2039" max="2039" width="2.7265625" style="600" customWidth="1"/>
    <col min="2040" max="2040" width="19.08984375" style="600" bestFit="1" customWidth="1"/>
    <col min="2041" max="2041" width="1.81640625" style="600" customWidth="1"/>
    <col min="2042" max="2042" width="6.7265625" style="600" customWidth="1"/>
    <col min="2043" max="2043" width="14.7265625" style="600" customWidth="1"/>
    <col min="2044" max="2044" width="9" style="600" bestFit="1" customWidth="1"/>
    <col min="2045" max="2285" width="5" style="600"/>
    <col min="2286" max="2286" width="4.7265625" style="600" customWidth="1"/>
    <col min="2287" max="2287" width="2" style="600" customWidth="1"/>
    <col min="2288" max="2288" width="40.7265625" style="600" customWidth="1"/>
    <col min="2289" max="2289" width="3.54296875" style="600" customWidth="1"/>
    <col min="2290" max="2290" width="11.08984375" style="600" customWidth="1"/>
    <col min="2291" max="2291" width="2.7265625" style="600" customWidth="1"/>
    <col min="2292" max="2292" width="11.26953125" style="600" customWidth="1"/>
    <col min="2293" max="2293" width="2.7265625" style="600" customWidth="1"/>
    <col min="2294" max="2294" width="11.26953125" style="600" customWidth="1"/>
    <col min="2295" max="2295" width="2.7265625" style="600" customWidth="1"/>
    <col min="2296" max="2296" width="19.08984375" style="600" bestFit="1" customWidth="1"/>
    <col min="2297" max="2297" width="1.81640625" style="600" customWidth="1"/>
    <col min="2298" max="2298" width="6.7265625" style="600" customWidth="1"/>
    <col min="2299" max="2299" width="14.7265625" style="600" customWidth="1"/>
    <col min="2300" max="2300" width="9" style="600" bestFit="1" customWidth="1"/>
    <col min="2301" max="2541" width="5" style="600"/>
    <col min="2542" max="2542" width="4.7265625" style="600" customWidth="1"/>
    <col min="2543" max="2543" width="2" style="600" customWidth="1"/>
    <col min="2544" max="2544" width="40.7265625" style="600" customWidth="1"/>
    <col min="2545" max="2545" width="3.54296875" style="600" customWidth="1"/>
    <col min="2546" max="2546" width="11.08984375" style="600" customWidth="1"/>
    <col min="2547" max="2547" width="2.7265625" style="600" customWidth="1"/>
    <col min="2548" max="2548" width="11.26953125" style="600" customWidth="1"/>
    <col min="2549" max="2549" width="2.7265625" style="600" customWidth="1"/>
    <col min="2550" max="2550" width="11.26953125" style="600" customWidth="1"/>
    <col min="2551" max="2551" width="2.7265625" style="600" customWidth="1"/>
    <col min="2552" max="2552" width="19.08984375" style="600" bestFit="1" customWidth="1"/>
    <col min="2553" max="2553" width="1.81640625" style="600" customWidth="1"/>
    <col min="2554" max="2554" width="6.7265625" style="600" customWidth="1"/>
    <col min="2555" max="2555" width="14.7265625" style="600" customWidth="1"/>
    <col min="2556" max="2556" width="9" style="600" bestFit="1" customWidth="1"/>
    <col min="2557" max="2797" width="5" style="600"/>
    <col min="2798" max="2798" width="4.7265625" style="600" customWidth="1"/>
    <col min="2799" max="2799" width="2" style="600" customWidth="1"/>
    <col min="2800" max="2800" width="40.7265625" style="600" customWidth="1"/>
    <col min="2801" max="2801" width="3.54296875" style="600" customWidth="1"/>
    <col min="2802" max="2802" width="11.08984375" style="600" customWidth="1"/>
    <col min="2803" max="2803" width="2.7265625" style="600" customWidth="1"/>
    <col min="2804" max="2804" width="11.26953125" style="600" customWidth="1"/>
    <col min="2805" max="2805" width="2.7265625" style="600" customWidth="1"/>
    <col min="2806" max="2806" width="11.26953125" style="600" customWidth="1"/>
    <col min="2807" max="2807" width="2.7265625" style="600" customWidth="1"/>
    <col min="2808" max="2808" width="19.08984375" style="600" bestFit="1" customWidth="1"/>
    <col min="2809" max="2809" width="1.81640625" style="600" customWidth="1"/>
    <col min="2810" max="2810" width="6.7265625" style="600" customWidth="1"/>
    <col min="2811" max="2811" width="14.7265625" style="600" customWidth="1"/>
    <col min="2812" max="2812" width="9" style="600" bestFit="1" customWidth="1"/>
    <col min="2813" max="3053" width="5" style="600"/>
    <col min="3054" max="3054" width="4.7265625" style="600" customWidth="1"/>
    <col min="3055" max="3055" width="2" style="600" customWidth="1"/>
    <col min="3056" max="3056" width="40.7265625" style="600" customWidth="1"/>
    <col min="3057" max="3057" width="3.54296875" style="600" customWidth="1"/>
    <col min="3058" max="3058" width="11.08984375" style="600" customWidth="1"/>
    <col min="3059" max="3059" width="2.7265625" style="600" customWidth="1"/>
    <col min="3060" max="3060" width="11.26953125" style="600" customWidth="1"/>
    <col min="3061" max="3061" width="2.7265625" style="600" customWidth="1"/>
    <col min="3062" max="3062" width="11.26953125" style="600" customWidth="1"/>
    <col min="3063" max="3063" width="2.7265625" style="600" customWidth="1"/>
    <col min="3064" max="3064" width="19.08984375" style="600" bestFit="1" customWidth="1"/>
    <col min="3065" max="3065" width="1.81640625" style="600" customWidth="1"/>
    <col min="3066" max="3066" width="6.7265625" style="600" customWidth="1"/>
    <col min="3067" max="3067" width="14.7265625" style="600" customWidth="1"/>
    <col min="3068" max="3068" width="9" style="600" bestFit="1" customWidth="1"/>
    <col min="3069" max="3309" width="5" style="600"/>
    <col min="3310" max="3310" width="4.7265625" style="600" customWidth="1"/>
    <col min="3311" max="3311" width="2" style="600" customWidth="1"/>
    <col min="3312" max="3312" width="40.7265625" style="600" customWidth="1"/>
    <col min="3313" max="3313" width="3.54296875" style="600" customWidth="1"/>
    <col min="3314" max="3314" width="11.08984375" style="600" customWidth="1"/>
    <col min="3315" max="3315" width="2.7265625" style="600" customWidth="1"/>
    <col min="3316" max="3316" width="11.26953125" style="600" customWidth="1"/>
    <col min="3317" max="3317" width="2.7265625" style="600" customWidth="1"/>
    <col min="3318" max="3318" width="11.26953125" style="600" customWidth="1"/>
    <col min="3319" max="3319" width="2.7265625" style="600" customWidth="1"/>
    <col min="3320" max="3320" width="19.08984375" style="600" bestFit="1" customWidth="1"/>
    <col min="3321" max="3321" width="1.81640625" style="600" customWidth="1"/>
    <col min="3322" max="3322" width="6.7265625" style="600" customWidth="1"/>
    <col min="3323" max="3323" width="14.7265625" style="600" customWidth="1"/>
    <col min="3324" max="3324" width="9" style="600" bestFit="1" customWidth="1"/>
    <col min="3325" max="3565" width="5" style="600"/>
    <col min="3566" max="3566" width="4.7265625" style="600" customWidth="1"/>
    <col min="3567" max="3567" width="2" style="600" customWidth="1"/>
    <col min="3568" max="3568" width="40.7265625" style="600" customWidth="1"/>
    <col min="3569" max="3569" width="3.54296875" style="600" customWidth="1"/>
    <col min="3570" max="3570" width="11.08984375" style="600" customWidth="1"/>
    <col min="3571" max="3571" width="2.7265625" style="600" customWidth="1"/>
    <col min="3572" max="3572" width="11.26953125" style="600" customWidth="1"/>
    <col min="3573" max="3573" width="2.7265625" style="600" customWidth="1"/>
    <col min="3574" max="3574" width="11.26953125" style="600" customWidth="1"/>
    <col min="3575" max="3575" width="2.7265625" style="600" customWidth="1"/>
    <col min="3576" max="3576" width="19.08984375" style="600" bestFit="1" customWidth="1"/>
    <col min="3577" max="3577" width="1.81640625" style="600" customWidth="1"/>
    <col min="3578" max="3578" width="6.7265625" style="600" customWidth="1"/>
    <col min="3579" max="3579" width="14.7265625" style="600" customWidth="1"/>
    <col min="3580" max="3580" width="9" style="600" bestFit="1" customWidth="1"/>
    <col min="3581" max="3821" width="5" style="600"/>
    <col min="3822" max="3822" width="4.7265625" style="600" customWidth="1"/>
    <col min="3823" max="3823" width="2" style="600" customWidth="1"/>
    <col min="3824" max="3824" width="40.7265625" style="600" customWidth="1"/>
    <col min="3825" max="3825" width="3.54296875" style="600" customWidth="1"/>
    <col min="3826" max="3826" width="11.08984375" style="600" customWidth="1"/>
    <col min="3827" max="3827" width="2.7265625" style="600" customWidth="1"/>
    <col min="3828" max="3828" width="11.26953125" style="600" customWidth="1"/>
    <col min="3829" max="3829" width="2.7265625" style="600" customWidth="1"/>
    <col min="3830" max="3830" width="11.26953125" style="600" customWidth="1"/>
    <col min="3831" max="3831" width="2.7265625" style="600" customWidth="1"/>
    <col min="3832" max="3832" width="19.08984375" style="600" bestFit="1" customWidth="1"/>
    <col min="3833" max="3833" width="1.81640625" style="600" customWidth="1"/>
    <col min="3834" max="3834" width="6.7265625" style="600" customWidth="1"/>
    <col min="3835" max="3835" width="14.7265625" style="600" customWidth="1"/>
    <col min="3836" max="3836" width="9" style="600" bestFit="1" customWidth="1"/>
    <col min="3837" max="4077" width="5" style="600"/>
    <col min="4078" max="4078" width="4.7265625" style="600" customWidth="1"/>
    <col min="4079" max="4079" width="2" style="600" customWidth="1"/>
    <col min="4080" max="4080" width="40.7265625" style="600" customWidth="1"/>
    <col min="4081" max="4081" width="3.54296875" style="600" customWidth="1"/>
    <col min="4082" max="4082" width="11.08984375" style="600" customWidth="1"/>
    <col min="4083" max="4083" width="2.7265625" style="600" customWidth="1"/>
    <col min="4084" max="4084" width="11.26953125" style="600" customWidth="1"/>
    <col min="4085" max="4085" width="2.7265625" style="600" customWidth="1"/>
    <col min="4086" max="4086" width="11.26953125" style="600" customWidth="1"/>
    <col min="4087" max="4087" width="2.7265625" style="600" customWidth="1"/>
    <col min="4088" max="4088" width="19.08984375" style="600" bestFit="1" customWidth="1"/>
    <col min="4089" max="4089" width="1.81640625" style="600" customWidth="1"/>
    <col min="4090" max="4090" width="6.7265625" style="600" customWidth="1"/>
    <col min="4091" max="4091" width="14.7265625" style="600" customWidth="1"/>
    <col min="4092" max="4092" width="9" style="600" bestFit="1" customWidth="1"/>
    <col min="4093" max="4333" width="5" style="600"/>
    <col min="4334" max="4334" width="4.7265625" style="600" customWidth="1"/>
    <col min="4335" max="4335" width="2" style="600" customWidth="1"/>
    <col min="4336" max="4336" width="40.7265625" style="600" customWidth="1"/>
    <col min="4337" max="4337" width="3.54296875" style="600" customWidth="1"/>
    <col min="4338" max="4338" width="11.08984375" style="600" customWidth="1"/>
    <col min="4339" max="4339" width="2.7265625" style="600" customWidth="1"/>
    <col min="4340" max="4340" width="11.26953125" style="600" customWidth="1"/>
    <col min="4341" max="4341" width="2.7265625" style="600" customWidth="1"/>
    <col min="4342" max="4342" width="11.26953125" style="600" customWidth="1"/>
    <col min="4343" max="4343" width="2.7265625" style="600" customWidth="1"/>
    <col min="4344" max="4344" width="19.08984375" style="600" bestFit="1" customWidth="1"/>
    <col min="4345" max="4345" width="1.81640625" style="600" customWidth="1"/>
    <col min="4346" max="4346" width="6.7265625" style="600" customWidth="1"/>
    <col min="4347" max="4347" width="14.7265625" style="600" customWidth="1"/>
    <col min="4348" max="4348" width="9" style="600" bestFit="1" customWidth="1"/>
    <col min="4349" max="4589" width="5" style="600"/>
    <col min="4590" max="4590" width="4.7265625" style="600" customWidth="1"/>
    <col min="4591" max="4591" width="2" style="600" customWidth="1"/>
    <col min="4592" max="4592" width="40.7265625" style="600" customWidth="1"/>
    <col min="4593" max="4593" width="3.54296875" style="600" customWidth="1"/>
    <col min="4594" max="4594" width="11.08984375" style="600" customWidth="1"/>
    <col min="4595" max="4595" width="2.7265625" style="600" customWidth="1"/>
    <col min="4596" max="4596" width="11.26953125" style="600" customWidth="1"/>
    <col min="4597" max="4597" width="2.7265625" style="600" customWidth="1"/>
    <col min="4598" max="4598" width="11.26953125" style="600" customWidth="1"/>
    <col min="4599" max="4599" width="2.7265625" style="600" customWidth="1"/>
    <col min="4600" max="4600" width="19.08984375" style="600" bestFit="1" customWidth="1"/>
    <col min="4601" max="4601" width="1.81640625" style="600" customWidth="1"/>
    <col min="4602" max="4602" width="6.7265625" style="600" customWidth="1"/>
    <col min="4603" max="4603" width="14.7265625" style="600" customWidth="1"/>
    <col min="4604" max="4604" width="9" style="600" bestFit="1" customWidth="1"/>
    <col min="4605" max="4845" width="5" style="600"/>
    <col min="4846" max="4846" width="4.7265625" style="600" customWidth="1"/>
    <col min="4847" max="4847" width="2" style="600" customWidth="1"/>
    <col min="4848" max="4848" width="40.7265625" style="600" customWidth="1"/>
    <col min="4849" max="4849" width="3.54296875" style="600" customWidth="1"/>
    <col min="4850" max="4850" width="11.08984375" style="600" customWidth="1"/>
    <col min="4851" max="4851" width="2.7265625" style="600" customWidth="1"/>
    <col min="4852" max="4852" width="11.26953125" style="600" customWidth="1"/>
    <col min="4853" max="4853" width="2.7265625" style="600" customWidth="1"/>
    <col min="4854" max="4854" width="11.26953125" style="600" customWidth="1"/>
    <col min="4855" max="4855" width="2.7265625" style="600" customWidth="1"/>
    <col min="4856" max="4856" width="19.08984375" style="600" bestFit="1" customWidth="1"/>
    <col min="4857" max="4857" width="1.81640625" style="600" customWidth="1"/>
    <col min="4858" max="4858" width="6.7265625" style="600" customWidth="1"/>
    <col min="4859" max="4859" width="14.7265625" style="600" customWidth="1"/>
    <col min="4860" max="4860" width="9" style="600" bestFit="1" customWidth="1"/>
    <col min="4861" max="5101" width="5" style="600"/>
    <col min="5102" max="5102" width="4.7265625" style="600" customWidth="1"/>
    <col min="5103" max="5103" width="2" style="600" customWidth="1"/>
    <col min="5104" max="5104" width="40.7265625" style="600" customWidth="1"/>
    <col min="5105" max="5105" width="3.54296875" style="600" customWidth="1"/>
    <col min="5106" max="5106" width="11.08984375" style="600" customWidth="1"/>
    <col min="5107" max="5107" width="2.7265625" style="600" customWidth="1"/>
    <col min="5108" max="5108" width="11.26953125" style="600" customWidth="1"/>
    <col min="5109" max="5109" width="2.7265625" style="600" customWidth="1"/>
    <col min="5110" max="5110" width="11.26953125" style="600" customWidth="1"/>
    <col min="5111" max="5111" width="2.7265625" style="600" customWidth="1"/>
    <col min="5112" max="5112" width="19.08984375" style="600" bestFit="1" customWidth="1"/>
    <col min="5113" max="5113" width="1.81640625" style="600" customWidth="1"/>
    <col min="5114" max="5114" width="6.7265625" style="600" customWidth="1"/>
    <col min="5115" max="5115" width="14.7265625" style="600" customWidth="1"/>
    <col min="5116" max="5116" width="9" style="600" bestFit="1" customWidth="1"/>
    <col min="5117" max="5357" width="5" style="600"/>
    <col min="5358" max="5358" width="4.7265625" style="600" customWidth="1"/>
    <col min="5359" max="5359" width="2" style="600" customWidth="1"/>
    <col min="5360" max="5360" width="40.7265625" style="600" customWidth="1"/>
    <col min="5361" max="5361" width="3.54296875" style="600" customWidth="1"/>
    <col min="5362" max="5362" width="11.08984375" style="600" customWidth="1"/>
    <col min="5363" max="5363" width="2.7265625" style="600" customWidth="1"/>
    <col min="5364" max="5364" width="11.26953125" style="600" customWidth="1"/>
    <col min="5365" max="5365" width="2.7265625" style="600" customWidth="1"/>
    <col min="5366" max="5366" width="11.26953125" style="600" customWidth="1"/>
    <col min="5367" max="5367" width="2.7265625" style="600" customWidth="1"/>
    <col min="5368" max="5368" width="19.08984375" style="600" bestFit="1" customWidth="1"/>
    <col min="5369" max="5369" width="1.81640625" style="600" customWidth="1"/>
    <col min="5370" max="5370" width="6.7265625" style="600" customWidth="1"/>
    <col min="5371" max="5371" width="14.7265625" style="600" customWidth="1"/>
    <col min="5372" max="5372" width="9" style="600" bestFit="1" customWidth="1"/>
    <col min="5373" max="5613" width="5" style="600"/>
    <col min="5614" max="5614" width="4.7265625" style="600" customWidth="1"/>
    <col min="5615" max="5615" width="2" style="600" customWidth="1"/>
    <col min="5616" max="5616" width="40.7265625" style="600" customWidth="1"/>
    <col min="5617" max="5617" width="3.54296875" style="600" customWidth="1"/>
    <col min="5618" max="5618" width="11.08984375" style="600" customWidth="1"/>
    <col min="5619" max="5619" width="2.7265625" style="600" customWidth="1"/>
    <col min="5620" max="5620" width="11.26953125" style="600" customWidth="1"/>
    <col min="5621" max="5621" width="2.7265625" style="600" customWidth="1"/>
    <col min="5622" max="5622" width="11.26953125" style="600" customWidth="1"/>
    <col min="5623" max="5623" width="2.7265625" style="600" customWidth="1"/>
    <col min="5624" max="5624" width="19.08984375" style="600" bestFit="1" customWidth="1"/>
    <col min="5625" max="5625" width="1.81640625" style="600" customWidth="1"/>
    <col min="5626" max="5626" width="6.7265625" style="600" customWidth="1"/>
    <col min="5627" max="5627" width="14.7265625" style="600" customWidth="1"/>
    <col min="5628" max="5628" width="9" style="600" bestFit="1" customWidth="1"/>
    <col min="5629" max="5869" width="5" style="600"/>
    <col min="5870" max="5870" width="4.7265625" style="600" customWidth="1"/>
    <col min="5871" max="5871" width="2" style="600" customWidth="1"/>
    <col min="5872" max="5872" width="40.7265625" style="600" customWidth="1"/>
    <col min="5873" max="5873" width="3.54296875" style="600" customWidth="1"/>
    <col min="5874" max="5874" width="11.08984375" style="600" customWidth="1"/>
    <col min="5875" max="5875" width="2.7265625" style="600" customWidth="1"/>
    <col min="5876" max="5876" width="11.26953125" style="600" customWidth="1"/>
    <col min="5877" max="5877" width="2.7265625" style="600" customWidth="1"/>
    <col min="5878" max="5878" width="11.26953125" style="600" customWidth="1"/>
    <col min="5879" max="5879" width="2.7265625" style="600" customWidth="1"/>
    <col min="5880" max="5880" width="19.08984375" style="600" bestFit="1" customWidth="1"/>
    <col min="5881" max="5881" width="1.81640625" style="600" customWidth="1"/>
    <col min="5882" max="5882" width="6.7265625" style="600" customWidth="1"/>
    <col min="5883" max="5883" width="14.7265625" style="600" customWidth="1"/>
    <col min="5884" max="5884" width="9" style="600" bestFit="1" customWidth="1"/>
    <col min="5885" max="6125" width="5" style="600"/>
    <col min="6126" max="6126" width="4.7265625" style="600" customWidth="1"/>
    <col min="6127" max="6127" width="2" style="600" customWidth="1"/>
    <col min="6128" max="6128" width="40.7265625" style="600" customWidth="1"/>
    <col min="6129" max="6129" width="3.54296875" style="600" customWidth="1"/>
    <col min="6130" max="6130" width="11.08984375" style="600" customWidth="1"/>
    <col min="6131" max="6131" width="2.7265625" style="600" customWidth="1"/>
    <col min="6132" max="6132" width="11.26953125" style="600" customWidth="1"/>
    <col min="6133" max="6133" width="2.7265625" style="600" customWidth="1"/>
    <col min="6134" max="6134" width="11.26953125" style="600" customWidth="1"/>
    <col min="6135" max="6135" width="2.7265625" style="600" customWidth="1"/>
    <col min="6136" max="6136" width="19.08984375" style="600" bestFit="1" customWidth="1"/>
    <col min="6137" max="6137" width="1.81640625" style="600" customWidth="1"/>
    <col min="6138" max="6138" width="6.7265625" style="600" customWidth="1"/>
    <col min="6139" max="6139" width="14.7265625" style="600" customWidth="1"/>
    <col min="6140" max="6140" width="9" style="600" bestFit="1" customWidth="1"/>
    <col min="6141" max="6381" width="5" style="600"/>
    <col min="6382" max="6382" width="4.7265625" style="600" customWidth="1"/>
    <col min="6383" max="6383" width="2" style="600" customWidth="1"/>
    <col min="6384" max="6384" width="40.7265625" style="600" customWidth="1"/>
    <col min="6385" max="6385" width="3.54296875" style="600" customWidth="1"/>
    <col min="6386" max="6386" width="11.08984375" style="600" customWidth="1"/>
    <col min="6387" max="6387" width="2.7265625" style="600" customWidth="1"/>
    <col min="6388" max="6388" width="11.26953125" style="600" customWidth="1"/>
    <col min="6389" max="6389" width="2.7265625" style="600" customWidth="1"/>
    <col min="6390" max="6390" width="11.26953125" style="600" customWidth="1"/>
    <col min="6391" max="6391" width="2.7265625" style="600" customWidth="1"/>
    <col min="6392" max="6392" width="19.08984375" style="600" bestFit="1" customWidth="1"/>
    <col min="6393" max="6393" width="1.81640625" style="600" customWidth="1"/>
    <col min="6394" max="6394" width="6.7265625" style="600" customWidth="1"/>
    <col min="6395" max="6395" width="14.7265625" style="600" customWidth="1"/>
    <col min="6396" max="6396" width="9" style="600" bestFit="1" customWidth="1"/>
    <col min="6397" max="6637" width="5" style="600"/>
    <col min="6638" max="6638" width="4.7265625" style="600" customWidth="1"/>
    <col min="6639" max="6639" width="2" style="600" customWidth="1"/>
    <col min="6640" max="6640" width="40.7265625" style="600" customWidth="1"/>
    <col min="6641" max="6641" width="3.54296875" style="600" customWidth="1"/>
    <col min="6642" max="6642" width="11.08984375" style="600" customWidth="1"/>
    <col min="6643" max="6643" width="2.7265625" style="600" customWidth="1"/>
    <col min="6644" max="6644" width="11.26953125" style="600" customWidth="1"/>
    <col min="6645" max="6645" width="2.7265625" style="600" customWidth="1"/>
    <col min="6646" max="6646" width="11.26953125" style="600" customWidth="1"/>
    <col min="6647" max="6647" width="2.7265625" style="600" customWidth="1"/>
    <col min="6648" max="6648" width="19.08984375" style="600" bestFit="1" customWidth="1"/>
    <col min="6649" max="6649" width="1.81640625" style="600" customWidth="1"/>
    <col min="6650" max="6650" width="6.7265625" style="600" customWidth="1"/>
    <col min="6651" max="6651" width="14.7265625" style="600" customWidth="1"/>
    <col min="6652" max="6652" width="9" style="600" bestFit="1" customWidth="1"/>
    <col min="6653" max="6893" width="5" style="600"/>
    <col min="6894" max="6894" width="4.7265625" style="600" customWidth="1"/>
    <col min="6895" max="6895" width="2" style="600" customWidth="1"/>
    <col min="6896" max="6896" width="40.7265625" style="600" customWidth="1"/>
    <col min="6897" max="6897" width="3.54296875" style="600" customWidth="1"/>
    <col min="6898" max="6898" width="11.08984375" style="600" customWidth="1"/>
    <col min="6899" max="6899" width="2.7265625" style="600" customWidth="1"/>
    <col min="6900" max="6900" width="11.26953125" style="600" customWidth="1"/>
    <col min="6901" max="6901" width="2.7265625" style="600" customWidth="1"/>
    <col min="6902" max="6902" width="11.26953125" style="600" customWidth="1"/>
    <col min="6903" max="6903" width="2.7265625" style="600" customWidth="1"/>
    <col min="6904" max="6904" width="19.08984375" style="600" bestFit="1" customWidth="1"/>
    <col min="6905" max="6905" width="1.81640625" style="600" customWidth="1"/>
    <col min="6906" max="6906" width="6.7265625" style="600" customWidth="1"/>
    <col min="6907" max="6907" width="14.7265625" style="600" customWidth="1"/>
    <col min="6908" max="6908" width="9" style="600" bestFit="1" customWidth="1"/>
    <col min="6909" max="7149" width="5" style="600"/>
    <col min="7150" max="7150" width="4.7265625" style="600" customWidth="1"/>
    <col min="7151" max="7151" width="2" style="600" customWidth="1"/>
    <col min="7152" max="7152" width="40.7265625" style="600" customWidth="1"/>
    <col min="7153" max="7153" width="3.54296875" style="600" customWidth="1"/>
    <col min="7154" max="7154" width="11.08984375" style="600" customWidth="1"/>
    <col min="7155" max="7155" width="2.7265625" style="600" customWidth="1"/>
    <col min="7156" max="7156" width="11.26953125" style="600" customWidth="1"/>
    <col min="7157" max="7157" width="2.7265625" style="600" customWidth="1"/>
    <col min="7158" max="7158" width="11.26953125" style="600" customWidth="1"/>
    <col min="7159" max="7159" width="2.7265625" style="600" customWidth="1"/>
    <col min="7160" max="7160" width="19.08984375" style="600" bestFit="1" customWidth="1"/>
    <col min="7161" max="7161" width="1.81640625" style="600" customWidth="1"/>
    <col min="7162" max="7162" width="6.7265625" style="600" customWidth="1"/>
    <col min="7163" max="7163" width="14.7265625" style="600" customWidth="1"/>
    <col min="7164" max="7164" width="9" style="600" bestFit="1" customWidth="1"/>
    <col min="7165" max="7405" width="5" style="600"/>
    <col min="7406" max="7406" width="4.7265625" style="600" customWidth="1"/>
    <col min="7407" max="7407" width="2" style="600" customWidth="1"/>
    <col min="7408" max="7408" width="40.7265625" style="600" customWidth="1"/>
    <col min="7409" max="7409" width="3.54296875" style="600" customWidth="1"/>
    <col min="7410" max="7410" width="11.08984375" style="600" customWidth="1"/>
    <col min="7411" max="7411" width="2.7265625" style="600" customWidth="1"/>
    <col min="7412" max="7412" width="11.26953125" style="600" customWidth="1"/>
    <col min="7413" max="7413" width="2.7265625" style="600" customWidth="1"/>
    <col min="7414" max="7414" width="11.26953125" style="600" customWidth="1"/>
    <col min="7415" max="7415" width="2.7265625" style="600" customWidth="1"/>
    <col min="7416" max="7416" width="19.08984375" style="600" bestFit="1" customWidth="1"/>
    <col min="7417" max="7417" width="1.81640625" style="600" customWidth="1"/>
    <col min="7418" max="7418" width="6.7265625" style="600" customWidth="1"/>
    <col min="7419" max="7419" width="14.7265625" style="600" customWidth="1"/>
    <col min="7420" max="7420" width="9" style="600" bestFit="1" customWidth="1"/>
    <col min="7421" max="7661" width="5" style="600"/>
    <col min="7662" max="7662" width="4.7265625" style="600" customWidth="1"/>
    <col min="7663" max="7663" width="2" style="600" customWidth="1"/>
    <col min="7664" max="7664" width="40.7265625" style="600" customWidth="1"/>
    <col min="7665" max="7665" width="3.54296875" style="600" customWidth="1"/>
    <col min="7666" max="7666" width="11.08984375" style="600" customWidth="1"/>
    <col min="7667" max="7667" width="2.7265625" style="600" customWidth="1"/>
    <col min="7668" max="7668" width="11.26953125" style="600" customWidth="1"/>
    <col min="7669" max="7669" width="2.7265625" style="600" customWidth="1"/>
    <col min="7670" max="7670" width="11.26953125" style="600" customWidth="1"/>
    <col min="7671" max="7671" width="2.7265625" style="600" customWidth="1"/>
    <col min="7672" max="7672" width="19.08984375" style="600" bestFit="1" customWidth="1"/>
    <col min="7673" max="7673" width="1.81640625" style="600" customWidth="1"/>
    <col min="7674" max="7674" width="6.7265625" style="600" customWidth="1"/>
    <col min="7675" max="7675" width="14.7265625" style="600" customWidth="1"/>
    <col min="7676" max="7676" width="9" style="600" bestFit="1" customWidth="1"/>
    <col min="7677" max="7917" width="5" style="600"/>
    <col min="7918" max="7918" width="4.7265625" style="600" customWidth="1"/>
    <col min="7919" max="7919" width="2" style="600" customWidth="1"/>
    <col min="7920" max="7920" width="40.7265625" style="600" customWidth="1"/>
    <col min="7921" max="7921" width="3.54296875" style="600" customWidth="1"/>
    <col min="7922" max="7922" width="11.08984375" style="600" customWidth="1"/>
    <col min="7923" max="7923" width="2.7265625" style="600" customWidth="1"/>
    <col min="7924" max="7924" width="11.26953125" style="600" customWidth="1"/>
    <col min="7925" max="7925" width="2.7265625" style="600" customWidth="1"/>
    <col min="7926" max="7926" width="11.26953125" style="600" customWidth="1"/>
    <col min="7927" max="7927" width="2.7265625" style="600" customWidth="1"/>
    <col min="7928" max="7928" width="19.08984375" style="600" bestFit="1" customWidth="1"/>
    <col min="7929" max="7929" width="1.81640625" style="600" customWidth="1"/>
    <col min="7930" max="7930" width="6.7265625" style="600" customWidth="1"/>
    <col min="7931" max="7931" width="14.7265625" style="600" customWidth="1"/>
    <col min="7932" max="7932" width="9" style="600" bestFit="1" customWidth="1"/>
    <col min="7933" max="8173" width="5" style="600"/>
    <col min="8174" max="8174" width="4.7265625" style="600" customWidth="1"/>
    <col min="8175" max="8175" width="2" style="600" customWidth="1"/>
    <col min="8176" max="8176" width="40.7265625" style="600" customWidth="1"/>
    <col min="8177" max="8177" width="3.54296875" style="600" customWidth="1"/>
    <col min="8178" max="8178" width="11.08984375" style="600" customWidth="1"/>
    <col min="8179" max="8179" width="2.7265625" style="600" customWidth="1"/>
    <col min="8180" max="8180" width="11.26953125" style="600" customWidth="1"/>
    <col min="8181" max="8181" width="2.7265625" style="600" customWidth="1"/>
    <col min="8182" max="8182" width="11.26953125" style="600" customWidth="1"/>
    <col min="8183" max="8183" width="2.7265625" style="600" customWidth="1"/>
    <col min="8184" max="8184" width="19.08984375" style="600" bestFit="1" customWidth="1"/>
    <col min="8185" max="8185" width="1.81640625" style="600" customWidth="1"/>
    <col min="8186" max="8186" width="6.7265625" style="600" customWidth="1"/>
    <col min="8187" max="8187" width="14.7265625" style="600" customWidth="1"/>
    <col min="8188" max="8188" width="9" style="600" bestFit="1" customWidth="1"/>
    <col min="8189" max="8429" width="5" style="600"/>
    <col min="8430" max="8430" width="4.7265625" style="600" customWidth="1"/>
    <col min="8431" max="8431" width="2" style="600" customWidth="1"/>
    <col min="8432" max="8432" width="40.7265625" style="600" customWidth="1"/>
    <col min="8433" max="8433" width="3.54296875" style="600" customWidth="1"/>
    <col min="8434" max="8434" width="11.08984375" style="600" customWidth="1"/>
    <col min="8435" max="8435" width="2.7265625" style="600" customWidth="1"/>
    <col min="8436" max="8436" width="11.26953125" style="600" customWidth="1"/>
    <col min="8437" max="8437" width="2.7265625" style="600" customWidth="1"/>
    <col min="8438" max="8438" width="11.26953125" style="600" customWidth="1"/>
    <col min="8439" max="8439" width="2.7265625" style="600" customWidth="1"/>
    <col min="8440" max="8440" width="19.08984375" style="600" bestFit="1" customWidth="1"/>
    <col min="8441" max="8441" width="1.81640625" style="600" customWidth="1"/>
    <col min="8442" max="8442" width="6.7265625" style="600" customWidth="1"/>
    <col min="8443" max="8443" width="14.7265625" style="600" customWidth="1"/>
    <col min="8444" max="8444" width="9" style="600" bestFit="1" customWidth="1"/>
    <col min="8445" max="8685" width="5" style="600"/>
    <col min="8686" max="8686" width="4.7265625" style="600" customWidth="1"/>
    <col min="8687" max="8687" width="2" style="600" customWidth="1"/>
    <col min="8688" max="8688" width="40.7265625" style="600" customWidth="1"/>
    <col min="8689" max="8689" width="3.54296875" style="600" customWidth="1"/>
    <col min="8690" max="8690" width="11.08984375" style="600" customWidth="1"/>
    <col min="8691" max="8691" width="2.7265625" style="600" customWidth="1"/>
    <col min="8692" max="8692" width="11.26953125" style="600" customWidth="1"/>
    <col min="8693" max="8693" width="2.7265625" style="600" customWidth="1"/>
    <col min="8694" max="8694" width="11.26953125" style="600" customWidth="1"/>
    <col min="8695" max="8695" width="2.7265625" style="600" customWidth="1"/>
    <col min="8696" max="8696" width="19.08984375" style="600" bestFit="1" customWidth="1"/>
    <col min="8697" max="8697" width="1.81640625" style="600" customWidth="1"/>
    <col min="8698" max="8698" width="6.7265625" style="600" customWidth="1"/>
    <col min="8699" max="8699" width="14.7265625" style="600" customWidth="1"/>
    <col min="8700" max="8700" width="9" style="600" bestFit="1" customWidth="1"/>
    <col min="8701" max="8941" width="5" style="600"/>
    <col min="8942" max="8942" width="4.7265625" style="600" customWidth="1"/>
    <col min="8943" max="8943" width="2" style="600" customWidth="1"/>
    <col min="8944" max="8944" width="40.7265625" style="600" customWidth="1"/>
    <col min="8945" max="8945" width="3.54296875" style="600" customWidth="1"/>
    <col min="8946" max="8946" width="11.08984375" style="600" customWidth="1"/>
    <col min="8947" max="8947" width="2.7265625" style="600" customWidth="1"/>
    <col min="8948" max="8948" width="11.26953125" style="600" customWidth="1"/>
    <col min="8949" max="8949" width="2.7265625" style="600" customWidth="1"/>
    <col min="8950" max="8950" width="11.26953125" style="600" customWidth="1"/>
    <col min="8951" max="8951" width="2.7265625" style="600" customWidth="1"/>
    <col min="8952" max="8952" width="19.08984375" style="600" bestFit="1" customWidth="1"/>
    <col min="8953" max="8953" width="1.81640625" style="600" customWidth="1"/>
    <col min="8954" max="8954" width="6.7265625" style="600" customWidth="1"/>
    <col min="8955" max="8955" width="14.7265625" style="600" customWidth="1"/>
    <col min="8956" max="8956" width="9" style="600" bestFit="1" customWidth="1"/>
    <col min="8957" max="9197" width="5" style="600"/>
    <col min="9198" max="9198" width="4.7265625" style="600" customWidth="1"/>
    <col min="9199" max="9199" width="2" style="600" customWidth="1"/>
    <col min="9200" max="9200" width="40.7265625" style="600" customWidth="1"/>
    <col min="9201" max="9201" width="3.54296875" style="600" customWidth="1"/>
    <col min="9202" max="9202" width="11.08984375" style="600" customWidth="1"/>
    <col min="9203" max="9203" width="2.7265625" style="600" customWidth="1"/>
    <col min="9204" max="9204" width="11.26953125" style="600" customWidth="1"/>
    <col min="9205" max="9205" width="2.7265625" style="600" customWidth="1"/>
    <col min="9206" max="9206" width="11.26953125" style="600" customWidth="1"/>
    <col min="9207" max="9207" width="2.7265625" style="600" customWidth="1"/>
    <col min="9208" max="9208" width="19.08984375" style="600" bestFit="1" customWidth="1"/>
    <col min="9209" max="9209" width="1.81640625" style="600" customWidth="1"/>
    <col min="9210" max="9210" width="6.7265625" style="600" customWidth="1"/>
    <col min="9211" max="9211" width="14.7265625" style="600" customWidth="1"/>
    <col min="9212" max="9212" width="9" style="600" bestFit="1" customWidth="1"/>
    <col min="9213" max="9453" width="5" style="600"/>
    <col min="9454" max="9454" width="4.7265625" style="600" customWidth="1"/>
    <col min="9455" max="9455" width="2" style="600" customWidth="1"/>
    <col min="9456" max="9456" width="40.7265625" style="600" customWidth="1"/>
    <col min="9457" max="9457" width="3.54296875" style="600" customWidth="1"/>
    <col min="9458" max="9458" width="11.08984375" style="600" customWidth="1"/>
    <col min="9459" max="9459" width="2.7265625" style="600" customWidth="1"/>
    <col min="9460" max="9460" width="11.26953125" style="600" customWidth="1"/>
    <col min="9461" max="9461" width="2.7265625" style="600" customWidth="1"/>
    <col min="9462" max="9462" width="11.26953125" style="600" customWidth="1"/>
    <col min="9463" max="9463" width="2.7265625" style="600" customWidth="1"/>
    <col min="9464" max="9464" width="19.08984375" style="600" bestFit="1" customWidth="1"/>
    <col min="9465" max="9465" width="1.81640625" style="600" customWidth="1"/>
    <col min="9466" max="9466" width="6.7265625" style="600" customWidth="1"/>
    <col min="9467" max="9467" width="14.7265625" style="600" customWidth="1"/>
    <col min="9468" max="9468" width="9" style="600" bestFit="1" customWidth="1"/>
    <col min="9469" max="9709" width="5" style="600"/>
    <col min="9710" max="9710" width="4.7265625" style="600" customWidth="1"/>
    <col min="9711" max="9711" width="2" style="600" customWidth="1"/>
    <col min="9712" max="9712" width="40.7265625" style="600" customWidth="1"/>
    <col min="9713" max="9713" width="3.54296875" style="600" customWidth="1"/>
    <col min="9714" max="9714" width="11.08984375" style="600" customWidth="1"/>
    <col min="9715" max="9715" width="2.7265625" style="600" customWidth="1"/>
    <col min="9716" max="9716" width="11.26953125" style="600" customWidth="1"/>
    <col min="9717" max="9717" width="2.7265625" style="600" customWidth="1"/>
    <col min="9718" max="9718" width="11.26953125" style="600" customWidth="1"/>
    <col min="9719" max="9719" width="2.7265625" style="600" customWidth="1"/>
    <col min="9720" max="9720" width="19.08984375" style="600" bestFit="1" customWidth="1"/>
    <col min="9721" max="9721" width="1.81640625" style="600" customWidth="1"/>
    <col min="9722" max="9722" width="6.7265625" style="600" customWidth="1"/>
    <col min="9723" max="9723" width="14.7265625" style="600" customWidth="1"/>
    <col min="9724" max="9724" width="9" style="600" bestFit="1" customWidth="1"/>
    <col min="9725" max="9965" width="5" style="600"/>
    <col min="9966" max="9966" width="4.7265625" style="600" customWidth="1"/>
    <col min="9967" max="9967" width="2" style="600" customWidth="1"/>
    <col min="9968" max="9968" width="40.7265625" style="600" customWidth="1"/>
    <col min="9969" max="9969" width="3.54296875" style="600" customWidth="1"/>
    <col min="9970" max="9970" width="11.08984375" style="600" customWidth="1"/>
    <col min="9971" max="9971" width="2.7265625" style="600" customWidth="1"/>
    <col min="9972" max="9972" width="11.26953125" style="600" customWidth="1"/>
    <col min="9973" max="9973" width="2.7265625" style="600" customWidth="1"/>
    <col min="9974" max="9974" width="11.26953125" style="600" customWidth="1"/>
    <col min="9975" max="9975" width="2.7265625" style="600" customWidth="1"/>
    <col min="9976" max="9976" width="19.08984375" style="600" bestFit="1" customWidth="1"/>
    <col min="9977" max="9977" width="1.81640625" style="600" customWidth="1"/>
    <col min="9978" max="9978" width="6.7265625" style="600" customWidth="1"/>
    <col min="9979" max="9979" width="14.7265625" style="600" customWidth="1"/>
    <col min="9980" max="9980" width="9" style="600" bestFit="1" customWidth="1"/>
    <col min="9981" max="10221" width="5" style="600"/>
    <col min="10222" max="10222" width="4.7265625" style="600" customWidth="1"/>
    <col min="10223" max="10223" width="2" style="600" customWidth="1"/>
    <col min="10224" max="10224" width="40.7265625" style="600" customWidth="1"/>
    <col min="10225" max="10225" width="3.54296875" style="600" customWidth="1"/>
    <col min="10226" max="10226" width="11.08984375" style="600" customWidth="1"/>
    <col min="10227" max="10227" width="2.7265625" style="600" customWidth="1"/>
    <col min="10228" max="10228" width="11.26953125" style="600" customWidth="1"/>
    <col min="10229" max="10229" width="2.7265625" style="600" customWidth="1"/>
    <col min="10230" max="10230" width="11.26953125" style="600" customWidth="1"/>
    <col min="10231" max="10231" width="2.7265625" style="600" customWidth="1"/>
    <col min="10232" max="10232" width="19.08984375" style="600" bestFit="1" customWidth="1"/>
    <col min="10233" max="10233" width="1.81640625" style="600" customWidth="1"/>
    <col min="10234" max="10234" width="6.7265625" style="600" customWidth="1"/>
    <col min="10235" max="10235" width="14.7265625" style="600" customWidth="1"/>
    <col min="10236" max="10236" width="9" style="600" bestFit="1" customWidth="1"/>
    <col min="10237" max="10477" width="5" style="600"/>
    <col min="10478" max="10478" width="4.7265625" style="600" customWidth="1"/>
    <col min="10479" max="10479" width="2" style="600" customWidth="1"/>
    <col min="10480" max="10480" width="40.7265625" style="600" customWidth="1"/>
    <col min="10481" max="10481" width="3.54296875" style="600" customWidth="1"/>
    <col min="10482" max="10482" width="11.08984375" style="600" customWidth="1"/>
    <col min="10483" max="10483" width="2.7265625" style="600" customWidth="1"/>
    <col min="10484" max="10484" width="11.26953125" style="600" customWidth="1"/>
    <col min="10485" max="10485" width="2.7265625" style="600" customWidth="1"/>
    <col min="10486" max="10486" width="11.26953125" style="600" customWidth="1"/>
    <col min="10487" max="10487" width="2.7265625" style="600" customWidth="1"/>
    <col min="10488" max="10488" width="19.08984375" style="600" bestFit="1" customWidth="1"/>
    <col min="10489" max="10489" width="1.81640625" style="600" customWidth="1"/>
    <col min="10490" max="10490" width="6.7265625" style="600" customWidth="1"/>
    <col min="10491" max="10491" width="14.7265625" style="600" customWidth="1"/>
    <col min="10492" max="10492" width="9" style="600" bestFit="1" customWidth="1"/>
    <col min="10493" max="10733" width="5" style="600"/>
    <col min="10734" max="10734" width="4.7265625" style="600" customWidth="1"/>
    <col min="10735" max="10735" width="2" style="600" customWidth="1"/>
    <col min="10736" max="10736" width="40.7265625" style="600" customWidth="1"/>
    <col min="10737" max="10737" width="3.54296875" style="600" customWidth="1"/>
    <col min="10738" max="10738" width="11.08984375" style="600" customWidth="1"/>
    <col min="10739" max="10739" width="2.7265625" style="600" customWidth="1"/>
    <col min="10740" max="10740" width="11.26953125" style="600" customWidth="1"/>
    <col min="10741" max="10741" width="2.7265625" style="600" customWidth="1"/>
    <col min="10742" max="10742" width="11.26953125" style="600" customWidth="1"/>
    <col min="10743" max="10743" width="2.7265625" style="600" customWidth="1"/>
    <col min="10744" max="10744" width="19.08984375" style="600" bestFit="1" customWidth="1"/>
    <col min="10745" max="10745" width="1.81640625" style="600" customWidth="1"/>
    <col min="10746" max="10746" width="6.7265625" style="600" customWidth="1"/>
    <col min="10747" max="10747" width="14.7265625" style="600" customWidth="1"/>
    <col min="10748" max="10748" width="9" style="600" bestFit="1" customWidth="1"/>
    <col min="10749" max="10989" width="5" style="600"/>
    <col min="10990" max="10990" width="4.7265625" style="600" customWidth="1"/>
    <col min="10991" max="10991" width="2" style="600" customWidth="1"/>
    <col min="10992" max="10992" width="40.7265625" style="600" customWidth="1"/>
    <col min="10993" max="10993" width="3.54296875" style="600" customWidth="1"/>
    <col min="10994" max="10994" width="11.08984375" style="600" customWidth="1"/>
    <col min="10995" max="10995" width="2.7265625" style="600" customWidth="1"/>
    <col min="10996" max="10996" width="11.26953125" style="600" customWidth="1"/>
    <col min="10997" max="10997" width="2.7265625" style="600" customWidth="1"/>
    <col min="10998" max="10998" width="11.26953125" style="600" customWidth="1"/>
    <col min="10999" max="10999" width="2.7265625" style="600" customWidth="1"/>
    <col min="11000" max="11000" width="19.08984375" style="600" bestFit="1" customWidth="1"/>
    <col min="11001" max="11001" width="1.81640625" style="600" customWidth="1"/>
    <col min="11002" max="11002" width="6.7265625" style="600" customWidth="1"/>
    <col min="11003" max="11003" width="14.7265625" style="600" customWidth="1"/>
    <col min="11004" max="11004" width="9" style="600" bestFit="1" customWidth="1"/>
    <col min="11005" max="11245" width="5" style="600"/>
    <col min="11246" max="11246" width="4.7265625" style="600" customWidth="1"/>
    <col min="11247" max="11247" width="2" style="600" customWidth="1"/>
    <col min="11248" max="11248" width="40.7265625" style="600" customWidth="1"/>
    <col min="11249" max="11249" width="3.54296875" style="600" customWidth="1"/>
    <col min="11250" max="11250" width="11.08984375" style="600" customWidth="1"/>
    <col min="11251" max="11251" width="2.7265625" style="600" customWidth="1"/>
    <col min="11252" max="11252" width="11.26953125" style="600" customWidth="1"/>
    <col min="11253" max="11253" width="2.7265625" style="600" customWidth="1"/>
    <col min="11254" max="11254" width="11.26953125" style="600" customWidth="1"/>
    <col min="11255" max="11255" width="2.7265625" style="600" customWidth="1"/>
    <col min="11256" max="11256" width="19.08984375" style="600" bestFit="1" customWidth="1"/>
    <col min="11257" max="11257" width="1.81640625" style="600" customWidth="1"/>
    <col min="11258" max="11258" width="6.7265625" style="600" customWidth="1"/>
    <col min="11259" max="11259" width="14.7265625" style="600" customWidth="1"/>
    <col min="11260" max="11260" width="9" style="600" bestFit="1" customWidth="1"/>
    <col min="11261" max="11501" width="5" style="600"/>
    <col min="11502" max="11502" width="4.7265625" style="600" customWidth="1"/>
    <col min="11503" max="11503" width="2" style="600" customWidth="1"/>
    <col min="11504" max="11504" width="40.7265625" style="600" customWidth="1"/>
    <col min="11505" max="11505" width="3.54296875" style="600" customWidth="1"/>
    <col min="11506" max="11506" width="11.08984375" style="600" customWidth="1"/>
    <col min="11507" max="11507" width="2.7265625" style="600" customWidth="1"/>
    <col min="11508" max="11508" width="11.26953125" style="600" customWidth="1"/>
    <col min="11509" max="11509" width="2.7265625" style="600" customWidth="1"/>
    <col min="11510" max="11510" width="11.26953125" style="600" customWidth="1"/>
    <col min="11511" max="11511" width="2.7265625" style="600" customWidth="1"/>
    <col min="11512" max="11512" width="19.08984375" style="600" bestFit="1" customWidth="1"/>
    <col min="11513" max="11513" width="1.81640625" style="600" customWidth="1"/>
    <col min="11514" max="11514" width="6.7265625" style="600" customWidth="1"/>
    <col min="11515" max="11515" width="14.7265625" style="600" customWidth="1"/>
    <col min="11516" max="11516" width="9" style="600" bestFit="1" customWidth="1"/>
    <col min="11517" max="11757" width="5" style="600"/>
    <col min="11758" max="11758" width="4.7265625" style="600" customWidth="1"/>
    <col min="11759" max="11759" width="2" style="600" customWidth="1"/>
    <col min="11760" max="11760" width="40.7265625" style="600" customWidth="1"/>
    <col min="11761" max="11761" width="3.54296875" style="600" customWidth="1"/>
    <col min="11762" max="11762" width="11.08984375" style="600" customWidth="1"/>
    <col min="11763" max="11763" width="2.7265625" style="600" customWidth="1"/>
    <col min="11764" max="11764" width="11.26953125" style="600" customWidth="1"/>
    <col min="11765" max="11765" width="2.7265625" style="600" customWidth="1"/>
    <col min="11766" max="11766" width="11.26953125" style="600" customWidth="1"/>
    <col min="11767" max="11767" width="2.7265625" style="600" customWidth="1"/>
    <col min="11768" max="11768" width="19.08984375" style="600" bestFit="1" customWidth="1"/>
    <col min="11769" max="11769" width="1.81640625" style="600" customWidth="1"/>
    <col min="11770" max="11770" width="6.7265625" style="600" customWidth="1"/>
    <col min="11771" max="11771" width="14.7265625" style="600" customWidth="1"/>
    <col min="11772" max="11772" width="9" style="600" bestFit="1" customWidth="1"/>
    <col min="11773" max="12013" width="5" style="600"/>
    <col min="12014" max="12014" width="4.7265625" style="600" customWidth="1"/>
    <col min="12015" max="12015" width="2" style="600" customWidth="1"/>
    <col min="12016" max="12016" width="40.7265625" style="600" customWidth="1"/>
    <col min="12017" max="12017" width="3.54296875" style="600" customWidth="1"/>
    <col min="12018" max="12018" width="11.08984375" style="600" customWidth="1"/>
    <col min="12019" max="12019" width="2.7265625" style="600" customWidth="1"/>
    <col min="12020" max="12020" width="11.26953125" style="600" customWidth="1"/>
    <col min="12021" max="12021" width="2.7265625" style="600" customWidth="1"/>
    <col min="12022" max="12022" width="11.26953125" style="600" customWidth="1"/>
    <col min="12023" max="12023" width="2.7265625" style="600" customWidth="1"/>
    <col min="12024" max="12024" width="19.08984375" style="600" bestFit="1" customWidth="1"/>
    <col min="12025" max="12025" width="1.81640625" style="600" customWidth="1"/>
    <col min="12026" max="12026" width="6.7265625" style="600" customWidth="1"/>
    <col min="12027" max="12027" width="14.7265625" style="600" customWidth="1"/>
    <col min="12028" max="12028" width="9" style="600" bestFit="1" customWidth="1"/>
    <col min="12029" max="12269" width="5" style="600"/>
    <col min="12270" max="12270" width="4.7265625" style="600" customWidth="1"/>
    <col min="12271" max="12271" width="2" style="600" customWidth="1"/>
    <col min="12272" max="12272" width="40.7265625" style="600" customWidth="1"/>
    <col min="12273" max="12273" width="3.54296875" style="600" customWidth="1"/>
    <col min="12274" max="12274" width="11.08984375" style="600" customWidth="1"/>
    <col min="12275" max="12275" width="2.7265625" style="600" customWidth="1"/>
    <col min="12276" max="12276" width="11.26953125" style="600" customWidth="1"/>
    <col min="12277" max="12277" width="2.7265625" style="600" customWidth="1"/>
    <col min="12278" max="12278" width="11.26953125" style="600" customWidth="1"/>
    <col min="12279" max="12279" width="2.7265625" style="600" customWidth="1"/>
    <col min="12280" max="12280" width="19.08984375" style="600" bestFit="1" customWidth="1"/>
    <col min="12281" max="12281" width="1.81640625" style="600" customWidth="1"/>
    <col min="12282" max="12282" width="6.7265625" style="600" customWidth="1"/>
    <col min="12283" max="12283" width="14.7265625" style="600" customWidth="1"/>
    <col min="12284" max="12284" width="9" style="600" bestFit="1" customWidth="1"/>
    <col min="12285" max="12525" width="5" style="600"/>
    <col min="12526" max="12526" width="4.7265625" style="600" customWidth="1"/>
    <col min="12527" max="12527" width="2" style="600" customWidth="1"/>
    <col min="12528" max="12528" width="40.7265625" style="600" customWidth="1"/>
    <col min="12529" max="12529" width="3.54296875" style="600" customWidth="1"/>
    <col min="12530" max="12530" width="11.08984375" style="600" customWidth="1"/>
    <col min="12531" max="12531" width="2.7265625" style="600" customWidth="1"/>
    <col min="12532" max="12532" width="11.26953125" style="600" customWidth="1"/>
    <col min="12533" max="12533" width="2.7265625" style="600" customWidth="1"/>
    <col min="12534" max="12534" width="11.26953125" style="600" customWidth="1"/>
    <col min="12535" max="12535" width="2.7265625" style="600" customWidth="1"/>
    <col min="12536" max="12536" width="19.08984375" style="600" bestFit="1" customWidth="1"/>
    <col min="12537" max="12537" width="1.81640625" style="600" customWidth="1"/>
    <col min="12538" max="12538" width="6.7265625" style="600" customWidth="1"/>
    <col min="12539" max="12539" width="14.7265625" style="600" customWidth="1"/>
    <col min="12540" max="12540" width="9" style="600" bestFit="1" customWidth="1"/>
    <col min="12541" max="12781" width="5" style="600"/>
    <col min="12782" max="12782" width="4.7265625" style="600" customWidth="1"/>
    <col min="12783" max="12783" width="2" style="600" customWidth="1"/>
    <col min="12784" max="12784" width="40.7265625" style="600" customWidth="1"/>
    <col min="12785" max="12785" width="3.54296875" style="600" customWidth="1"/>
    <col min="12786" max="12786" width="11.08984375" style="600" customWidth="1"/>
    <col min="12787" max="12787" width="2.7265625" style="600" customWidth="1"/>
    <col min="12788" max="12788" width="11.26953125" style="600" customWidth="1"/>
    <col min="12789" max="12789" width="2.7265625" style="600" customWidth="1"/>
    <col min="12790" max="12790" width="11.26953125" style="600" customWidth="1"/>
    <col min="12791" max="12791" width="2.7265625" style="600" customWidth="1"/>
    <col min="12792" max="12792" width="19.08984375" style="600" bestFit="1" customWidth="1"/>
    <col min="12793" max="12793" width="1.81640625" style="600" customWidth="1"/>
    <col min="12794" max="12794" width="6.7265625" style="600" customWidth="1"/>
    <col min="12795" max="12795" width="14.7265625" style="600" customWidth="1"/>
    <col min="12796" max="12796" width="9" style="600" bestFit="1" customWidth="1"/>
    <col min="12797" max="13037" width="5" style="600"/>
    <col min="13038" max="13038" width="4.7265625" style="600" customWidth="1"/>
    <col min="13039" max="13039" width="2" style="600" customWidth="1"/>
    <col min="13040" max="13040" width="40.7265625" style="600" customWidth="1"/>
    <col min="13041" max="13041" width="3.54296875" style="600" customWidth="1"/>
    <col min="13042" max="13042" width="11.08984375" style="600" customWidth="1"/>
    <col min="13043" max="13043" width="2.7265625" style="600" customWidth="1"/>
    <col min="13044" max="13044" width="11.26953125" style="600" customWidth="1"/>
    <col min="13045" max="13045" width="2.7265625" style="600" customWidth="1"/>
    <col min="13046" max="13046" width="11.26953125" style="600" customWidth="1"/>
    <col min="13047" max="13047" width="2.7265625" style="600" customWidth="1"/>
    <col min="13048" max="13048" width="19.08984375" style="600" bestFit="1" customWidth="1"/>
    <col min="13049" max="13049" width="1.81640625" style="600" customWidth="1"/>
    <col min="13050" max="13050" width="6.7265625" style="600" customWidth="1"/>
    <col min="13051" max="13051" width="14.7265625" style="600" customWidth="1"/>
    <col min="13052" max="13052" width="9" style="600" bestFit="1" customWidth="1"/>
    <col min="13053" max="13293" width="5" style="600"/>
    <col min="13294" max="13294" width="4.7265625" style="600" customWidth="1"/>
    <col min="13295" max="13295" width="2" style="600" customWidth="1"/>
    <col min="13296" max="13296" width="40.7265625" style="600" customWidth="1"/>
    <col min="13297" max="13297" width="3.54296875" style="600" customWidth="1"/>
    <col min="13298" max="13298" width="11.08984375" style="600" customWidth="1"/>
    <col min="13299" max="13299" width="2.7265625" style="600" customWidth="1"/>
    <col min="13300" max="13300" width="11.26953125" style="600" customWidth="1"/>
    <col min="13301" max="13301" width="2.7265625" style="600" customWidth="1"/>
    <col min="13302" max="13302" width="11.26953125" style="600" customWidth="1"/>
    <col min="13303" max="13303" width="2.7265625" style="600" customWidth="1"/>
    <col min="13304" max="13304" width="19.08984375" style="600" bestFit="1" customWidth="1"/>
    <col min="13305" max="13305" width="1.81640625" style="600" customWidth="1"/>
    <col min="13306" max="13306" width="6.7265625" style="600" customWidth="1"/>
    <col min="13307" max="13307" width="14.7265625" style="600" customWidth="1"/>
    <col min="13308" max="13308" width="9" style="600" bestFit="1" customWidth="1"/>
    <col min="13309" max="13549" width="5" style="600"/>
    <col min="13550" max="13550" width="4.7265625" style="600" customWidth="1"/>
    <col min="13551" max="13551" width="2" style="600" customWidth="1"/>
    <col min="13552" max="13552" width="40.7265625" style="600" customWidth="1"/>
    <col min="13553" max="13553" width="3.54296875" style="600" customWidth="1"/>
    <col min="13554" max="13554" width="11.08984375" style="600" customWidth="1"/>
    <col min="13555" max="13555" width="2.7265625" style="600" customWidth="1"/>
    <col min="13556" max="13556" width="11.26953125" style="600" customWidth="1"/>
    <col min="13557" max="13557" width="2.7265625" style="600" customWidth="1"/>
    <col min="13558" max="13558" width="11.26953125" style="600" customWidth="1"/>
    <col min="13559" max="13559" width="2.7265625" style="600" customWidth="1"/>
    <col min="13560" max="13560" width="19.08984375" style="600" bestFit="1" customWidth="1"/>
    <col min="13561" max="13561" width="1.81640625" style="600" customWidth="1"/>
    <col min="13562" max="13562" width="6.7265625" style="600" customWidth="1"/>
    <col min="13563" max="13563" width="14.7265625" style="600" customWidth="1"/>
    <col min="13564" max="13564" width="9" style="600" bestFit="1" customWidth="1"/>
    <col min="13565" max="13805" width="5" style="600"/>
    <col min="13806" max="13806" width="4.7265625" style="600" customWidth="1"/>
    <col min="13807" max="13807" width="2" style="600" customWidth="1"/>
    <col min="13808" max="13808" width="40.7265625" style="600" customWidth="1"/>
    <col min="13809" max="13809" width="3.54296875" style="600" customWidth="1"/>
    <col min="13810" max="13810" width="11.08984375" style="600" customWidth="1"/>
    <col min="13811" max="13811" width="2.7265625" style="600" customWidth="1"/>
    <col min="13812" max="13812" width="11.26953125" style="600" customWidth="1"/>
    <col min="13813" max="13813" width="2.7265625" style="600" customWidth="1"/>
    <col min="13814" max="13814" width="11.26953125" style="600" customWidth="1"/>
    <col min="13815" max="13815" width="2.7265625" style="600" customWidth="1"/>
    <col min="13816" max="13816" width="19.08984375" style="600" bestFit="1" customWidth="1"/>
    <col min="13817" max="13817" width="1.81640625" style="600" customWidth="1"/>
    <col min="13818" max="13818" width="6.7265625" style="600" customWidth="1"/>
    <col min="13819" max="13819" width="14.7265625" style="600" customWidth="1"/>
    <col min="13820" max="13820" width="9" style="600" bestFit="1" customWidth="1"/>
    <col min="13821" max="14061" width="5" style="600"/>
    <col min="14062" max="14062" width="4.7265625" style="600" customWidth="1"/>
    <col min="14063" max="14063" width="2" style="600" customWidth="1"/>
    <col min="14064" max="14064" width="40.7265625" style="600" customWidth="1"/>
    <col min="14065" max="14065" width="3.54296875" style="600" customWidth="1"/>
    <col min="14066" max="14066" width="11.08984375" style="600" customWidth="1"/>
    <col min="14067" max="14067" width="2.7265625" style="600" customWidth="1"/>
    <col min="14068" max="14068" width="11.26953125" style="600" customWidth="1"/>
    <col min="14069" max="14069" width="2.7265625" style="600" customWidth="1"/>
    <col min="14070" max="14070" width="11.26953125" style="600" customWidth="1"/>
    <col min="14071" max="14071" width="2.7265625" style="600" customWidth="1"/>
    <col min="14072" max="14072" width="19.08984375" style="600" bestFit="1" customWidth="1"/>
    <col min="14073" max="14073" width="1.81640625" style="600" customWidth="1"/>
    <col min="14074" max="14074" width="6.7265625" style="600" customWidth="1"/>
    <col min="14075" max="14075" width="14.7265625" style="600" customWidth="1"/>
    <col min="14076" max="14076" width="9" style="600" bestFit="1" customWidth="1"/>
    <col min="14077" max="14317" width="5" style="600"/>
    <col min="14318" max="14318" width="4.7265625" style="600" customWidth="1"/>
    <col min="14319" max="14319" width="2" style="600" customWidth="1"/>
    <col min="14320" max="14320" width="40.7265625" style="600" customWidth="1"/>
    <col min="14321" max="14321" width="3.54296875" style="600" customWidth="1"/>
    <col min="14322" max="14322" width="11.08984375" style="600" customWidth="1"/>
    <col min="14323" max="14323" width="2.7265625" style="600" customWidth="1"/>
    <col min="14324" max="14324" width="11.26953125" style="600" customWidth="1"/>
    <col min="14325" max="14325" width="2.7265625" style="600" customWidth="1"/>
    <col min="14326" max="14326" width="11.26953125" style="600" customWidth="1"/>
    <col min="14327" max="14327" width="2.7265625" style="600" customWidth="1"/>
    <col min="14328" max="14328" width="19.08984375" style="600" bestFit="1" customWidth="1"/>
    <col min="14329" max="14329" width="1.81640625" style="600" customWidth="1"/>
    <col min="14330" max="14330" width="6.7265625" style="600" customWidth="1"/>
    <col min="14331" max="14331" width="14.7265625" style="600" customWidth="1"/>
    <col min="14332" max="14332" width="9" style="600" bestFit="1" customWidth="1"/>
    <col min="14333" max="14573" width="5" style="600"/>
    <col min="14574" max="14574" width="4.7265625" style="600" customWidth="1"/>
    <col min="14575" max="14575" width="2" style="600" customWidth="1"/>
    <col min="14576" max="14576" width="40.7265625" style="600" customWidth="1"/>
    <col min="14577" max="14577" width="3.54296875" style="600" customWidth="1"/>
    <col min="14578" max="14578" width="11.08984375" style="600" customWidth="1"/>
    <col min="14579" max="14579" width="2.7265625" style="600" customWidth="1"/>
    <col min="14580" max="14580" width="11.26953125" style="600" customWidth="1"/>
    <col min="14581" max="14581" width="2.7265625" style="600" customWidth="1"/>
    <col min="14582" max="14582" width="11.26953125" style="600" customWidth="1"/>
    <col min="14583" max="14583" width="2.7265625" style="600" customWidth="1"/>
    <col min="14584" max="14584" width="19.08984375" style="600" bestFit="1" customWidth="1"/>
    <col min="14585" max="14585" width="1.81640625" style="600" customWidth="1"/>
    <col min="14586" max="14586" width="6.7265625" style="600" customWidth="1"/>
    <col min="14587" max="14587" width="14.7265625" style="600" customWidth="1"/>
    <col min="14588" max="14588" width="9" style="600" bestFit="1" customWidth="1"/>
    <col min="14589" max="14829" width="5" style="600"/>
    <col min="14830" max="14830" width="4.7265625" style="600" customWidth="1"/>
    <col min="14831" max="14831" width="2" style="600" customWidth="1"/>
    <col min="14832" max="14832" width="40.7265625" style="600" customWidth="1"/>
    <col min="14833" max="14833" width="3.54296875" style="600" customWidth="1"/>
    <col min="14834" max="14834" width="11.08984375" style="600" customWidth="1"/>
    <col min="14835" max="14835" width="2.7265625" style="600" customWidth="1"/>
    <col min="14836" max="14836" width="11.26953125" style="600" customWidth="1"/>
    <col min="14837" max="14837" width="2.7265625" style="600" customWidth="1"/>
    <col min="14838" max="14838" width="11.26953125" style="600" customWidth="1"/>
    <col min="14839" max="14839" width="2.7265625" style="600" customWidth="1"/>
    <col min="14840" max="14840" width="19.08984375" style="600" bestFit="1" customWidth="1"/>
    <col min="14841" max="14841" width="1.81640625" style="600" customWidth="1"/>
    <col min="14842" max="14842" width="6.7265625" style="600" customWidth="1"/>
    <col min="14843" max="14843" width="14.7265625" style="600" customWidth="1"/>
    <col min="14844" max="14844" width="9" style="600" bestFit="1" customWidth="1"/>
    <col min="14845" max="15085" width="5" style="600"/>
    <col min="15086" max="15086" width="4.7265625" style="600" customWidth="1"/>
    <col min="15087" max="15087" width="2" style="600" customWidth="1"/>
    <col min="15088" max="15088" width="40.7265625" style="600" customWidth="1"/>
    <col min="15089" max="15089" width="3.54296875" style="600" customWidth="1"/>
    <col min="15090" max="15090" width="11.08984375" style="600" customWidth="1"/>
    <col min="15091" max="15091" width="2.7265625" style="600" customWidth="1"/>
    <col min="15092" max="15092" width="11.26953125" style="600" customWidth="1"/>
    <col min="15093" max="15093" width="2.7265625" style="600" customWidth="1"/>
    <col min="15094" max="15094" width="11.26953125" style="600" customWidth="1"/>
    <col min="15095" max="15095" width="2.7265625" style="600" customWidth="1"/>
    <col min="15096" max="15096" width="19.08984375" style="600" bestFit="1" customWidth="1"/>
    <col min="15097" max="15097" width="1.81640625" style="600" customWidth="1"/>
    <col min="15098" max="15098" width="6.7265625" style="600" customWidth="1"/>
    <col min="15099" max="15099" width="14.7265625" style="600" customWidth="1"/>
    <col min="15100" max="15100" width="9" style="600" bestFit="1" customWidth="1"/>
    <col min="15101" max="15341" width="5" style="600"/>
    <col min="15342" max="15342" width="4.7265625" style="600" customWidth="1"/>
    <col min="15343" max="15343" width="2" style="600" customWidth="1"/>
    <col min="15344" max="15344" width="40.7265625" style="600" customWidth="1"/>
    <col min="15345" max="15345" width="3.54296875" style="600" customWidth="1"/>
    <col min="15346" max="15346" width="11.08984375" style="600" customWidth="1"/>
    <col min="15347" max="15347" width="2.7265625" style="600" customWidth="1"/>
    <col min="15348" max="15348" width="11.26953125" style="600" customWidth="1"/>
    <col min="15349" max="15349" width="2.7265625" style="600" customWidth="1"/>
    <col min="15350" max="15350" width="11.26953125" style="600" customWidth="1"/>
    <col min="15351" max="15351" width="2.7265625" style="600" customWidth="1"/>
    <col min="15352" max="15352" width="19.08984375" style="600" bestFit="1" customWidth="1"/>
    <col min="15353" max="15353" width="1.81640625" style="600" customWidth="1"/>
    <col min="15354" max="15354" width="6.7265625" style="600" customWidth="1"/>
    <col min="15355" max="15355" width="14.7265625" style="600" customWidth="1"/>
    <col min="15356" max="15356" width="9" style="600" bestFit="1" customWidth="1"/>
    <col min="15357" max="15597" width="5" style="600"/>
    <col min="15598" max="15598" width="4.7265625" style="600" customWidth="1"/>
    <col min="15599" max="15599" width="2" style="600" customWidth="1"/>
    <col min="15600" max="15600" width="40.7265625" style="600" customWidth="1"/>
    <col min="15601" max="15601" width="3.54296875" style="600" customWidth="1"/>
    <col min="15602" max="15602" width="11.08984375" style="600" customWidth="1"/>
    <col min="15603" max="15603" width="2.7265625" style="600" customWidth="1"/>
    <col min="15604" max="15604" width="11.26953125" style="600" customWidth="1"/>
    <col min="15605" max="15605" width="2.7265625" style="600" customWidth="1"/>
    <col min="15606" max="15606" width="11.26953125" style="600" customWidth="1"/>
    <col min="15607" max="15607" width="2.7265625" style="600" customWidth="1"/>
    <col min="15608" max="15608" width="19.08984375" style="600" bestFit="1" customWidth="1"/>
    <col min="15609" max="15609" width="1.81640625" style="600" customWidth="1"/>
    <col min="15610" max="15610" width="6.7265625" style="600" customWidth="1"/>
    <col min="15611" max="15611" width="14.7265625" style="600" customWidth="1"/>
    <col min="15612" max="15612" width="9" style="600" bestFit="1" customWidth="1"/>
    <col min="15613" max="15853" width="5" style="600"/>
    <col min="15854" max="15854" width="4.7265625" style="600" customWidth="1"/>
    <col min="15855" max="15855" width="2" style="600" customWidth="1"/>
    <col min="15856" max="15856" width="40.7265625" style="600" customWidth="1"/>
    <col min="15857" max="15857" width="3.54296875" style="600" customWidth="1"/>
    <col min="15858" max="15858" width="11.08984375" style="600" customWidth="1"/>
    <col min="15859" max="15859" width="2.7265625" style="600" customWidth="1"/>
    <col min="15860" max="15860" width="11.26953125" style="600" customWidth="1"/>
    <col min="15861" max="15861" width="2.7265625" style="600" customWidth="1"/>
    <col min="15862" max="15862" width="11.26953125" style="600" customWidth="1"/>
    <col min="15863" max="15863" width="2.7265625" style="600" customWidth="1"/>
    <col min="15864" max="15864" width="19.08984375" style="600" bestFit="1" customWidth="1"/>
    <col min="15865" max="15865" width="1.81640625" style="600" customWidth="1"/>
    <col min="15866" max="15866" width="6.7265625" style="600" customWidth="1"/>
    <col min="15867" max="15867" width="14.7265625" style="600" customWidth="1"/>
    <col min="15868" max="15868" width="9" style="600" bestFit="1" customWidth="1"/>
    <col min="15869" max="16109" width="5" style="600"/>
    <col min="16110" max="16110" width="4.7265625" style="600" customWidth="1"/>
    <col min="16111" max="16111" width="2" style="600" customWidth="1"/>
    <col min="16112" max="16112" width="40.7265625" style="600" customWidth="1"/>
    <col min="16113" max="16113" width="3.54296875" style="600" customWidth="1"/>
    <col min="16114" max="16114" width="11.08984375" style="600" customWidth="1"/>
    <col min="16115" max="16115" width="2.7265625" style="600" customWidth="1"/>
    <col min="16116" max="16116" width="11.26953125" style="600" customWidth="1"/>
    <col min="16117" max="16117" width="2.7265625" style="600" customWidth="1"/>
    <col min="16118" max="16118" width="11.26953125" style="600" customWidth="1"/>
    <col min="16119" max="16119" width="2.7265625" style="600" customWidth="1"/>
    <col min="16120" max="16120" width="19.08984375" style="600" bestFit="1" customWidth="1"/>
    <col min="16121" max="16121" width="1.81640625" style="600" customWidth="1"/>
    <col min="16122" max="16122" width="6.7265625" style="600" customWidth="1"/>
    <col min="16123" max="16123" width="14.7265625" style="600" customWidth="1"/>
    <col min="16124" max="16124" width="9" style="600" bestFit="1" customWidth="1"/>
    <col min="16125" max="16384" width="5" style="600"/>
  </cols>
  <sheetData>
    <row r="1" spans="1:31">
      <c r="I1"/>
      <c r="J1"/>
      <c r="K1" s="3" t="s">
        <v>995</v>
      </c>
    </row>
    <row r="2" spans="1:31">
      <c r="I2"/>
      <c r="J2"/>
      <c r="K2" s="3" t="s">
        <v>144</v>
      </c>
    </row>
    <row r="3" spans="1:31">
      <c r="I3" s="63"/>
      <c r="J3" s="63"/>
      <c r="K3" s="3" t="str">
        <f>'Attachment 6 - PBOP'!H3</f>
        <v>For the 12 months ended 12/31/2023</v>
      </c>
    </row>
    <row r="5" spans="1:31">
      <c r="B5" s="600"/>
      <c r="C5" s="620" t="s">
        <v>627</v>
      </c>
      <c r="D5" s="744"/>
      <c r="E5" s="620" t="str">
        <f>"("&amp;CHAR(CODE(MID(C5,2,1))+1)&amp;")"</f>
        <v>(B)</v>
      </c>
      <c r="F5" s="601"/>
      <c r="G5" s="620" t="str">
        <f t="shared" ref="G5" si="0">"("&amp;CHAR(CODE(MID(E5,2,1))+1)&amp;")"</f>
        <v>(C)</v>
      </c>
      <c r="H5" s="601"/>
      <c r="I5" s="620" t="str">
        <f t="shared" ref="I5" si="1">"("&amp;CHAR(CODE(MID(G5,2,1))+1)&amp;")"</f>
        <v>(D)</v>
      </c>
      <c r="K5" s="620" t="str">
        <f t="shared" ref="K5" si="2">"("&amp;CHAR(CODE(MID(I5,2,1))+1)&amp;")"</f>
        <v>(E)</v>
      </c>
      <c r="L5" s="601"/>
      <c r="M5" s="620"/>
      <c r="O5" s="600"/>
      <c r="Q5" s="600"/>
    </row>
    <row r="6" spans="1:31" ht="46.8">
      <c r="A6" s="618" t="s">
        <v>630</v>
      </c>
      <c r="B6" s="609"/>
      <c r="C6" s="617" t="s">
        <v>520</v>
      </c>
      <c r="D6" s="617"/>
      <c r="E6" s="614" t="s">
        <v>10</v>
      </c>
      <c r="F6" s="607"/>
      <c r="G6" s="614" t="s">
        <v>8</v>
      </c>
      <c r="H6" s="755" t="s">
        <v>642</v>
      </c>
      <c r="I6" s="614" t="s">
        <v>727</v>
      </c>
      <c r="J6" s="756" t="s">
        <v>60</v>
      </c>
      <c r="K6" s="889" t="s">
        <v>809</v>
      </c>
      <c r="L6" s="811"/>
      <c r="M6" s="601"/>
      <c r="N6" s="607"/>
      <c r="O6" s="600"/>
      <c r="Q6" s="600"/>
    </row>
    <row r="7" spans="1:31" ht="21.6" customHeight="1">
      <c r="A7" s="611"/>
      <c r="B7" s="609"/>
      <c r="C7" s="610"/>
      <c r="D7" s="738"/>
      <c r="E7" s="610"/>
      <c r="F7" s="754"/>
      <c r="G7" s="613"/>
      <c r="H7" s="607"/>
      <c r="I7" s="608"/>
      <c r="J7" s="607"/>
      <c r="K7" s="613"/>
      <c r="L7" s="838"/>
      <c r="M7" s="838"/>
      <c r="N7" s="838"/>
      <c r="O7" s="838"/>
      <c r="P7" s="838"/>
      <c r="Q7" s="838"/>
      <c r="R7" s="838"/>
      <c r="S7" s="838"/>
      <c r="T7" s="838"/>
      <c r="U7" s="838"/>
      <c r="V7" s="838"/>
      <c r="W7" s="838"/>
      <c r="X7" s="838"/>
      <c r="Y7" s="838"/>
      <c r="Z7" s="838"/>
      <c r="AA7" s="838"/>
      <c r="AB7" s="838"/>
      <c r="AC7" s="838"/>
      <c r="AD7" s="838"/>
      <c r="AE7" s="838"/>
    </row>
    <row r="8" spans="1:31">
      <c r="A8" s="611">
        <v>1</v>
      </c>
      <c r="B8" s="609"/>
      <c r="C8" s="610" t="s">
        <v>631</v>
      </c>
      <c r="D8" s="738"/>
      <c r="E8" s="610"/>
      <c r="F8" s="754"/>
      <c r="G8" s="608"/>
      <c r="H8" s="607"/>
      <c r="I8" s="608"/>
      <c r="J8" s="607"/>
      <c r="K8" s="608"/>
      <c r="L8" s="757"/>
      <c r="M8" s="608"/>
      <c r="N8" s="607"/>
      <c r="P8" s="607"/>
      <c r="Q8" s="600"/>
    </row>
    <row r="9" spans="1:31">
      <c r="C9" s="601"/>
      <c r="D9" s="738"/>
      <c r="E9" s="601"/>
      <c r="F9" s="601"/>
      <c r="G9" s="601"/>
      <c r="H9" s="601"/>
      <c r="I9" s="601"/>
      <c r="J9" s="601"/>
      <c r="K9" s="601"/>
      <c r="M9" s="601"/>
      <c r="N9" s="601"/>
      <c r="P9" s="601"/>
      <c r="Q9" s="600"/>
    </row>
    <row r="10" spans="1:31">
      <c r="A10" s="735">
        <f>A8+0.01</f>
        <v>1.01</v>
      </c>
      <c r="B10" s="600"/>
      <c r="C10" s="655" t="s">
        <v>1068</v>
      </c>
      <c r="D10" s="890" t="s">
        <v>43</v>
      </c>
      <c r="E10" s="723" t="s">
        <v>1070</v>
      </c>
      <c r="G10" s="657">
        <v>4193895</v>
      </c>
      <c r="I10" s="753">
        <f ca="1">IFERROR(INDIRECT(E10),0)</f>
        <v>8.0618739267835124E-2</v>
      </c>
      <c r="K10" s="606">
        <f ca="1">IFERROR(G10*I10,0)</f>
        <v>338106.52752167737</v>
      </c>
      <c r="M10" s="601"/>
      <c r="O10" s="600"/>
      <c r="Q10" s="600"/>
    </row>
    <row r="11" spans="1:31">
      <c r="A11" s="735">
        <f>A10+0.01</f>
        <v>1.02</v>
      </c>
      <c r="B11" s="600"/>
      <c r="C11" s="655" t="s">
        <v>1153</v>
      </c>
      <c r="D11" s="890" t="s">
        <v>43</v>
      </c>
      <c r="E11" s="723" t="s">
        <v>1070</v>
      </c>
      <c r="G11" s="657">
        <v>59427</v>
      </c>
      <c r="I11" s="753">
        <f t="shared" ref="I11:I17" ca="1" si="3">IFERROR(INDIRECT(E11),0)</f>
        <v>8.0618739267835124E-2</v>
      </c>
      <c r="K11" s="606">
        <f t="shared" ref="K11:K17" ca="1" si="4">IFERROR(G11*I11,0)</f>
        <v>4790.9298184696381</v>
      </c>
      <c r="M11" s="601"/>
      <c r="O11" s="600"/>
      <c r="Q11" s="600"/>
    </row>
    <row r="12" spans="1:31">
      <c r="A12" s="735">
        <f t="shared" ref="A12:A19" si="5">A11+0.01</f>
        <v>1.03</v>
      </c>
      <c r="B12" s="600"/>
      <c r="C12" s="655" t="s">
        <v>1069</v>
      </c>
      <c r="D12" s="890" t="s">
        <v>43</v>
      </c>
      <c r="E12" s="723" t="s">
        <v>1070</v>
      </c>
      <c r="G12" s="657">
        <v>417397</v>
      </c>
      <c r="I12" s="753">
        <f ca="1">IFERROR(INDIRECT(E12),0)</f>
        <v>8.0618739267835124E-2</v>
      </c>
      <c r="K12" s="606">
        <f t="shared" ca="1" si="4"/>
        <v>33650.019914176577</v>
      </c>
      <c r="M12" s="601"/>
      <c r="O12" s="600"/>
      <c r="Q12" s="600"/>
    </row>
    <row r="13" spans="1:31" ht="15.6" customHeight="1">
      <c r="A13" s="735">
        <f t="shared" si="5"/>
        <v>1.04</v>
      </c>
      <c r="B13" s="600"/>
      <c r="C13" s="655" t="s">
        <v>1160</v>
      </c>
      <c r="D13" s="890" t="s">
        <v>43</v>
      </c>
      <c r="E13" s="723" t="s">
        <v>1070</v>
      </c>
      <c r="G13" s="657">
        <v>264</v>
      </c>
      <c r="I13" s="753">
        <f t="shared" ref="I13:I15" ca="1" si="6">IFERROR(INDIRECT(E13),0)</f>
        <v>8.0618739267835124E-2</v>
      </c>
      <c r="K13" s="606">
        <f ca="1">IFERROR(G13*I13,0)</f>
        <v>21.283347166708474</v>
      </c>
      <c r="L13" s="1045"/>
      <c r="M13" s="1045"/>
      <c r="N13" s="1045"/>
      <c r="O13" s="1045"/>
      <c r="P13" s="1045"/>
      <c r="Q13" s="1045"/>
      <c r="R13" s="1045"/>
      <c r="S13" s="1045"/>
      <c r="T13" s="1045"/>
      <c r="U13" s="1045"/>
      <c r="V13" s="1045"/>
      <c r="W13" s="1045"/>
      <c r="X13" s="1045"/>
      <c r="Y13" s="1045"/>
      <c r="Z13" s="1045"/>
    </row>
    <row r="14" spans="1:31">
      <c r="A14" s="735">
        <f t="shared" si="5"/>
        <v>1.05</v>
      </c>
      <c r="B14" s="600"/>
      <c r="C14" s="655" t="s">
        <v>1159</v>
      </c>
      <c r="D14" s="890" t="s">
        <v>43</v>
      </c>
      <c r="E14" s="723" t="s">
        <v>1070</v>
      </c>
      <c r="G14" s="657">
        <v>-40185</v>
      </c>
      <c r="I14" s="753">
        <f t="shared" ca="1" si="6"/>
        <v>8.0618739267835124E-2</v>
      </c>
      <c r="K14" s="606">
        <f ca="1">IFERROR(G14*I14,0)</f>
        <v>-3239.6640374779545</v>
      </c>
      <c r="L14" s="1045"/>
      <c r="M14" s="1045"/>
      <c r="N14" s="1045"/>
      <c r="O14" s="1045"/>
      <c r="P14" s="1045"/>
      <c r="Q14" s="1045"/>
      <c r="R14" s="1045"/>
      <c r="S14" s="1045"/>
      <c r="T14" s="1045"/>
      <c r="U14" s="1045"/>
      <c r="V14" s="1045"/>
      <c r="W14" s="1045"/>
      <c r="X14" s="1045"/>
      <c r="Y14" s="1045"/>
      <c r="Z14" s="1045"/>
    </row>
    <row r="15" spans="1:31">
      <c r="A15" s="735">
        <f t="shared" si="5"/>
        <v>1.06</v>
      </c>
      <c r="B15" s="600"/>
      <c r="C15" s="655" t="s">
        <v>1161</v>
      </c>
      <c r="D15" s="890" t="s">
        <v>43</v>
      </c>
      <c r="E15" s="723" t="s">
        <v>1070</v>
      </c>
      <c r="G15" s="657">
        <v>14937</v>
      </c>
      <c r="I15" s="753">
        <f t="shared" ca="1" si="6"/>
        <v>8.0618739267835124E-2</v>
      </c>
      <c r="K15" s="606">
        <f t="shared" ref="K15:K16" ca="1" si="7">IFERROR(G15*I15,0)</f>
        <v>1204.2021084436533</v>
      </c>
      <c r="L15" s="1045"/>
      <c r="M15" s="1045"/>
      <c r="N15" s="1045"/>
      <c r="O15" s="1045"/>
      <c r="P15" s="1045"/>
      <c r="Q15" s="1045"/>
      <c r="R15" s="1045"/>
      <c r="S15" s="1045"/>
      <c r="T15" s="1045"/>
      <c r="U15" s="1045"/>
      <c r="V15" s="1045"/>
      <c r="W15" s="1045"/>
      <c r="X15" s="1045"/>
      <c r="Y15" s="1045"/>
      <c r="Z15" s="1045"/>
    </row>
    <row r="16" spans="1:31">
      <c r="A16" s="735">
        <f t="shared" si="5"/>
        <v>1.07</v>
      </c>
      <c r="B16" s="600"/>
      <c r="C16" s="655" t="s">
        <v>1162</v>
      </c>
      <c r="D16" s="890" t="s">
        <v>43</v>
      </c>
      <c r="E16" s="723" t="s">
        <v>762</v>
      </c>
      <c r="G16" s="657">
        <v>3446</v>
      </c>
      <c r="I16" s="753">
        <f ca="1">IFERROR(INDIRECT(E16),0)</f>
        <v>0.24928026689675703</v>
      </c>
      <c r="K16" s="606">
        <f t="shared" ca="1" si="7"/>
        <v>859.01979972622473</v>
      </c>
      <c r="L16" s="1045"/>
      <c r="M16" s="1045"/>
      <c r="N16" s="1045"/>
      <c r="O16" s="1045"/>
      <c r="P16" s="1045"/>
      <c r="Q16" s="1045"/>
      <c r="R16" s="1045"/>
      <c r="S16" s="1045"/>
      <c r="T16" s="1045"/>
      <c r="U16" s="1045"/>
      <c r="V16" s="1045"/>
      <c r="W16" s="1045"/>
      <c r="X16" s="1045"/>
      <c r="Y16" s="1045"/>
      <c r="Z16" s="1045"/>
    </row>
    <row r="17" spans="1:26">
      <c r="A17" s="735">
        <f t="shared" si="5"/>
        <v>1.08</v>
      </c>
      <c r="B17" s="600"/>
      <c r="C17" s="655" t="s">
        <v>1149</v>
      </c>
      <c r="D17" s="890" t="s">
        <v>43</v>
      </c>
      <c r="E17" s="723" t="s">
        <v>762</v>
      </c>
      <c r="G17" s="657">
        <v>17116</v>
      </c>
      <c r="I17" s="753">
        <f t="shared" ca="1" si="3"/>
        <v>0.24928026689675703</v>
      </c>
      <c r="K17" s="606">
        <f t="shared" ca="1" si="4"/>
        <v>4266.6810482048932</v>
      </c>
      <c r="L17" s="1053"/>
      <c r="M17" s="1051"/>
      <c r="N17" s="1053"/>
      <c r="O17" s="1053"/>
      <c r="P17" s="1053"/>
      <c r="Q17" s="1053"/>
      <c r="R17" s="1053"/>
      <c r="S17" s="1053"/>
      <c r="T17" s="1053"/>
      <c r="U17" s="1053"/>
      <c r="V17" s="1053"/>
      <c r="W17" s="1053"/>
      <c r="X17" s="1053"/>
      <c r="Y17" s="1053"/>
      <c r="Z17" s="1053"/>
    </row>
    <row r="18" spans="1:26">
      <c r="A18" s="735">
        <f t="shared" si="5"/>
        <v>1.0900000000000001</v>
      </c>
      <c r="B18" s="600"/>
      <c r="C18" s="655" t="s">
        <v>1071</v>
      </c>
      <c r="D18" s="890" t="s">
        <v>43</v>
      </c>
      <c r="E18" s="723" t="s">
        <v>762</v>
      </c>
      <c r="G18" s="657">
        <v>6812441</v>
      </c>
      <c r="I18" s="753">
        <f ca="1">IFERROR(INDIRECT(E18),0)</f>
        <v>0.24928026689675703</v>
      </c>
      <c r="K18" s="606">
        <f ca="1">IFERROR(G18*I18,0)</f>
        <v>1698207.1106984103</v>
      </c>
      <c r="M18" s="601"/>
      <c r="O18" s="600"/>
      <c r="Q18" s="600"/>
    </row>
    <row r="19" spans="1:26">
      <c r="A19" s="735">
        <f t="shared" si="5"/>
        <v>1.1000000000000001</v>
      </c>
      <c r="B19" s="600"/>
      <c r="C19" s="655" t="s">
        <v>1067</v>
      </c>
      <c r="D19" s="890" t="s">
        <v>43</v>
      </c>
      <c r="E19" s="723" t="s">
        <v>762</v>
      </c>
      <c r="G19" s="657">
        <v>75000</v>
      </c>
      <c r="I19" s="753">
        <f ca="1">IFERROR(INDIRECT(E19),0)</f>
        <v>0.24928026689675703</v>
      </c>
      <c r="K19" s="606">
        <f ca="1">IFERROR(G19*I19,0)</f>
        <v>18696.020017256778</v>
      </c>
      <c r="M19" s="601"/>
      <c r="O19" s="600"/>
      <c r="Q19" s="600"/>
    </row>
    <row r="20" spans="1:26">
      <c r="A20" s="601">
        <f>A8+1</f>
        <v>2</v>
      </c>
      <c r="B20" s="600"/>
      <c r="C20" s="600" t="str">
        <f ca="1">"Sum of Lines "&amp;A10&amp;" through "&amp;OFFSET(A20,-1,0)</f>
        <v>Sum of Lines 1.01 through 1.1</v>
      </c>
      <c r="D20" s="738"/>
      <c r="G20" s="605">
        <f>SUM(G10:G19)</f>
        <v>11553738</v>
      </c>
      <c r="I20" s="601"/>
      <c r="K20" s="604">
        <f ca="1">SUM(K10:K19)</f>
        <v>2096562.1302360541</v>
      </c>
      <c r="L20" s="812"/>
      <c r="M20" s="601"/>
      <c r="O20" s="600"/>
      <c r="Q20" s="600"/>
    </row>
    <row r="21" spans="1:26">
      <c r="A21" s="601">
        <f>A20+1</f>
        <v>3</v>
      </c>
      <c r="B21" s="600"/>
      <c r="C21" s="743" t="s">
        <v>789</v>
      </c>
      <c r="D21" s="738"/>
      <c r="E21" s="743"/>
      <c r="G21" s="657">
        <v>11553738</v>
      </c>
      <c r="I21" s="601"/>
      <c r="K21" s="744"/>
      <c r="L21" s="822"/>
      <c r="M21" s="823"/>
      <c r="N21" s="822"/>
      <c r="O21" s="822"/>
      <c r="P21" s="822"/>
      <c r="Q21" s="822"/>
      <c r="R21" s="822"/>
      <c r="S21" s="822"/>
      <c r="T21" s="822"/>
      <c r="U21" s="822"/>
      <c r="V21" s="822"/>
      <c r="W21" s="822"/>
    </row>
    <row r="22" spans="1:26">
      <c r="C22" s="601"/>
      <c r="D22" s="601"/>
      <c r="E22" s="601"/>
      <c r="F22" s="601"/>
      <c r="G22" s="631"/>
      <c r="H22" s="601"/>
      <c r="J22" s="601"/>
      <c r="K22" s="601"/>
      <c r="M22" s="601"/>
      <c r="O22" s="653"/>
      <c r="P22" s="601"/>
      <c r="R22" s="601"/>
    </row>
    <row r="23" spans="1:26">
      <c r="A23" s="603"/>
      <c r="C23" s="603" t="s">
        <v>153</v>
      </c>
      <c r="G23" s="606"/>
    </row>
    <row r="24" spans="1:26" ht="15.75" customHeight="1">
      <c r="C24" s="975" t="s">
        <v>848</v>
      </c>
      <c r="D24" s="975"/>
      <c r="E24" s="975"/>
      <c r="F24" s="975"/>
      <c r="G24" s="975"/>
      <c r="H24" s="975"/>
      <c r="I24" s="975"/>
      <c r="J24" s="975"/>
      <c r="K24" s="975"/>
      <c r="L24" s="693"/>
      <c r="M24" s="693"/>
      <c r="N24" s="693"/>
    </row>
    <row r="25" spans="1:26" ht="15.75" customHeight="1">
      <c r="C25" s="975"/>
      <c r="D25" s="975"/>
      <c r="E25" s="975"/>
      <c r="F25" s="975"/>
      <c r="G25" s="975"/>
      <c r="H25" s="975"/>
      <c r="I25" s="975"/>
      <c r="J25" s="975"/>
      <c r="K25" s="975"/>
      <c r="L25" s="693"/>
      <c r="M25" s="693"/>
      <c r="N25" s="693"/>
    </row>
    <row r="26" spans="1:26">
      <c r="C26" s="996" t="s">
        <v>1038</v>
      </c>
      <c r="D26" s="996"/>
      <c r="E26" s="996"/>
      <c r="F26" s="996"/>
      <c r="G26" s="996"/>
      <c r="H26" s="996"/>
      <c r="I26" s="996"/>
      <c r="J26" s="996"/>
      <c r="K26" s="996"/>
      <c r="L26" s="996"/>
      <c r="M26" s="996"/>
      <c r="N26" s="996"/>
      <c r="O26" s="823"/>
    </row>
    <row r="27" spans="1:26" ht="15.75" customHeight="1">
      <c r="C27" s="997" t="s">
        <v>913</v>
      </c>
      <c r="D27" s="997"/>
      <c r="E27" s="997"/>
      <c r="F27" s="997"/>
      <c r="G27" s="997"/>
      <c r="H27" s="997"/>
      <c r="I27" s="997"/>
      <c r="J27" s="997"/>
      <c r="K27" s="997"/>
      <c r="L27" s="997"/>
      <c r="M27" s="997"/>
      <c r="N27" s="638"/>
      <c r="O27" s="622"/>
    </row>
    <row r="28" spans="1:26" ht="15.6" customHeight="1">
      <c r="C28" s="997"/>
      <c r="D28" s="997"/>
      <c r="E28" s="997"/>
      <c r="F28" s="638"/>
      <c r="G28" s="813"/>
      <c r="H28" s="638"/>
      <c r="I28" s="638"/>
      <c r="J28" s="638"/>
      <c r="K28" s="638"/>
      <c r="L28" s="638"/>
      <c r="M28" s="638"/>
      <c r="N28" s="638"/>
      <c r="O28" s="622"/>
    </row>
    <row r="29" spans="1:26">
      <c r="G29" s="957"/>
      <c r="O29" s="622"/>
    </row>
    <row r="30" spans="1:26">
      <c r="G30" s="822"/>
      <c r="H30" s="822"/>
      <c r="I30" s="824"/>
      <c r="J30" s="822"/>
      <c r="K30" s="824"/>
      <c r="L30" s="662"/>
    </row>
    <row r="31" spans="1:26">
      <c r="G31" s="606"/>
    </row>
  </sheetData>
  <mergeCells count="4">
    <mergeCell ref="C26:N26"/>
    <mergeCell ref="C27:M27"/>
    <mergeCell ref="C24:K25"/>
    <mergeCell ref="C28:E28"/>
  </mergeCells>
  <dataValidations count="1">
    <dataValidation type="list" allowBlank="1" showInputMessage="1" showErrorMessage="1" sqref="E10:E19" xr:uid="{00000000-0002-0000-0900-000000000000}">
      <formula1>"DA, TE, TP, GP, WS, CE, EXCL,"</formula1>
    </dataValidation>
  </dataValidations>
  <pageMargins left="0" right="0" top="1" bottom="0.5" header="0" footer="0"/>
  <pageSetup scale="7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X27"/>
  <sheetViews>
    <sheetView view="pageBreakPreview" zoomScale="85" zoomScaleNormal="85" zoomScaleSheetLayoutView="85" workbookViewId="0">
      <selection activeCell="C1" sqref="C1"/>
    </sheetView>
  </sheetViews>
  <sheetFormatPr defaultColWidth="8.81640625" defaultRowHeight="20.100000000000001" customHeight="1"/>
  <cols>
    <col min="1" max="1" width="2.7265625" style="37" customWidth="1"/>
    <col min="2" max="2" width="10.7265625" style="33" customWidth="1"/>
    <col min="3" max="3" width="8.81640625" style="33"/>
    <col min="4" max="4" width="2.7265625" style="33" customWidth="1"/>
    <col min="5" max="11" width="12.7265625" style="37" customWidth="1"/>
    <col min="12" max="12" width="16.81640625" style="33" bestFit="1" customWidth="1"/>
    <col min="13" max="13" width="8.81640625" style="33"/>
    <col min="14" max="15" width="13.54296875" style="33" bestFit="1" customWidth="1"/>
    <col min="16" max="16384" width="8.81640625" style="33"/>
  </cols>
  <sheetData>
    <row r="1" spans="1:24" ht="20.100000000000001" customHeight="1">
      <c r="E1" s="1044"/>
      <c r="F1" s="1044"/>
      <c r="G1" s="1044"/>
      <c r="H1" s="1044"/>
      <c r="I1" s="1044"/>
      <c r="J1" s="1044"/>
      <c r="M1" s="3" t="s">
        <v>455</v>
      </c>
    </row>
    <row r="2" spans="1:24" ht="20.100000000000001" customHeight="1">
      <c r="M2" s="3" t="s">
        <v>144</v>
      </c>
    </row>
    <row r="3" spans="1:24" ht="20.100000000000001" customHeight="1">
      <c r="H3" s="39" t="s">
        <v>422</v>
      </c>
      <c r="M3" s="3" t="str">
        <f>'Attachment 1 - Sched 1A'!$J$3</f>
        <v>For the 12 months ended 12/31/2023</v>
      </c>
    </row>
    <row r="4" spans="1:24" ht="20.100000000000001" customHeight="1">
      <c r="A4" s="40"/>
    </row>
    <row r="5" spans="1:24" ht="20.100000000000001" customHeight="1">
      <c r="E5" s="43" t="s">
        <v>392</v>
      </c>
      <c r="F5" s="43" t="s">
        <v>393</v>
      </c>
      <c r="G5" s="43" t="s">
        <v>394</v>
      </c>
      <c r="H5" s="43" t="s">
        <v>395</v>
      </c>
      <c r="I5" s="43" t="s">
        <v>396</v>
      </c>
      <c r="J5" s="43" t="s">
        <v>397</v>
      </c>
      <c r="K5" s="43" t="s">
        <v>398</v>
      </c>
    </row>
    <row r="6" spans="1:24" ht="20.100000000000001" customHeight="1">
      <c r="E6" s="39" t="s">
        <v>190</v>
      </c>
      <c r="F6" s="39" t="s">
        <v>192</v>
      </c>
      <c r="G6" s="39" t="s">
        <v>193</v>
      </c>
      <c r="H6" s="39" t="s">
        <v>351</v>
      </c>
      <c r="I6" s="39" t="s">
        <v>382</v>
      </c>
      <c r="J6" s="39" t="s">
        <v>62</v>
      </c>
      <c r="K6" s="39" t="s">
        <v>194</v>
      </c>
    </row>
    <row r="7" spans="1:24" ht="20.100000000000001" customHeight="1">
      <c r="E7" s="39" t="s">
        <v>191</v>
      </c>
      <c r="F7" s="39"/>
      <c r="G7" s="39"/>
      <c r="H7" s="39"/>
      <c r="I7" s="39"/>
      <c r="J7" s="39"/>
      <c r="K7" s="39"/>
    </row>
    <row r="8" spans="1:24" ht="20.100000000000001" customHeight="1">
      <c r="D8" s="36" t="s">
        <v>182</v>
      </c>
      <c r="E8" s="38" t="s">
        <v>195</v>
      </c>
      <c r="F8" s="38" t="s">
        <v>438</v>
      </c>
      <c r="G8" s="38" t="s">
        <v>196</v>
      </c>
      <c r="H8" s="38" t="s">
        <v>350</v>
      </c>
      <c r="I8" s="38" t="s">
        <v>1039</v>
      </c>
      <c r="J8" s="38" t="s">
        <v>383</v>
      </c>
      <c r="K8" s="41" t="s">
        <v>820</v>
      </c>
      <c r="L8" s="839"/>
    </row>
    <row r="9" spans="1:24" ht="20.100000000000001" customHeight="1">
      <c r="A9" s="41">
        <v>1</v>
      </c>
      <c r="B9" s="33" t="s">
        <v>157</v>
      </c>
      <c r="C9" s="34">
        <f>'Attachment 4 - Accum Depr'!C8</f>
        <v>2022</v>
      </c>
      <c r="D9" s="36"/>
      <c r="E9" s="56">
        <v>3965361610</v>
      </c>
      <c r="F9" s="56"/>
      <c r="G9" s="56"/>
      <c r="H9" s="56">
        <v>-5243178.51</v>
      </c>
      <c r="I9" s="56">
        <v>1810936125</v>
      </c>
      <c r="J9" s="62">
        <f>E9-F9-G9-H9-I9</f>
        <v>2159668663.5100002</v>
      </c>
      <c r="K9" s="56">
        <v>2150000000</v>
      </c>
      <c r="L9" s="839"/>
      <c r="M9" s="786"/>
    </row>
    <row r="10" spans="1:24" ht="20.100000000000001" customHeight="1">
      <c r="A10" s="41">
        <v>2</v>
      </c>
      <c r="B10" s="33" t="s">
        <v>158</v>
      </c>
      <c r="C10" s="34">
        <f>C9+1</f>
        <v>2023</v>
      </c>
      <c r="E10" s="56">
        <v>3974438828</v>
      </c>
      <c r="F10" s="56"/>
      <c r="G10" s="56"/>
      <c r="H10" s="56">
        <v>-5200898.51</v>
      </c>
      <c r="I10" s="56">
        <v>1810936125</v>
      </c>
      <c r="J10" s="62">
        <f t="shared" ref="J10:J20" si="0">E10-F10-G10-H10-I10</f>
        <v>2168703601.5100002</v>
      </c>
      <c r="K10" s="56">
        <v>2150000000</v>
      </c>
      <c r="L10" s="42"/>
      <c r="M10" s="814"/>
    </row>
    <row r="11" spans="1:24" ht="20.100000000000001" customHeight="1">
      <c r="A11" s="41">
        <v>3</v>
      </c>
      <c r="B11" s="33" t="s">
        <v>159</v>
      </c>
      <c r="C11" s="34">
        <f>C10</f>
        <v>2023</v>
      </c>
      <c r="E11" s="56">
        <v>3984023135.2799997</v>
      </c>
      <c r="F11" s="56"/>
      <c r="G11" s="56"/>
      <c r="H11" s="56">
        <v>-5182388.32</v>
      </c>
      <c r="I11" s="56">
        <v>1810936125</v>
      </c>
      <c r="J11" s="62">
        <f>E11-F11-G11-H11-I11</f>
        <v>2178269398.5999999</v>
      </c>
      <c r="K11" s="56">
        <v>2150000000</v>
      </c>
      <c r="L11" s="42"/>
      <c r="M11" s="786"/>
      <c r="N11" s="825"/>
      <c r="O11" s="825"/>
      <c r="P11" s="825"/>
      <c r="Q11" s="825"/>
      <c r="R11" s="825"/>
      <c r="S11" s="825"/>
      <c r="T11" s="825"/>
      <c r="U11" s="825"/>
      <c r="V11" s="825"/>
      <c r="W11" s="825"/>
      <c r="X11" s="825"/>
    </row>
    <row r="12" spans="1:24" ht="20.100000000000001" customHeight="1">
      <c r="A12" s="41">
        <v>4</v>
      </c>
      <c r="B12" s="33" t="s">
        <v>160</v>
      </c>
      <c r="C12" s="34">
        <f t="shared" ref="C12:C21" si="1">C11</f>
        <v>2023</v>
      </c>
      <c r="E12" s="56">
        <v>3988268314</v>
      </c>
      <c r="F12" s="56"/>
      <c r="G12" s="56"/>
      <c r="H12" s="56">
        <v>-5151993.24</v>
      </c>
      <c r="I12" s="56">
        <v>1810936125</v>
      </c>
      <c r="J12" s="62">
        <f t="shared" si="0"/>
        <v>2182484182.2399998</v>
      </c>
      <c r="K12" s="56">
        <v>2150000000</v>
      </c>
      <c r="L12" s="42"/>
      <c r="M12" s="786"/>
    </row>
    <row r="13" spans="1:24" ht="20.100000000000001" customHeight="1">
      <c r="A13" s="41">
        <v>5</v>
      </c>
      <c r="B13" s="33" t="s">
        <v>161</v>
      </c>
      <c r="C13" s="34">
        <f t="shared" si="1"/>
        <v>2023</v>
      </c>
      <c r="E13" s="56">
        <v>3996259658.4400005</v>
      </c>
      <c r="F13" s="56"/>
      <c r="G13" s="56"/>
      <c r="H13" s="56">
        <v>-5121598.1500000004</v>
      </c>
      <c r="I13" s="56">
        <v>1810936125</v>
      </c>
      <c r="J13" s="62">
        <f>E13-F13-G13-H13-I13</f>
        <v>2190445131.5900006</v>
      </c>
      <c r="K13" s="56">
        <v>2150000000</v>
      </c>
      <c r="L13" s="42"/>
      <c r="M13" s="786"/>
    </row>
    <row r="14" spans="1:24" ht="20.100000000000001" customHeight="1">
      <c r="A14" s="41">
        <v>6</v>
      </c>
      <c r="B14" s="33" t="s">
        <v>162</v>
      </c>
      <c r="C14" s="34">
        <f t="shared" si="1"/>
        <v>2023</v>
      </c>
      <c r="E14" s="56">
        <v>4014621250.7800007</v>
      </c>
      <c r="F14" s="56"/>
      <c r="G14" s="56"/>
      <c r="H14" s="56">
        <v>-5091203.05</v>
      </c>
      <c r="I14" s="56">
        <v>1810936125</v>
      </c>
      <c r="J14" s="62">
        <f t="shared" si="0"/>
        <v>2208776328.8300009</v>
      </c>
      <c r="K14" s="56">
        <v>2150000000</v>
      </c>
      <c r="L14" s="786"/>
      <c r="M14" s="786"/>
    </row>
    <row r="15" spans="1:24" ht="20.100000000000001" customHeight="1">
      <c r="A15" s="41">
        <v>7</v>
      </c>
      <c r="B15" s="33" t="s">
        <v>173</v>
      </c>
      <c r="C15" s="34">
        <f t="shared" si="1"/>
        <v>2023</v>
      </c>
      <c r="E15" s="56">
        <v>4018754326</v>
      </c>
      <c r="F15" s="56"/>
      <c r="G15" s="56"/>
      <c r="H15" s="56">
        <v>-5060807.96</v>
      </c>
      <c r="I15" s="56">
        <v>1810936125</v>
      </c>
      <c r="J15" s="62">
        <f t="shared" si="0"/>
        <v>2212879008.96</v>
      </c>
      <c r="K15" s="56">
        <v>2150000000</v>
      </c>
      <c r="L15" s="786"/>
      <c r="M15" s="786"/>
    </row>
    <row r="16" spans="1:24" ht="20.100000000000001" customHeight="1">
      <c r="A16" s="41">
        <v>8</v>
      </c>
      <c r="B16" s="33" t="s">
        <v>163</v>
      </c>
      <c r="C16" s="34">
        <f t="shared" si="1"/>
        <v>2023</v>
      </c>
      <c r="E16" s="56">
        <v>4056059522.8999996</v>
      </c>
      <c r="F16" s="56"/>
      <c r="G16" s="56"/>
      <c r="H16" s="56">
        <v>-5030412.8600000003</v>
      </c>
      <c r="I16" s="56">
        <v>1810936125</v>
      </c>
      <c r="J16" s="62">
        <f>E16-F16-G16-H16-I16</f>
        <v>2250153810.7599998</v>
      </c>
      <c r="K16" s="56">
        <v>2150000000</v>
      </c>
      <c r="L16" s="786"/>
      <c r="M16" s="786"/>
    </row>
    <row r="17" spans="1:13" ht="20.100000000000001" customHeight="1">
      <c r="A17" s="41">
        <v>9</v>
      </c>
      <c r="B17" s="33" t="s">
        <v>164</v>
      </c>
      <c r="C17" s="34">
        <f t="shared" si="1"/>
        <v>2023</v>
      </c>
      <c r="E17" s="56">
        <v>4081714996.6899996</v>
      </c>
      <c r="F17" s="56"/>
      <c r="G17" s="56"/>
      <c r="H17" s="56">
        <v>-5000017.7699999996</v>
      </c>
      <c r="I17" s="56">
        <v>1810936125</v>
      </c>
      <c r="J17" s="62">
        <f t="shared" si="0"/>
        <v>2275778889.4599996</v>
      </c>
      <c r="K17" s="56">
        <v>2150000000</v>
      </c>
      <c r="L17" s="786"/>
      <c r="M17" s="786"/>
    </row>
    <row r="18" spans="1:13" ht="20.100000000000001" customHeight="1">
      <c r="A18" s="41">
        <v>10</v>
      </c>
      <c r="B18" s="33" t="s">
        <v>165</v>
      </c>
      <c r="C18" s="34">
        <f t="shared" si="1"/>
        <v>2023</v>
      </c>
      <c r="E18" s="56">
        <v>4110527076</v>
      </c>
      <c r="F18" s="56"/>
      <c r="G18" s="56"/>
      <c r="H18" s="56">
        <v>-4969622.6900000004</v>
      </c>
      <c r="I18" s="56">
        <v>1810936125</v>
      </c>
      <c r="J18" s="62">
        <f t="shared" si="0"/>
        <v>2304560573.6900001</v>
      </c>
      <c r="K18" s="56">
        <v>2150000000</v>
      </c>
      <c r="L18" s="416"/>
    </row>
    <row r="19" spans="1:13" ht="20.100000000000001" customHeight="1">
      <c r="A19" s="41">
        <v>11</v>
      </c>
      <c r="B19" s="33" t="s">
        <v>167</v>
      </c>
      <c r="C19" s="34">
        <f t="shared" si="1"/>
        <v>2023</v>
      </c>
      <c r="E19" s="56">
        <v>4116472864.3999996</v>
      </c>
      <c r="F19" s="56"/>
      <c r="G19" s="56"/>
      <c r="H19" s="56">
        <v>-4939227.59</v>
      </c>
      <c r="I19" s="56">
        <v>1810936125</v>
      </c>
      <c r="J19" s="62">
        <f t="shared" si="0"/>
        <v>2310475966.9899998</v>
      </c>
      <c r="K19" s="56">
        <v>2150000000</v>
      </c>
      <c r="L19" s="416"/>
    </row>
    <row r="20" spans="1:13" ht="20.100000000000001" customHeight="1">
      <c r="A20" s="41">
        <v>12</v>
      </c>
      <c r="B20" s="33" t="s">
        <v>166</v>
      </c>
      <c r="C20" s="34">
        <f t="shared" si="1"/>
        <v>2023</v>
      </c>
      <c r="E20" s="56">
        <v>4125674677.6199999</v>
      </c>
      <c r="F20" s="56"/>
      <c r="G20" s="56"/>
      <c r="H20" s="56">
        <v>-4908832.4999999898</v>
      </c>
      <c r="I20" s="56">
        <v>1810936125</v>
      </c>
      <c r="J20" s="62">
        <f t="shared" si="0"/>
        <v>2319647385.1199999</v>
      </c>
      <c r="K20" s="56">
        <v>2150000000</v>
      </c>
      <c r="L20" s="416"/>
    </row>
    <row r="21" spans="1:13" ht="20.100000000000001" customHeight="1">
      <c r="A21" s="41">
        <v>13</v>
      </c>
      <c r="B21" s="33" t="s">
        <v>157</v>
      </c>
      <c r="C21" s="34">
        <f t="shared" si="1"/>
        <v>2023</v>
      </c>
      <c r="E21" s="56">
        <v>4132064144</v>
      </c>
      <c r="F21" s="56"/>
      <c r="G21" s="56"/>
      <c r="H21" s="56">
        <v>-4878418</v>
      </c>
      <c r="I21" s="56">
        <v>1810936125</v>
      </c>
      <c r="J21" s="62">
        <f>E21-F21-G21-H21-I21</f>
        <v>2326006437</v>
      </c>
      <c r="K21" s="56">
        <v>2150000000</v>
      </c>
      <c r="L21" s="416"/>
    </row>
    <row r="22" spans="1:13" ht="20.100000000000001" customHeight="1">
      <c r="A22" s="33"/>
      <c r="E22" s="58"/>
      <c r="F22" s="58"/>
      <c r="G22" s="58"/>
      <c r="H22" s="58"/>
      <c r="I22" s="58"/>
      <c r="J22" s="58"/>
      <c r="K22" s="58"/>
    </row>
    <row r="23" spans="1:13" ht="20.100000000000001" customHeight="1">
      <c r="A23" s="41">
        <v>14</v>
      </c>
      <c r="B23" s="33" t="s">
        <v>181</v>
      </c>
      <c r="E23" s="58">
        <f t="shared" ref="E23:K23" si="2">SUM(E9:E21)/13</f>
        <v>4043403108.008462</v>
      </c>
      <c r="F23" s="58">
        <f t="shared" si="2"/>
        <v>0</v>
      </c>
      <c r="G23" s="58">
        <f t="shared" si="2"/>
        <v>0</v>
      </c>
      <c r="H23" s="58">
        <f t="shared" si="2"/>
        <v>-5059892.2423076909</v>
      </c>
      <c r="I23" s="58">
        <f t="shared" si="2"/>
        <v>1810936125</v>
      </c>
      <c r="J23" s="58">
        <f t="shared" si="2"/>
        <v>2237526875.2507691</v>
      </c>
      <c r="K23" s="58">
        <f t="shared" si="2"/>
        <v>2150000000</v>
      </c>
    </row>
    <row r="24" spans="1:13" ht="20.100000000000001" customHeight="1">
      <c r="A24" s="41"/>
    </row>
    <row r="25" spans="1:13" ht="20.100000000000001" customHeight="1">
      <c r="I25" s="62"/>
    </row>
    <row r="26" spans="1:13" ht="20.100000000000001" customHeight="1">
      <c r="A26" s="33" t="s">
        <v>183</v>
      </c>
    </row>
    <row r="27" spans="1:13" ht="20.100000000000001" customHeight="1">
      <c r="A27" s="37" t="s">
        <v>182</v>
      </c>
      <c r="B27" s="33" t="s">
        <v>184</v>
      </c>
      <c r="J27" s="44"/>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53"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O50"/>
  <sheetViews>
    <sheetView view="pageBreakPreview" zoomScale="85" zoomScaleNormal="100" zoomScaleSheetLayoutView="85" workbookViewId="0">
      <selection activeCell="A2" sqref="A2"/>
    </sheetView>
  </sheetViews>
  <sheetFormatPr defaultColWidth="8.81640625" defaultRowHeight="13.2"/>
  <cols>
    <col min="1" max="1" width="8.81640625" style="63"/>
    <col min="2" max="2" width="15" style="63" customWidth="1"/>
    <col min="3" max="3" width="12.453125" style="63" customWidth="1"/>
    <col min="4" max="4" width="8.81640625" style="63"/>
    <col min="5" max="5" width="13.7265625" style="63" bestFit="1" customWidth="1"/>
    <col min="6" max="16384" width="8.81640625" style="63"/>
  </cols>
  <sheetData>
    <row r="1" spans="1:9" ht="15.6">
      <c r="A1" s="40"/>
      <c r="I1" s="3" t="s">
        <v>456</v>
      </c>
    </row>
    <row r="2" spans="1:9" ht="15.6">
      <c r="A2" s="40"/>
      <c r="I2" s="3" t="s">
        <v>144</v>
      </c>
    </row>
    <row r="3" spans="1:9" ht="15.6">
      <c r="A3" s="40"/>
      <c r="D3" s="64" t="s">
        <v>423</v>
      </c>
      <c r="I3" s="3" t="str">
        <f>'Attachment 1 - Sched 1A'!$J$3</f>
        <v>For the 12 months ended 12/31/2023</v>
      </c>
    </row>
    <row r="4" spans="1:9" ht="15.6">
      <c r="A4" s="40"/>
    </row>
    <row r="5" spans="1:9">
      <c r="A5" s="64"/>
    </row>
    <row r="6" spans="1:9">
      <c r="A6" s="64" t="s">
        <v>222</v>
      </c>
    </row>
    <row r="7" spans="1:9">
      <c r="A7" s="69" t="s">
        <v>228</v>
      </c>
    </row>
    <row r="8" spans="1:9">
      <c r="A8" s="64"/>
    </row>
    <row r="10" spans="1:9">
      <c r="A10" s="64" t="s">
        <v>223</v>
      </c>
    </row>
    <row r="12" spans="1:9" ht="18" customHeight="1">
      <c r="A12" s="998" t="s">
        <v>947</v>
      </c>
      <c r="B12" s="999"/>
      <c r="C12" s="999"/>
      <c r="D12" s="999"/>
      <c r="E12" s="999"/>
      <c r="F12" s="999"/>
      <c r="G12" s="999"/>
      <c r="H12" s="999"/>
      <c r="I12" s="999"/>
    </row>
    <row r="15" spans="1:9">
      <c r="A15" s="64" t="s">
        <v>224</v>
      </c>
    </row>
    <row r="16" spans="1:9">
      <c r="A16" s="64"/>
      <c r="B16" s="309" t="s">
        <v>225</v>
      </c>
    </row>
    <row r="17" spans="1:15" s="65" customFormat="1" ht="15" customHeight="1">
      <c r="A17" s="145" t="s">
        <v>483</v>
      </c>
      <c r="B17" s="145"/>
      <c r="C17" s="197">
        <v>-155537000</v>
      </c>
      <c r="D17" s="145"/>
      <c r="E17" s="145"/>
      <c r="F17" s="197"/>
      <c r="G17" s="145"/>
      <c r="H17" s="145"/>
      <c r="I17" s="197"/>
      <c r="J17" s="66"/>
      <c r="K17" s="66"/>
      <c r="L17" s="70"/>
      <c r="M17" s="66"/>
      <c r="N17" s="66"/>
      <c r="O17" s="66"/>
    </row>
    <row r="18" spans="1:15">
      <c r="A18" s="145" t="s">
        <v>484</v>
      </c>
      <c r="B18" s="145"/>
      <c r="C18" s="197">
        <v>2363633077</v>
      </c>
      <c r="D18" s="145"/>
      <c r="E18" s="145"/>
      <c r="F18" s="197"/>
      <c r="G18" s="145"/>
      <c r="H18" s="145"/>
      <c r="I18" s="197"/>
    </row>
    <row r="19" spans="1:15">
      <c r="A19" s="145" t="s">
        <v>606</v>
      </c>
      <c r="B19" s="145"/>
      <c r="C19" s="597" t="s">
        <v>607</v>
      </c>
      <c r="D19" s="145"/>
      <c r="E19" s="145"/>
      <c r="F19" s="197"/>
      <c r="G19" s="145"/>
      <c r="H19" s="145"/>
      <c r="I19" s="197"/>
    </row>
    <row r="21" spans="1:15">
      <c r="A21" s="64" t="s">
        <v>603</v>
      </c>
    </row>
    <row r="22" spans="1:15">
      <c r="A22" s="64"/>
    </row>
    <row r="23" spans="1:15">
      <c r="A23" s="63" t="s">
        <v>226</v>
      </c>
      <c r="C23" s="311" t="s">
        <v>227</v>
      </c>
    </row>
    <row r="24" spans="1:15" ht="15">
      <c r="A24" s="287">
        <v>350.2</v>
      </c>
      <c r="C24" s="310">
        <v>1.5299999999999999E-2</v>
      </c>
      <c r="J24" s="285"/>
      <c r="K24" s="294"/>
      <c r="L24" s="286"/>
    </row>
    <row r="25" spans="1:15" ht="15">
      <c r="A25" s="287">
        <v>352</v>
      </c>
      <c r="C25" s="310">
        <v>1.14E-2</v>
      </c>
      <c r="J25" s="285"/>
      <c r="K25" s="294"/>
      <c r="L25" s="286"/>
    </row>
    <row r="26" spans="1:15" ht="15">
      <c r="A26" s="287">
        <v>353</v>
      </c>
      <c r="C26" s="316">
        <v>2.2800000000000001E-2</v>
      </c>
      <c r="J26" s="285"/>
      <c r="K26" s="294"/>
      <c r="L26" s="286"/>
    </row>
    <row r="27" spans="1:15" ht="15">
      <c r="A27" s="287">
        <v>354</v>
      </c>
      <c r="C27" s="316">
        <v>8.3000000000000001E-3</v>
      </c>
      <c r="J27" s="285"/>
      <c r="K27" s="294"/>
      <c r="L27" s="286"/>
    </row>
    <row r="28" spans="1:15" ht="15">
      <c r="A28" s="287">
        <v>355</v>
      </c>
      <c r="C28" s="316">
        <v>1.8100000000000002E-2</v>
      </c>
      <c r="J28" s="285"/>
      <c r="K28" s="294"/>
      <c r="L28" s="286"/>
    </row>
    <row r="29" spans="1:15" ht="15">
      <c r="A29" s="287">
        <v>356</v>
      </c>
      <c r="C29" s="316">
        <v>2.1399999999999999E-2</v>
      </c>
      <c r="J29" s="285"/>
      <c r="K29" s="294"/>
      <c r="L29" s="286"/>
    </row>
    <row r="30" spans="1:15" ht="15">
      <c r="A30" s="287">
        <v>356.1</v>
      </c>
      <c r="C30" s="316">
        <v>1.04E-2</v>
      </c>
      <c r="J30" s="285"/>
      <c r="K30" s="294"/>
      <c r="L30" s="286"/>
    </row>
    <row r="31" spans="1:15" ht="15">
      <c r="A31" s="287">
        <v>357</v>
      </c>
      <c r="C31" s="316">
        <v>1.32E-2</v>
      </c>
      <c r="J31" s="285"/>
      <c r="K31" s="294"/>
      <c r="L31" s="286"/>
    </row>
    <row r="32" spans="1:15" ht="15">
      <c r="A32" s="293">
        <v>358</v>
      </c>
      <c r="C32" s="316">
        <v>1.67E-2</v>
      </c>
      <c r="J32" s="285"/>
      <c r="K32" s="294"/>
      <c r="L32" s="286"/>
    </row>
    <row r="33" spans="1:12" ht="15">
      <c r="A33" s="293">
        <v>359</v>
      </c>
      <c r="C33" s="310">
        <v>1.0999999999999999E-2</v>
      </c>
      <c r="J33" s="285"/>
      <c r="K33" s="294"/>
      <c r="L33" s="286"/>
    </row>
    <row r="34" spans="1:12" ht="15">
      <c r="A34" s="293">
        <v>389.2</v>
      </c>
      <c r="C34" s="310">
        <v>3.9199999999999999E-2</v>
      </c>
      <c r="J34" s="285"/>
      <c r="K34" s="294"/>
      <c r="L34" s="286"/>
    </row>
    <row r="35" spans="1:12">
      <c r="A35" s="293">
        <v>390.1</v>
      </c>
      <c r="C35" s="316">
        <v>1.5100000000000001E-2</v>
      </c>
    </row>
    <row r="36" spans="1:12">
      <c r="A36" s="293">
        <v>390.2</v>
      </c>
      <c r="C36" s="316">
        <v>4.5999999999999999E-3</v>
      </c>
    </row>
    <row r="37" spans="1:12">
      <c r="A37" s="293">
        <v>391.1</v>
      </c>
      <c r="C37" s="316">
        <v>0.04</v>
      </c>
    </row>
    <row r="38" spans="1:12" ht="12.75" customHeight="1">
      <c r="A38" s="315">
        <v>391.15</v>
      </c>
      <c r="B38" s="314"/>
      <c r="C38" s="317">
        <v>0.05</v>
      </c>
      <c r="D38" s="314"/>
      <c r="E38" s="314"/>
      <c r="F38" s="314"/>
      <c r="G38" s="314"/>
      <c r="H38" s="314"/>
      <c r="I38" s="314"/>
    </row>
    <row r="39" spans="1:12">
      <c r="A39" s="293">
        <v>391.2</v>
      </c>
      <c r="C39" s="310">
        <v>0.2</v>
      </c>
    </row>
    <row r="40" spans="1:12">
      <c r="A40" s="293">
        <v>391.25</v>
      </c>
      <c r="C40" s="310">
        <v>0.2</v>
      </c>
    </row>
    <row r="41" spans="1:12">
      <c r="A41" s="293">
        <v>392</v>
      </c>
      <c r="C41" s="310">
        <v>3.8399999999999997E-2</v>
      </c>
    </row>
    <row r="42" spans="1:12">
      <c r="A42" s="293">
        <v>393</v>
      </c>
      <c r="C42" s="310">
        <v>3.3300000000000003E-2</v>
      </c>
    </row>
    <row r="43" spans="1:12">
      <c r="A43" s="293">
        <v>394</v>
      </c>
      <c r="C43" s="310">
        <v>0.04</v>
      </c>
    </row>
    <row r="44" spans="1:12">
      <c r="A44" s="293">
        <v>395</v>
      </c>
      <c r="C44" s="310">
        <v>0.05</v>
      </c>
    </row>
    <row r="45" spans="1:12">
      <c r="A45" s="293">
        <v>396</v>
      </c>
      <c r="C45" s="310">
        <v>3.0300000000000001E-2</v>
      </c>
    </row>
    <row r="46" spans="1:12">
      <c r="A46" s="293">
        <v>397</v>
      </c>
      <c r="C46" s="310">
        <v>0.05</v>
      </c>
    </row>
    <row r="47" spans="1:12">
      <c r="A47" s="293">
        <v>398</v>
      </c>
      <c r="C47" s="310">
        <v>0.05</v>
      </c>
    </row>
    <row r="48" spans="1:12" ht="16.05" customHeight="1">
      <c r="A48" s="315" t="s">
        <v>604</v>
      </c>
      <c r="B48" s="596" t="s">
        <v>605</v>
      </c>
      <c r="C48" s="594"/>
      <c r="D48" s="594"/>
      <c r="E48" s="594"/>
      <c r="F48" s="594"/>
      <c r="G48" s="594"/>
      <c r="H48" s="594"/>
    </row>
    <row r="49" spans="1:9" ht="18.600000000000001" customHeight="1">
      <c r="A49" s="595" t="s">
        <v>17</v>
      </c>
      <c r="B49" s="998" t="s">
        <v>1040</v>
      </c>
      <c r="C49" s="998"/>
      <c r="D49" s="998"/>
      <c r="E49" s="998"/>
      <c r="F49" s="998"/>
      <c r="G49" s="998"/>
      <c r="H49" s="998"/>
      <c r="I49" s="998"/>
    </row>
    <row r="50" spans="1:9" ht="30.6" customHeight="1">
      <c r="B50" s="998"/>
      <c r="C50" s="998"/>
      <c r="D50" s="998"/>
      <c r="E50" s="998"/>
      <c r="F50" s="998"/>
      <c r="G50" s="998"/>
      <c r="H50" s="998"/>
      <c r="I50" s="998"/>
    </row>
  </sheetData>
  <mergeCells count="2">
    <mergeCell ref="A12:I12"/>
    <mergeCell ref="B49:I50"/>
  </mergeCells>
  <pageMargins left="0.7" right="0.7" top="0.75" bottom="0.75" header="0.3" footer="0.3"/>
  <pageSetup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U135"/>
  <sheetViews>
    <sheetView view="pageBreakPreview" zoomScale="70" zoomScaleNormal="70" zoomScaleSheetLayoutView="70" workbookViewId="0">
      <selection activeCell="C2" sqref="C2"/>
    </sheetView>
  </sheetViews>
  <sheetFormatPr defaultColWidth="13.26953125" defaultRowHeight="15"/>
  <cols>
    <col min="1" max="1" width="3.26953125" style="318" customWidth="1"/>
    <col min="2" max="2" width="14.453125" style="318" customWidth="1"/>
    <col min="3" max="3" width="13.54296875" style="318" bestFit="1" customWidth="1"/>
    <col min="4" max="4" width="17.7265625" style="318" bestFit="1" customWidth="1"/>
    <col min="5" max="6" width="3.26953125" style="318" customWidth="1"/>
    <col min="7" max="7" width="13.54296875" style="318" bestFit="1" customWidth="1"/>
    <col min="8" max="8" width="4.453125" style="318" customWidth="1"/>
    <col min="9" max="9" width="20.26953125" style="318" customWidth="1"/>
    <col min="10" max="10" width="4.453125" style="318" customWidth="1"/>
    <col min="11" max="11" width="20.7265625" style="318" customWidth="1"/>
    <col min="12" max="12" width="4.453125" style="318" customWidth="1"/>
    <col min="13" max="13" width="19.81640625" style="318" customWidth="1"/>
    <col min="14" max="14" width="4.453125" style="318" customWidth="1"/>
    <col min="15" max="15" width="13.54296875" style="318" bestFit="1" customWidth="1"/>
    <col min="16" max="16" width="4.453125" style="318" customWidth="1"/>
    <col min="17" max="17" width="21.81640625" style="318" customWidth="1"/>
    <col min="18" max="18" width="4.453125" style="318" customWidth="1"/>
    <col min="19" max="19" width="20.81640625" style="318" customWidth="1"/>
    <col min="20" max="20" width="4.453125" style="318" customWidth="1"/>
    <col min="21" max="21" width="14.81640625" style="318" customWidth="1"/>
    <col min="22" max="22" width="4.453125" style="318" customWidth="1"/>
    <col min="23" max="23" width="15.08984375" style="318" customWidth="1"/>
    <col min="24" max="24" width="4.453125" style="318" customWidth="1"/>
    <col min="25" max="25" width="20.08984375" style="318" customWidth="1"/>
    <col min="26" max="26" width="4.453125" style="318" customWidth="1"/>
    <col min="27" max="27" width="16.7265625" style="318" customWidth="1"/>
    <col min="28" max="257" width="13.26953125" style="318"/>
    <col min="258" max="258" width="14.453125" style="318" customWidth="1"/>
    <col min="259" max="259" width="13.453125" style="318" bestFit="1" customWidth="1"/>
    <col min="260" max="260" width="14.26953125" style="318" bestFit="1" customWidth="1"/>
    <col min="261" max="262" width="13.26953125" style="318"/>
    <col min="263" max="263" width="13.453125" style="318" bestFit="1" customWidth="1"/>
    <col min="264" max="264" width="13.26953125" style="318"/>
    <col min="265" max="265" width="13.453125" style="318" bestFit="1" customWidth="1"/>
    <col min="266" max="266" width="13.26953125" style="318"/>
    <col min="267" max="269" width="13.453125" style="318" bestFit="1" customWidth="1"/>
    <col min="270" max="270" width="13.26953125" style="318"/>
    <col min="271" max="271" width="13.453125" style="318" bestFit="1" customWidth="1"/>
    <col min="272" max="272" width="13.26953125" style="318"/>
    <col min="273" max="273" width="14.26953125" style="318" bestFit="1" customWidth="1"/>
    <col min="274" max="274" width="13.26953125" style="318"/>
    <col min="275" max="275" width="13.453125" style="318" bestFit="1" customWidth="1"/>
    <col min="276" max="513" width="13.26953125" style="318"/>
    <col min="514" max="514" width="14.453125" style="318" customWidth="1"/>
    <col min="515" max="515" width="13.453125" style="318" bestFit="1" customWidth="1"/>
    <col min="516" max="516" width="14.26953125" style="318" bestFit="1" customWidth="1"/>
    <col min="517" max="518" width="13.26953125" style="318"/>
    <col min="519" max="519" width="13.453125" style="318" bestFit="1" customWidth="1"/>
    <col min="520" max="520" width="13.26953125" style="318"/>
    <col min="521" max="521" width="13.453125" style="318" bestFit="1" customWidth="1"/>
    <col min="522" max="522" width="13.26953125" style="318"/>
    <col min="523" max="525" width="13.453125" style="318" bestFit="1" customWidth="1"/>
    <col min="526" max="526" width="13.26953125" style="318"/>
    <col min="527" max="527" width="13.453125" style="318" bestFit="1" customWidth="1"/>
    <col min="528" max="528" width="13.26953125" style="318"/>
    <col min="529" max="529" width="14.26953125" style="318" bestFit="1" customWidth="1"/>
    <col min="530" max="530" width="13.26953125" style="318"/>
    <col min="531" max="531" width="13.453125" style="318" bestFit="1" customWidth="1"/>
    <col min="532" max="769" width="13.26953125" style="318"/>
    <col min="770" max="770" width="14.453125" style="318" customWidth="1"/>
    <col min="771" max="771" width="13.453125" style="318" bestFit="1" customWidth="1"/>
    <col min="772" max="772" width="14.26953125" style="318" bestFit="1" customWidth="1"/>
    <col min="773" max="774" width="13.26953125" style="318"/>
    <col min="775" max="775" width="13.453125" style="318" bestFit="1" customWidth="1"/>
    <col min="776" max="776" width="13.26953125" style="318"/>
    <col min="777" max="777" width="13.453125" style="318" bestFit="1" customWidth="1"/>
    <col min="778" max="778" width="13.26953125" style="318"/>
    <col min="779" max="781" width="13.453125" style="318" bestFit="1" customWidth="1"/>
    <col min="782" max="782" width="13.26953125" style="318"/>
    <col min="783" max="783" width="13.453125" style="318" bestFit="1" customWidth="1"/>
    <col min="784" max="784" width="13.26953125" style="318"/>
    <col min="785" max="785" width="14.26953125" style="318" bestFit="1" customWidth="1"/>
    <col min="786" max="786" width="13.26953125" style="318"/>
    <col min="787" max="787" width="13.453125" style="318" bestFit="1" customWidth="1"/>
    <col min="788" max="1025" width="13.26953125" style="318"/>
    <col min="1026" max="1026" width="14.453125" style="318" customWidth="1"/>
    <col min="1027" max="1027" width="13.453125" style="318" bestFit="1" customWidth="1"/>
    <col min="1028" max="1028" width="14.26953125" style="318" bestFit="1" customWidth="1"/>
    <col min="1029" max="1030" width="13.26953125" style="318"/>
    <col min="1031" max="1031" width="13.453125" style="318" bestFit="1" customWidth="1"/>
    <col min="1032" max="1032" width="13.26953125" style="318"/>
    <col min="1033" max="1033" width="13.453125" style="318" bestFit="1" customWidth="1"/>
    <col min="1034" max="1034" width="13.26953125" style="318"/>
    <col min="1035" max="1037" width="13.453125" style="318" bestFit="1" customWidth="1"/>
    <col min="1038" max="1038" width="13.26953125" style="318"/>
    <col min="1039" max="1039" width="13.453125" style="318" bestFit="1" customWidth="1"/>
    <col min="1040" max="1040" width="13.26953125" style="318"/>
    <col min="1041" max="1041" width="14.26953125" style="318" bestFit="1" customWidth="1"/>
    <col min="1042" max="1042" width="13.26953125" style="318"/>
    <col min="1043" max="1043" width="13.453125" style="318" bestFit="1" customWidth="1"/>
    <col min="1044" max="1281" width="13.26953125" style="318"/>
    <col min="1282" max="1282" width="14.453125" style="318" customWidth="1"/>
    <col min="1283" max="1283" width="13.453125" style="318" bestFit="1" customWidth="1"/>
    <col min="1284" max="1284" width="14.26953125" style="318" bestFit="1" customWidth="1"/>
    <col min="1285" max="1286" width="13.26953125" style="318"/>
    <col min="1287" max="1287" width="13.453125" style="318" bestFit="1" customWidth="1"/>
    <col min="1288" max="1288" width="13.26953125" style="318"/>
    <col min="1289" max="1289" width="13.453125" style="318" bestFit="1" customWidth="1"/>
    <col min="1290" max="1290" width="13.26953125" style="318"/>
    <col min="1291" max="1293" width="13.453125" style="318" bestFit="1" customWidth="1"/>
    <col min="1294" max="1294" width="13.26953125" style="318"/>
    <col min="1295" max="1295" width="13.453125" style="318" bestFit="1" customWidth="1"/>
    <col min="1296" max="1296" width="13.26953125" style="318"/>
    <col min="1297" max="1297" width="14.26953125" style="318" bestFit="1" customWidth="1"/>
    <col min="1298" max="1298" width="13.26953125" style="318"/>
    <col min="1299" max="1299" width="13.453125" style="318" bestFit="1" customWidth="1"/>
    <col min="1300" max="1537" width="13.26953125" style="318"/>
    <col min="1538" max="1538" width="14.453125" style="318" customWidth="1"/>
    <col min="1539" max="1539" width="13.453125" style="318" bestFit="1" customWidth="1"/>
    <col min="1540" max="1540" width="14.26953125" style="318" bestFit="1" customWidth="1"/>
    <col min="1541" max="1542" width="13.26953125" style="318"/>
    <col min="1543" max="1543" width="13.453125" style="318" bestFit="1" customWidth="1"/>
    <col min="1544" max="1544" width="13.26953125" style="318"/>
    <col min="1545" max="1545" width="13.453125" style="318" bestFit="1" customWidth="1"/>
    <col min="1546" max="1546" width="13.26953125" style="318"/>
    <col min="1547" max="1549" width="13.453125" style="318" bestFit="1" customWidth="1"/>
    <col min="1550" max="1550" width="13.26953125" style="318"/>
    <col min="1551" max="1551" width="13.453125" style="318" bestFit="1" customWidth="1"/>
    <col min="1552" max="1552" width="13.26953125" style="318"/>
    <col min="1553" max="1553" width="14.26953125" style="318" bestFit="1" customWidth="1"/>
    <col min="1554" max="1554" width="13.26953125" style="318"/>
    <col min="1555" max="1555" width="13.453125" style="318" bestFit="1" customWidth="1"/>
    <col min="1556" max="1793" width="13.26953125" style="318"/>
    <col min="1794" max="1794" width="14.453125" style="318" customWidth="1"/>
    <col min="1795" max="1795" width="13.453125" style="318" bestFit="1" customWidth="1"/>
    <col min="1796" max="1796" width="14.26953125" style="318" bestFit="1" customWidth="1"/>
    <col min="1797" max="1798" width="13.26953125" style="318"/>
    <col min="1799" max="1799" width="13.453125" style="318" bestFit="1" customWidth="1"/>
    <col min="1800" max="1800" width="13.26953125" style="318"/>
    <col min="1801" max="1801" width="13.453125" style="318" bestFit="1" customWidth="1"/>
    <col min="1802" max="1802" width="13.26953125" style="318"/>
    <col min="1803" max="1805" width="13.453125" style="318" bestFit="1" customWidth="1"/>
    <col min="1806" max="1806" width="13.26953125" style="318"/>
    <col min="1807" max="1807" width="13.453125" style="318" bestFit="1" customWidth="1"/>
    <col min="1808" max="1808" width="13.26953125" style="318"/>
    <col min="1809" max="1809" width="14.26953125" style="318" bestFit="1" customWidth="1"/>
    <col min="1810" max="1810" width="13.26953125" style="318"/>
    <col min="1811" max="1811" width="13.453125" style="318" bestFit="1" customWidth="1"/>
    <col min="1812" max="2049" width="13.26953125" style="318"/>
    <col min="2050" max="2050" width="14.453125" style="318" customWidth="1"/>
    <col min="2051" max="2051" width="13.453125" style="318" bestFit="1" customWidth="1"/>
    <col min="2052" max="2052" width="14.26953125" style="318" bestFit="1" customWidth="1"/>
    <col min="2053" max="2054" width="13.26953125" style="318"/>
    <col min="2055" max="2055" width="13.453125" style="318" bestFit="1" customWidth="1"/>
    <col min="2056" max="2056" width="13.26953125" style="318"/>
    <col min="2057" max="2057" width="13.453125" style="318" bestFit="1" customWidth="1"/>
    <col min="2058" max="2058" width="13.26953125" style="318"/>
    <col min="2059" max="2061" width="13.453125" style="318" bestFit="1" customWidth="1"/>
    <col min="2062" max="2062" width="13.26953125" style="318"/>
    <col min="2063" max="2063" width="13.453125" style="318" bestFit="1" customWidth="1"/>
    <col min="2064" max="2064" width="13.26953125" style="318"/>
    <col min="2065" max="2065" width="14.26953125" style="318" bestFit="1" customWidth="1"/>
    <col min="2066" max="2066" width="13.26953125" style="318"/>
    <col min="2067" max="2067" width="13.453125" style="318" bestFit="1" customWidth="1"/>
    <col min="2068" max="2305" width="13.26953125" style="318"/>
    <col min="2306" max="2306" width="14.453125" style="318" customWidth="1"/>
    <col min="2307" max="2307" width="13.453125" style="318" bestFit="1" customWidth="1"/>
    <col min="2308" max="2308" width="14.26953125" style="318" bestFit="1" customWidth="1"/>
    <col min="2309" max="2310" width="13.26953125" style="318"/>
    <col min="2311" max="2311" width="13.453125" style="318" bestFit="1" customWidth="1"/>
    <col min="2312" max="2312" width="13.26953125" style="318"/>
    <col min="2313" max="2313" width="13.453125" style="318" bestFit="1" customWidth="1"/>
    <col min="2314" max="2314" width="13.26953125" style="318"/>
    <col min="2315" max="2317" width="13.453125" style="318" bestFit="1" customWidth="1"/>
    <col min="2318" max="2318" width="13.26953125" style="318"/>
    <col min="2319" max="2319" width="13.453125" style="318" bestFit="1" customWidth="1"/>
    <col min="2320" max="2320" width="13.26953125" style="318"/>
    <col min="2321" max="2321" width="14.26953125" style="318" bestFit="1" customWidth="1"/>
    <col min="2322" max="2322" width="13.26953125" style="318"/>
    <col min="2323" max="2323" width="13.453125" style="318" bestFit="1" customWidth="1"/>
    <col min="2324" max="2561" width="13.26953125" style="318"/>
    <col min="2562" max="2562" width="14.453125" style="318" customWidth="1"/>
    <col min="2563" max="2563" width="13.453125" style="318" bestFit="1" customWidth="1"/>
    <col min="2564" max="2564" width="14.26953125" style="318" bestFit="1" customWidth="1"/>
    <col min="2565" max="2566" width="13.26953125" style="318"/>
    <col min="2567" max="2567" width="13.453125" style="318" bestFit="1" customWidth="1"/>
    <col min="2568" max="2568" width="13.26953125" style="318"/>
    <col min="2569" max="2569" width="13.453125" style="318" bestFit="1" customWidth="1"/>
    <col min="2570" max="2570" width="13.26953125" style="318"/>
    <col min="2571" max="2573" width="13.453125" style="318" bestFit="1" customWidth="1"/>
    <col min="2574" max="2574" width="13.26953125" style="318"/>
    <col min="2575" max="2575" width="13.453125" style="318" bestFit="1" customWidth="1"/>
    <col min="2576" max="2576" width="13.26953125" style="318"/>
    <col min="2577" max="2577" width="14.26953125" style="318" bestFit="1" customWidth="1"/>
    <col min="2578" max="2578" width="13.26953125" style="318"/>
    <col min="2579" max="2579" width="13.453125" style="318" bestFit="1" customWidth="1"/>
    <col min="2580" max="2817" width="13.26953125" style="318"/>
    <col min="2818" max="2818" width="14.453125" style="318" customWidth="1"/>
    <col min="2819" max="2819" width="13.453125" style="318" bestFit="1" customWidth="1"/>
    <col min="2820" max="2820" width="14.26953125" style="318" bestFit="1" customWidth="1"/>
    <col min="2821" max="2822" width="13.26953125" style="318"/>
    <col min="2823" max="2823" width="13.453125" style="318" bestFit="1" customWidth="1"/>
    <col min="2824" max="2824" width="13.26953125" style="318"/>
    <col min="2825" max="2825" width="13.453125" style="318" bestFit="1" customWidth="1"/>
    <col min="2826" max="2826" width="13.26953125" style="318"/>
    <col min="2827" max="2829" width="13.453125" style="318" bestFit="1" customWidth="1"/>
    <col min="2830" max="2830" width="13.26953125" style="318"/>
    <col min="2831" max="2831" width="13.453125" style="318" bestFit="1" customWidth="1"/>
    <col min="2832" max="2832" width="13.26953125" style="318"/>
    <col min="2833" max="2833" width="14.26953125" style="318" bestFit="1" customWidth="1"/>
    <col min="2834" max="2834" width="13.26953125" style="318"/>
    <col min="2835" max="2835" width="13.453125" style="318" bestFit="1" customWidth="1"/>
    <col min="2836" max="3073" width="13.26953125" style="318"/>
    <col min="3074" max="3074" width="14.453125" style="318" customWidth="1"/>
    <col min="3075" max="3075" width="13.453125" style="318" bestFit="1" customWidth="1"/>
    <col min="3076" max="3076" width="14.26953125" style="318" bestFit="1" customWidth="1"/>
    <col min="3077" max="3078" width="13.26953125" style="318"/>
    <col min="3079" max="3079" width="13.453125" style="318" bestFit="1" customWidth="1"/>
    <col min="3080" max="3080" width="13.26953125" style="318"/>
    <col min="3081" max="3081" width="13.453125" style="318" bestFit="1" customWidth="1"/>
    <col min="3082" max="3082" width="13.26953125" style="318"/>
    <col min="3083" max="3085" width="13.453125" style="318" bestFit="1" customWidth="1"/>
    <col min="3086" max="3086" width="13.26953125" style="318"/>
    <col min="3087" max="3087" width="13.453125" style="318" bestFit="1" customWidth="1"/>
    <col min="3088" max="3088" width="13.26953125" style="318"/>
    <col min="3089" max="3089" width="14.26953125" style="318" bestFit="1" customWidth="1"/>
    <col min="3090" max="3090" width="13.26953125" style="318"/>
    <col min="3091" max="3091" width="13.453125" style="318" bestFit="1" customWidth="1"/>
    <col min="3092" max="3329" width="13.26953125" style="318"/>
    <col min="3330" max="3330" width="14.453125" style="318" customWidth="1"/>
    <col min="3331" max="3331" width="13.453125" style="318" bestFit="1" customWidth="1"/>
    <col min="3332" max="3332" width="14.26953125" style="318" bestFit="1" customWidth="1"/>
    <col min="3333" max="3334" width="13.26953125" style="318"/>
    <col min="3335" max="3335" width="13.453125" style="318" bestFit="1" customWidth="1"/>
    <col min="3336" max="3336" width="13.26953125" style="318"/>
    <col min="3337" max="3337" width="13.453125" style="318" bestFit="1" customWidth="1"/>
    <col min="3338" max="3338" width="13.26953125" style="318"/>
    <col min="3339" max="3341" width="13.453125" style="318" bestFit="1" customWidth="1"/>
    <col min="3342" max="3342" width="13.26953125" style="318"/>
    <col min="3343" max="3343" width="13.453125" style="318" bestFit="1" customWidth="1"/>
    <col min="3344" max="3344" width="13.26953125" style="318"/>
    <col min="3345" max="3345" width="14.26953125" style="318" bestFit="1" customWidth="1"/>
    <col min="3346" max="3346" width="13.26953125" style="318"/>
    <col min="3347" max="3347" width="13.453125" style="318" bestFit="1" customWidth="1"/>
    <col min="3348" max="3585" width="13.26953125" style="318"/>
    <col min="3586" max="3586" width="14.453125" style="318" customWidth="1"/>
    <col min="3587" max="3587" width="13.453125" style="318" bestFit="1" customWidth="1"/>
    <col min="3588" max="3588" width="14.26953125" style="318" bestFit="1" customWidth="1"/>
    <col min="3589" max="3590" width="13.26953125" style="318"/>
    <col min="3591" max="3591" width="13.453125" style="318" bestFit="1" customWidth="1"/>
    <col min="3592" max="3592" width="13.26953125" style="318"/>
    <col min="3593" max="3593" width="13.453125" style="318" bestFit="1" customWidth="1"/>
    <col min="3594" max="3594" width="13.26953125" style="318"/>
    <col min="3595" max="3597" width="13.453125" style="318" bestFit="1" customWidth="1"/>
    <col min="3598" max="3598" width="13.26953125" style="318"/>
    <col min="3599" max="3599" width="13.453125" style="318" bestFit="1" customWidth="1"/>
    <col min="3600" max="3600" width="13.26953125" style="318"/>
    <col min="3601" max="3601" width="14.26953125" style="318" bestFit="1" customWidth="1"/>
    <col min="3602" max="3602" width="13.26953125" style="318"/>
    <col min="3603" max="3603" width="13.453125" style="318" bestFit="1" customWidth="1"/>
    <col min="3604" max="3841" width="13.26953125" style="318"/>
    <col min="3842" max="3842" width="14.453125" style="318" customWidth="1"/>
    <col min="3843" max="3843" width="13.453125" style="318" bestFit="1" customWidth="1"/>
    <col min="3844" max="3844" width="14.26953125" style="318" bestFit="1" customWidth="1"/>
    <col min="3845" max="3846" width="13.26953125" style="318"/>
    <col min="3847" max="3847" width="13.453125" style="318" bestFit="1" customWidth="1"/>
    <col min="3848" max="3848" width="13.26953125" style="318"/>
    <col min="3849" max="3849" width="13.453125" style="318" bestFit="1" customWidth="1"/>
    <col min="3850" max="3850" width="13.26953125" style="318"/>
    <col min="3851" max="3853" width="13.453125" style="318" bestFit="1" customWidth="1"/>
    <col min="3854" max="3854" width="13.26953125" style="318"/>
    <col min="3855" max="3855" width="13.453125" style="318" bestFit="1" customWidth="1"/>
    <col min="3856" max="3856" width="13.26953125" style="318"/>
    <col min="3857" max="3857" width="14.26953125" style="318" bestFit="1" customWidth="1"/>
    <col min="3858" max="3858" width="13.26953125" style="318"/>
    <col min="3859" max="3859" width="13.453125" style="318" bestFit="1" customWidth="1"/>
    <col min="3860" max="4097" width="13.26953125" style="318"/>
    <col min="4098" max="4098" width="14.453125" style="318" customWidth="1"/>
    <col min="4099" max="4099" width="13.453125" style="318" bestFit="1" customWidth="1"/>
    <col min="4100" max="4100" width="14.26953125" style="318" bestFit="1" customWidth="1"/>
    <col min="4101" max="4102" width="13.26953125" style="318"/>
    <col min="4103" max="4103" width="13.453125" style="318" bestFit="1" customWidth="1"/>
    <col min="4104" max="4104" width="13.26953125" style="318"/>
    <col min="4105" max="4105" width="13.453125" style="318" bestFit="1" customWidth="1"/>
    <col min="4106" max="4106" width="13.26953125" style="318"/>
    <col min="4107" max="4109" width="13.453125" style="318" bestFit="1" customWidth="1"/>
    <col min="4110" max="4110" width="13.26953125" style="318"/>
    <col min="4111" max="4111" width="13.453125" style="318" bestFit="1" customWidth="1"/>
    <col min="4112" max="4112" width="13.26953125" style="318"/>
    <col min="4113" max="4113" width="14.26953125" style="318" bestFit="1" customWidth="1"/>
    <col min="4114" max="4114" width="13.26953125" style="318"/>
    <col min="4115" max="4115" width="13.453125" style="318" bestFit="1" customWidth="1"/>
    <col min="4116" max="4353" width="13.26953125" style="318"/>
    <col min="4354" max="4354" width="14.453125" style="318" customWidth="1"/>
    <col min="4355" max="4355" width="13.453125" style="318" bestFit="1" customWidth="1"/>
    <col min="4356" max="4356" width="14.26953125" style="318" bestFit="1" customWidth="1"/>
    <col min="4357" max="4358" width="13.26953125" style="318"/>
    <col min="4359" max="4359" width="13.453125" style="318" bestFit="1" customWidth="1"/>
    <col min="4360" max="4360" width="13.26953125" style="318"/>
    <col min="4361" max="4361" width="13.453125" style="318" bestFit="1" customWidth="1"/>
    <col min="4362" max="4362" width="13.26953125" style="318"/>
    <col min="4363" max="4365" width="13.453125" style="318" bestFit="1" customWidth="1"/>
    <col min="4366" max="4366" width="13.26953125" style="318"/>
    <col min="4367" max="4367" width="13.453125" style="318" bestFit="1" customWidth="1"/>
    <col min="4368" max="4368" width="13.26953125" style="318"/>
    <col min="4369" max="4369" width="14.26953125" style="318" bestFit="1" customWidth="1"/>
    <col min="4370" max="4370" width="13.26953125" style="318"/>
    <col min="4371" max="4371" width="13.453125" style="318" bestFit="1" customWidth="1"/>
    <col min="4372" max="4609" width="13.26953125" style="318"/>
    <col min="4610" max="4610" width="14.453125" style="318" customWidth="1"/>
    <col min="4611" max="4611" width="13.453125" style="318" bestFit="1" customWidth="1"/>
    <col min="4612" max="4612" width="14.26953125" style="318" bestFit="1" customWidth="1"/>
    <col min="4613" max="4614" width="13.26953125" style="318"/>
    <col min="4615" max="4615" width="13.453125" style="318" bestFit="1" customWidth="1"/>
    <col min="4616" max="4616" width="13.26953125" style="318"/>
    <col min="4617" max="4617" width="13.453125" style="318" bestFit="1" customWidth="1"/>
    <col min="4618" max="4618" width="13.26953125" style="318"/>
    <col min="4619" max="4621" width="13.453125" style="318" bestFit="1" customWidth="1"/>
    <col min="4622" max="4622" width="13.26953125" style="318"/>
    <col min="4623" max="4623" width="13.453125" style="318" bestFit="1" customWidth="1"/>
    <col min="4624" max="4624" width="13.26953125" style="318"/>
    <col min="4625" max="4625" width="14.26953125" style="318" bestFit="1" customWidth="1"/>
    <col min="4626" max="4626" width="13.26953125" style="318"/>
    <col min="4627" max="4627" width="13.453125" style="318" bestFit="1" customWidth="1"/>
    <col min="4628" max="4865" width="13.26953125" style="318"/>
    <col min="4866" max="4866" width="14.453125" style="318" customWidth="1"/>
    <col min="4867" max="4867" width="13.453125" style="318" bestFit="1" customWidth="1"/>
    <col min="4868" max="4868" width="14.26953125" style="318" bestFit="1" customWidth="1"/>
    <col min="4869" max="4870" width="13.26953125" style="318"/>
    <col min="4871" max="4871" width="13.453125" style="318" bestFit="1" customWidth="1"/>
    <col min="4872" max="4872" width="13.26953125" style="318"/>
    <col min="4873" max="4873" width="13.453125" style="318" bestFit="1" customWidth="1"/>
    <col min="4874" max="4874" width="13.26953125" style="318"/>
    <col min="4875" max="4877" width="13.453125" style="318" bestFit="1" customWidth="1"/>
    <col min="4878" max="4878" width="13.26953125" style="318"/>
    <col min="4879" max="4879" width="13.453125" style="318" bestFit="1" customWidth="1"/>
    <col min="4880" max="4880" width="13.26953125" style="318"/>
    <col min="4881" max="4881" width="14.26953125" style="318" bestFit="1" customWidth="1"/>
    <col min="4882" max="4882" width="13.26953125" style="318"/>
    <col min="4883" max="4883" width="13.453125" style="318" bestFit="1" customWidth="1"/>
    <col min="4884" max="5121" width="13.26953125" style="318"/>
    <col min="5122" max="5122" width="14.453125" style="318" customWidth="1"/>
    <col min="5123" max="5123" width="13.453125" style="318" bestFit="1" customWidth="1"/>
    <col min="5124" max="5124" width="14.26953125" style="318" bestFit="1" customWidth="1"/>
    <col min="5125" max="5126" width="13.26953125" style="318"/>
    <col min="5127" max="5127" width="13.453125" style="318" bestFit="1" customWidth="1"/>
    <col min="5128" max="5128" width="13.26953125" style="318"/>
    <col min="5129" max="5129" width="13.453125" style="318" bestFit="1" customWidth="1"/>
    <col min="5130" max="5130" width="13.26953125" style="318"/>
    <col min="5131" max="5133" width="13.453125" style="318" bestFit="1" customWidth="1"/>
    <col min="5134" max="5134" width="13.26953125" style="318"/>
    <col min="5135" max="5135" width="13.453125" style="318" bestFit="1" customWidth="1"/>
    <col min="5136" max="5136" width="13.26953125" style="318"/>
    <col min="5137" max="5137" width="14.26953125" style="318" bestFit="1" customWidth="1"/>
    <col min="5138" max="5138" width="13.26953125" style="318"/>
    <col min="5139" max="5139" width="13.453125" style="318" bestFit="1" customWidth="1"/>
    <col min="5140" max="5377" width="13.26953125" style="318"/>
    <col min="5378" max="5378" width="14.453125" style="318" customWidth="1"/>
    <col min="5379" max="5379" width="13.453125" style="318" bestFit="1" customWidth="1"/>
    <col min="5380" max="5380" width="14.26953125" style="318" bestFit="1" customWidth="1"/>
    <col min="5381" max="5382" width="13.26953125" style="318"/>
    <col min="5383" max="5383" width="13.453125" style="318" bestFit="1" customWidth="1"/>
    <col min="5384" max="5384" width="13.26953125" style="318"/>
    <col min="5385" max="5385" width="13.453125" style="318" bestFit="1" customWidth="1"/>
    <col min="5386" max="5386" width="13.26953125" style="318"/>
    <col min="5387" max="5389" width="13.453125" style="318" bestFit="1" customWidth="1"/>
    <col min="5390" max="5390" width="13.26953125" style="318"/>
    <col min="5391" max="5391" width="13.453125" style="318" bestFit="1" customWidth="1"/>
    <col min="5392" max="5392" width="13.26953125" style="318"/>
    <col min="5393" max="5393" width="14.26953125" style="318" bestFit="1" customWidth="1"/>
    <col min="5394" max="5394" width="13.26953125" style="318"/>
    <col min="5395" max="5395" width="13.453125" style="318" bestFit="1" customWidth="1"/>
    <col min="5396" max="5633" width="13.26953125" style="318"/>
    <col min="5634" max="5634" width="14.453125" style="318" customWidth="1"/>
    <col min="5635" max="5635" width="13.453125" style="318" bestFit="1" customWidth="1"/>
    <col min="5636" max="5636" width="14.26953125" style="318" bestFit="1" customWidth="1"/>
    <col min="5637" max="5638" width="13.26953125" style="318"/>
    <col min="5639" max="5639" width="13.453125" style="318" bestFit="1" customWidth="1"/>
    <col min="5640" max="5640" width="13.26953125" style="318"/>
    <col min="5641" max="5641" width="13.453125" style="318" bestFit="1" customWidth="1"/>
    <col min="5642" max="5642" width="13.26953125" style="318"/>
    <col min="5643" max="5645" width="13.453125" style="318" bestFit="1" customWidth="1"/>
    <col min="5646" max="5646" width="13.26953125" style="318"/>
    <col min="5647" max="5647" width="13.453125" style="318" bestFit="1" customWidth="1"/>
    <col min="5648" max="5648" width="13.26953125" style="318"/>
    <col min="5649" max="5649" width="14.26953125" style="318" bestFit="1" customWidth="1"/>
    <col min="5650" max="5650" width="13.26953125" style="318"/>
    <col min="5651" max="5651" width="13.453125" style="318" bestFit="1" customWidth="1"/>
    <col min="5652" max="5889" width="13.26953125" style="318"/>
    <col min="5890" max="5890" width="14.453125" style="318" customWidth="1"/>
    <col min="5891" max="5891" width="13.453125" style="318" bestFit="1" customWidth="1"/>
    <col min="5892" max="5892" width="14.26953125" style="318" bestFit="1" customWidth="1"/>
    <col min="5893" max="5894" width="13.26953125" style="318"/>
    <col min="5895" max="5895" width="13.453125" style="318" bestFit="1" customWidth="1"/>
    <col min="5896" max="5896" width="13.26953125" style="318"/>
    <col min="5897" max="5897" width="13.453125" style="318" bestFit="1" customWidth="1"/>
    <col min="5898" max="5898" width="13.26953125" style="318"/>
    <col min="5899" max="5901" width="13.453125" style="318" bestFit="1" customWidth="1"/>
    <col min="5902" max="5902" width="13.26953125" style="318"/>
    <col min="5903" max="5903" width="13.453125" style="318" bestFit="1" customWidth="1"/>
    <col min="5904" max="5904" width="13.26953125" style="318"/>
    <col min="5905" max="5905" width="14.26953125" style="318" bestFit="1" customWidth="1"/>
    <col min="5906" max="5906" width="13.26953125" style="318"/>
    <col min="5907" max="5907" width="13.453125" style="318" bestFit="1" customWidth="1"/>
    <col min="5908" max="6145" width="13.26953125" style="318"/>
    <col min="6146" max="6146" width="14.453125" style="318" customWidth="1"/>
    <col min="6147" max="6147" width="13.453125" style="318" bestFit="1" customWidth="1"/>
    <col min="6148" max="6148" width="14.26953125" style="318" bestFit="1" customWidth="1"/>
    <col min="6149" max="6150" width="13.26953125" style="318"/>
    <col min="6151" max="6151" width="13.453125" style="318" bestFit="1" customWidth="1"/>
    <col min="6152" max="6152" width="13.26953125" style="318"/>
    <col min="6153" max="6153" width="13.453125" style="318" bestFit="1" customWidth="1"/>
    <col min="6154" max="6154" width="13.26953125" style="318"/>
    <col min="6155" max="6157" width="13.453125" style="318" bestFit="1" customWidth="1"/>
    <col min="6158" max="6158" width="13.26953125" style="318"/>
    <col min="6159" max="6159" width="13.453125" style="318" bestFit="1" customWidth="1"/>
    <col min="6160" max="6160" width="13.26953125" style="318"/>
    <col min="6161" max="6161" width="14.26953125" style="318" bestFit="1" customWidth="1"/>
    <col min="6162" max="6162" width="13.26953125" style="318"/>
    <col min="6163" max="6163" width="13.453125" style="318" bestFit="1" customWidth="1"/>
    <col min="6164" max="6401" width="13.26953125" style="318"/>
    <col min="6402" max="6402" width="14.453125" style="318" customWidth="1"/>
    <col min="6403" max="6403" width="13.453125" style="318" bestFit="1" customWidth="1"/>
    <col min="6404" max="6404" width="14.26953125" style="318" bestFit="1" customWidth="1"/>
    <col min="6405" max="6406" width="13.26953125" style="318"/>
    <col min="6407" max="6407" width="13.453125" style="318" bestFit="1" customWidth="1"/>
    <col min="6408" max="6408" width="13.26953125" style="318"/>
    <col min="6409" max="6409" width="13.453125" style="318" bestFit="1" customWidth="1"/>
    <col min="6410" max="6410" width="13.26953125" style="318"/>
    <col min="6411" max="6413" width="13.453125" style="318" bestFit="1" customWidth="1"/>
    <col min="6414" max="6414" width="13.26953125" style="318"/>
    <col min="6415" max="6415" width="13.453125" style="318" bestFit="1" customWidth="1"/>
    <col min="6416" max="6416" width="13.26953125" style="318"/>
    <col min="6417" max="6417" width="14.26953125" style="318" bestFit="1" customWidth="1"/>
    <col min="6418" max="6418" width="13.26953125" style="318"/>
    <col min="6419" max="6419" width="13.453125" style="318" bestFit="1" customWidth="1"/>
    <col min="6420" max="6657" width="13.26953125" style="318"/>
    <col min="6658" max="6658" width="14.453125" style="318" customWidth="1"/>
    <col min="6659" max="6659" width="13.453125" style="318" bestFit="1" customWidth="1"/>
    <col min="6660" max="6660" width="14.26953125" style="318" bestFit="1" customWidth="1"/>
    <col min="6661" max="6662" width="13.26953125" style="318"/>
    <col min="6663" max="6663" width="13.453125" style="318" bestFit="1" customWidth="1"/>
    <col min="6664" max="6664" width="13.26953125" style="318"/>
    <col min="6665" max="6665" width="13.453125" style="318" bestFit="1" customWidth="1"/>
    <col min="6666" max="6666" width="13.26953125" style="318"/>
    <col min="6667" max="6669" width="13.453125" style="318" bestFit="1" customWidth="1"/>
    <col min="6670" max="6670" width="13.26953125" style="318"/>
    <col min="6671" max="6671" width="13.453125" style="318" bestFit="1" customWidth="1"/>
    <col min="6672" max="6672" width="13.26953125" style="318"/>
    <col min="6673" max="6673" width="14.26953125" style="318" bestFit="1" customWidth="1"/>
    <col min="6674" max="6674" width="13.26953125" style="318"/>
    <col min="6675" max="6675" width="13.453125" style="318" bestFit="1" customWidth="1"/>
    <col min="6676" max="6913" width="13.26953125" style="318"/>
    <col min="6914" max="6914" width="14.453125" style="318" customWidth="1"/>
    <col min="6915" max="6915" width="13.453125" style="318" bestFit="1" customWidth="1"/>
    <col min="6916" max="6916" width="14.26953125" style="318" bestFit="1" customWidth="1"/>
    <col min="6917" max="6918" width="13.26953125" style="318"/>
    <col min="6919" max="6919" width="13.453125" style="318" bestFit="1" customWidth="1"/>
    <col min="6920" max="6920" width="13.26953125" style="318"/>
    <col min="6921" max="6921" width="13.453125" style="318" bestFit="1" customWidth="1"/>
    <col min="6922" max="6922" width="13.26953125" style="318"/>
    <col min="6923" max="6925" width="13.453125" style="318" bestFit="1" customWidth="1"/>
    <col min="6926" max="6926" width="13.26953125" style="318"/>
    <col min="6927" max="6927" width="13.453125" style="318" bestFit="1" customWidth="1"/>
    <col min="6928" max="6928" width="13.26953125" style="318"/>
    <col min="6929" max="6929" width="14.26953125" style="318" bestFit="1" customWidth="1"/>
    <col min="6930" max="6930" width="13.26953125" style="318"/>
    <col min="6931" max="6931" width="13.453125" style="318" bestFit="1" customWidth="1"/>
    <col min="6932" max="7169" width="13.26953125" style="318"/>
    <col min="7170" max="7170" width="14.453125" style="318" customWidth="1"/>
    <col min="7171" max="7171" width="13.453125" style="318" bestFit="1" customWidth="1"/>
    <col min="7172" max="7172" width="14.26953125" style="318" bestFit="1" customWidth="1"/>
    <col min="7173" max="7174" width="13.26953125" style="318"/>
    <col min="7175" max="7175" width="13.453125" style="318" bestFit="1" customWidth="1"/>
    <col min="7176" max="7176" width="13.26953125" style="318"/>
    <col min="7177" max="7177" width="13.453125" style="318" bestFit="1" customWidth="1"/>
    <col min="7178" max="7178" width="13.26953125" style="318"/>
    <col min="7179" max="7181" width="13.453125" style="318" bestFit="1" customWidth="1"/>
    <col min="7182" max="7182" width="13.26953125" style="318"/>
    <col min="7183" max="7183" width="13.453125" style="318" bestFit="1" customWidth="1"/>
    <col min="7184" max="7184" width="13.26953125" style="318"/>
    <col min="7185" max="7185" width="14.26953125" style="318" bestFit="1" customWidth="1"/>
    <col min="7186" max="7186" width="13.26953125" style="318"/>
    <col min="7187" max="7187" width="13.453125" style="318" bestFit="1" customWidth="1"/>
    <col min="7188" max="7425" width="13.26953125" style="318"/>
    <col min="7426" max="7426" width="14.453125" style="318" customWidth="1"/>
    <col min="7427" max="7427" width="13.453125" style="318" bestFit="1" customWidth="1"/>
    <col min="7428" max="7428" width="14.26953125" style="318" bestFit="1" customWidth="1"/>
    <col min="7429" max="7430" width="13.26953125" style="318"/>
    <col min="7431" max="7431" width="13.453125" style="318" bestFit="1" customWidth="1"/>
    <col min="7432" max="7432" width="13.26953125" style="318"/>
    <col min="7433" max="7433" width="13.453125" style="318" bestFit="1" customWidth="1"/>
    <col min="7434" max="7434" width="13.26953125" style="318"/>
    <col min="7435" max="7437" width="13.453125" style="318" bestFit="1" customWidth="1"/>
    <col min="7438" max="7438" width="13.26953125" style="318"/>
    <col min="7439" max="7439" width="13.453125" style="318" bestFit="1" customWidth="1"/>
    <col min="7440" max="7440" width="13.26953125" style="318"/>
    <col min="7441" max="7441" width="14.26953125" style="318" bestFit="1" customWidth="1"/>
    <col min="7442" max="7442" width="13.26953125" style="318"/>
    <col min="7443" max="7443" width="13.453125" style="318" bestFit="1" customWidth="1"/>
    <col min="7444" max="7681" width="13.26953125" style="318"/>
    <col min="7682" max="7682" width="14.453125" style="318" customWidth="1"/>
    <col min="7683" max="7683" width="13.453125" style="318" bestFit="1" customWidth="1"/>
    <col min="7684" max="7684" width="14.26953125" style="318" bestFit="1" customWidth="1"/>
    <col min="7685" max="7686" width="13.26953125" style="318"/>
    <col min="7687" max="7687" width="13.453125" style="318" bestFit="1" customWidth="1"/>
    <col min="7688" max="7688" width="13.26953125" style="318"/>
    <col min="7689" max="7689" width="13.453125" style="318" bestFit="1" customWidth="1"/>
    <col min="7690" max="7690" width="13.26953125" style="318"/>
    <col min="7691" max="7693" width="13.453125" style="318" bestFit="1" customWidth="1"/>
    <col min="7694" max="7694" width="13.26953125" style="318"/>
    <col min="7695" max="7695" width="13.453125" style="318" bestFit="1" customWidth="1"/>
    <col min="7696" max="7696" width="13.26953125" style="318"/>
    <col min="7697" max="7697" width="14.26953125" style="318" bestFit="1" customWidth="1"/>
    <col min="7698" max="7698" width="13.26953125" style="318"/>
    <col min="7699" max="7699" width="13.453125" style="318" bestFit="1" customWidth="1"/>
    <col min="7700" max="7937" width="13.26953125" style="318"/>
    <col min="7938" max="7938" width="14.453125" style="318" customWidth="1"/>
    <col min="7939" max="7939" width="13.453125" style="318" bestFit="1" customWidth="1"/>
    <col min="7940" max="7940" width="14.26953125" style="318" bestFit="1" customWidth="1"/>
    <col min="7941" max="7942" width="13.26953125" style="318"/>
    <col min="7943" max="7943" width="13.453125" style="318" bestFit="1" customWidth="1"/>
    <col min="7944" max="7944" width="13.26953125" style="318"/>
    <col min="7945" max="7945" width="13.453125" style="318" bestFit="1" customWidth="1"/>
    <col min="7946" max="7946" width="13.26953125" style="318"/>
    <col min="7947" max="7949" width="13.453125" style="318" bestFit="1" customWidth="1"/>
    <col min="7950" max="7950" width="13.26953125" style="318"/>
    <col min="7951" max="7951" width="13.453125" style="318" bestFit="1" customWidth="1"/>
    <col min="7952" max="7952" width="13.26953125" style="318"/>
    <col min="7953" max="7953" width="14.26953125" style="318" bestFit="1" customWidth="1"/>
    <col min="7954" max="7954" width="13.26953125" style="318"/>
    <col min="7955" max="7955" width="13.453125" style="318" bestFit="1" customWidth="1"/>
    <col min="7956" max="8193" width="13.26953125" style="318"/>
    <col min="8194" max="8194" width="14.453125" style="318" customWidth="1"/>
    <col min="8195" max="8195" width="13.453125" style="318" bestFit="1" customWidth="1"/>
    <col min="8196" max="8196" width="14.26953125" style="318" bestFit="1" customWidth="1"/>
    <col min="8197" max="8198" width="13.26953125" style="318"/>
    <col min="8199" max="8199" width="13.453125" style="318" bestFit="1" customWidth="1"/>
    <col min="8200" max="8200" width="13.26953125" style="318"/>
    <col min="8201" max="8201" width="13.453125" style="318" bestFit="1" customWidth="1"/>
    <col min="8202" max="8202" width="13.26953125" style="318"/>
    <col min="8203" max="8205" width="13.453125" style="318" bestFit="1" customWidth="1"/>
    <col min="8206" max="8206" width="13.26953125" style="318"/>
    <col min="8207" max="8207" width="13.453125" style="318" bestFit="1" customWidth="1"/>
    <col min="8208" max="8208" width="13.26953125" style="318"/>
    <col min="8209" max="8209" width="14.26953125" style="318" bestFit="1" customWidth="1"/>
    <col min="8210" max="8210" width="13.26953125" style="318"/>
    <col min="8211" max="8211" width="13.453125" style="318" bestFit="1" customWidth="1"/>
    <col min="8212" max="8449" width="13.26953125" style="318"/>
    <col min="8450" max="8450" width="14.453125" style="318" customWidth="1"/>
    <col min="8451" max="8451" width="13.453125" style="318" bestFit="1" customWidth="1"/>
    <col min="8452" max="8452" width="14.26953125" style="318" bestFit="1" customWidth="1"/>
    <col min="8453" max="8454" width="13.26953125" style="318"/>
    <col min="8455" max="8455" width="13.453125" style="318" bestFit="1" customWidth="1"/>
    <col min="8456" max="8456" width="13.26953125" style="318"/>
    <col min="8457" max="8457" width="13.453125" style="318" bestFit="1" customWidth="1"/>
    <col min="8458" max="8458" width="13.26953125" style="318"/>
    <col min="8459" max="8461" width="13.453125" style="318" bestFit="1" customWidth="1"/>
    <col min="8462" max="8462" width="13.26953125" style="318"/>
    <col min="8463" max="8463" width="13.453125" style="318" bestFit="1" customWidth="1"/>
    <col min="8464" max="8464" width="13.26953125" style="318"/>
    <col min="8465" max="8465" width="14.26953125" style="318" bestFit="1" customWidth="1"/>
    <col min="8466" max="8466" width="13.26953125" style="318"/>
    <col min="8467" max="8467" width="13.453125" style="318" bestFit="1" customWidth="1"/>
    <col min="8468" max="8705" width="13.26953125" style="318"/>
    <col min="8706" max="8706" width="14.453125" style="318" customWidth="1"/>
    <col min="8707" max="8707" width="13.453125" style="318" bestFit="1" customWidth="1"/>
    <col min="8708" max="8708" width="14.26953125" style="318" bestFit="1" customWidth="1"/>
    <col min="8709" max="8710" width="13.26953125" style="318"/>
    <col min="8711" max="8711" width="13.453125" style="318" bestFit="1" customWidth="1"/>
    <col min="8712" max="8712" width="13.26953125" style="318"/>
    <col min="8713" max="8713" width="13.453125" style="318" bestFit="1" customWidth="1"/>
    <col min="8714" max="8714" width="13.26953125" style="318"/>
    <col min="8715" max="8717" width="13.453125" style="318" bestFit="1" customWidth="1"/>
    <col min="8718" max="8718" width="13.26953125" style="318"/>
    <col min="8719" max="8719" width="13.453125" style="318" bestFit="1" customWidth="1"/>
    <col min="8720" max="8720" width="13.26953125" style="318"/>
    <col min="8721" max="8721" width="14.26953125" style="318" bestFit="1" customWidth="1"/>
    <col min="8722" max="8722" width="13.26953125" style="318"/>
    <col min="8723" max="8723" width="13.453125" style="318" bestFit="1" customWidth="1"/>
    <col min="8724" max="8961" width="13.26953125" style="318"/>
    <col min="8962" max="8962" width="14.453125" style="318" customWidth="1"/>
    <col min="8963" max="8963" width="13.453125" style="318" bestFit="1" customWidth="1"/>
    <col min="8964" max="8964" width="14.26953125" style="318" bestFit="1" customWidth="1"/>
    <col min="8965" max="8966" width="13.26953125" style="318"/>
    <col min="8967" max="8967" width="13.453125" style="318" bestFit="1" customWidth="1"/>
    <col min="8968" max="8968" width="13.26953125" style="318"/>
    <col min="8969" max="8969" width="13.453125" style="318" bestFit="1" customWidth="1"/>
    <col min="8970" max="8970" width="13.26953125" style="318"/>
    <col min="8971" max="8973" width="13.453125" style="318" bestFit="1" customWidth="1"/>
    <col min="8974" max="8974" width="13.26953125" style="318"/>
    <col min="8975" max="8975" width="13.453125" style="318" bestFit="1" customWidth="1"/>
    <col min="8976" max="8976" width="13.26953125" style="318"/>
    <col min="8977" max="8977" width="14.26953125" style="318" bestFit="1" customWidth="1"/>
    <col min="8978" max="8978" width="13.26953125" style="318"/>
    <col min="8979" max="8979" width="13.453125" style="318" bestFit="1" customWidth="1"/>
    <col min="8980" max="9217" width="13.26953125" style="318"/>
    <col min="9218" max="9218" width="14.453125" style="318" customWidth="1"/>
    <col min="9219" max="9219" width="13.453125" style="318" bestFit="1" customWidth="1"/>
    <col min="9220" max="9220" width="14.26953125" style="318" bestFit="1" customWidth="1"/>
    <col min="9221" max="9222" width="13.26953125" style="318"/>
    <col min="9223" max="9223" width="13.453125" style="318" bestFit="1" customWidth="1"/>
    <col min="9224" max="9224" width="13.26953125" style="318"/>
    <col min="9225" max="9225" width="13.453125" style="318" bestFit="1" customWidth="1"/>
    <col min="9226" max="9226" width="13.26953125" style="318"/>
    <col min="9227" max="9229" width="13.453125" style="318" bestFit="1" customWidth="1"/>
    <col min="9230" max="9230" width="13.26953125" style="318"/>
    <col min="9231" max="9231" width="13.453125" style="318" bestFit="1" customWidth="1"/>
    <col min="9232" max="9232" width="13.26953125" style="318"/>
    <col min="9233" max="9233" width="14.26953125" style="318" bestFit="1" customWidth="1"/>
    <col min="9234" max="9234" width="13.26953125" style="318"/>
    <col min="9235" max="9235" width="13.453125" style="318" bestFit="1" customWidth="1"/>
    <col min="9236" max="9473" width="13.26953125" style="318"/>
    <col min="9474" max="9474" width="14.453125" style="318" customWidth="1"/>
    <col min="9475" max="9475" width="13.453125" style="318" bestFit="1" customWidth="1"/>
    <col min="9476" max="9476" width="14.26953125" style="318" bestFit="1" customWidth="1"/>
    <col min="9477" max="9478" width="13.26953125" style="318"/>
    <col min="9479" max="9479" width="13.453125" style="318" bestFit="1" customWidth="1"/>
    <col min="9480" max="9480" width="13.26953125" style="318"/>
    <col min="9481" max="9481" width="13.453125" style="318" bestFit="1" customWidth="1"/>
    <col min="9482" max="9482" width="13.26953125" style="318"/>
    <col min="9483" max="9485" width="13.453125" style="318" bestFit="1" customWidth="1"/>
    <col min="9486" max="9486" width="13.26953125" style="318"/>
    <col min="9487" max="9487" width="13.453125" style="318" bestFit="1" customWidth="1"/>
    <col min="9488" max="9488" width="13.26953125" style="318"/>
    <col min="9489" max="9489" width="14.26953125" style="318" bestFit="1" customWidth="1"/>
    <col min="9490" max="9490" width="13.26953125" style="318"/>
    <col min="9491" max="9491" width="13.453125" style="318" bestFit="1" customWidth="1"/>
    <col min="9492" max="9729" width="13.26953125" style="318"/>
    <col min="9730" max="9730" width="14.453125" style="318" customWidth="1"/>
    <col min="9731" max="9731" width="13.453125" style="318" bestFit="1" customWidth="1"/>
    <col min="9732" max="9732" width="14.26953125" style="318" bestFit="1" customWidth="1"/>
    <col min="9733" max="9734" width="13.26953125" style="318"/>
    <col min="9735" max="9735" width="13.453125" style="318" bestFit="1" customWidth="1"/>
    <col min="9736" max="9736" width="13.26953125" style="318"/>
    <col min="9737" max="9737" width="13.453125" style="318" bestFit="1" customWidth="1"/>
    <col min="9738" max="9738" width="13.26953125" style="318"/>
    <col min="9739" max="9741" width="13.453125" style="318" bestFit="1" customWidth="1"/>
    <col min="9742" max="9742" width="13.26953125" style="318"/>
    <col min="9743" max="9743" width="13.453125" style="318" bestFit="1" customWidth="1"/>
    <col min="9744" max="9744" width="13.26953125" style="318"/>
    <col min="9745" max="9745" width="14.26953125" style="318" bestFit="1" customWidth="1"/>
    <col min="9746" max="9746" width="13.26953125" style="318"/>
    <col min="9747" max="9747" width="13.453125" style="318" bestFit="1" customWidth="1"/>
    <col min="9748" max="9985" width="13.26953125" style="318"/>
    <col min="9986" max="9986" width="14.453125" style="318" customWidth="1"/>
    <col min="9987" max="9987" width="13.453125" style="318" bestFit="1" customWidth="1"/>
    <col min="9988" max="9988" width="14.26953125" style="318" bestFit="1" customWidth="1"/>
    <col min="9989" max="9990" width="13.26953125" style="318"/>
    <col min="9991" max="9991" width="13.453125" style="318" bestFit="1" customWidth="1"/>
    <col min="9992" max="9992" width="13.26953125" style="318"/>
    <col min="9993" max="9993" width="13.453125" style="318" bestFit="1" customWidth="1"/>
    <col min="9994" max="9994" width="13.26953125" style="318"/>
    <col min="9995" max="9997" width="13.453125" style="318" bestFit="1" customWidth="1"/>
    <col min="9998" max="9998" width="13.26953125" style="318"/>
    <col min="9999" max="9999" width="13.453125" style="318" bestFit="1" customWidth="1"/>
    <col min="10000" max="10000" width="13.26953125" style="318"/>
    <col min="10001" max="10001" width="14.26953125" style="318" bestFit="1" customWidth="1"/>
    <col min="10002" max="10002" width="13.26953125" style="318"/>
    <col min="10003" max="10003" width="13.453125" style="318" bestFit="1" customWidth="1"/>
    <col min="10004" max="10241" width="13.26953125" style="318"/>
    <col min="10242" max="10242" width="14.453125" style="318" customWidth="1"/>
    <col min="10243" max="10243" width="13.453125" style="318" bestFit="1" customWidth="1"/>
    <col min="10244" max="10244" width="14.26953125" style="318" bestFit="1" customWidth="1"/>
    <col min="10245" max="10246" width="13.26953125" style="318"/>
    <col min="10247" max="10247" width="13.453125" style="318" bestFit="1" customWidth="1"/>
    <col min="10248" max="10248" width="13.26953125" style="318"/>
    <col min="10249" max="10249" width="13.453125" style="318" bestFit="1" customWidth="1"/>
    <col min="10250" max="10250" width="13.26953125" style="318"/>
    <col min="10251" max="10253" width="13.453125" style="318" bestFit="1" customWidth="1"/>
    <col min="10254" max="10254" width="13.26953125" style="318"/>
    <col min="10255" max="10255" width="13.453125" style="318" bestFit="1" customWidth="1"/>
    <col min="10256" max="10256" width="13.26953125" style="318"/>
    <col min="10257" max="10257" width="14.26953125" style="318" bestFit="1" customWidth="1"/>
    <col min="10258" max="10258" width="13.26953125" style="318"/>
    <col min="10259" max="10259" width="13.453125" style="318" bestFit="1" customWidth="1"/>
    <col min="10260" max="10497" width="13.26953125" style="318"/>
    <col min="10498" max="10498" width="14.453125" style="318" customWidth="1"/>
    <col min="10499" max="10499" width="13.453125" style="318" bestFit="1" customWidth="1"/>
    <col min="10500" max="10500" width="14.26953125" style="318" bestFit="1" customWidth="1"/>
    <col min="10501" max="10502" width="13.26953125" style="318"/>
    <col min="10503" max="10503" width="13.453125" style="318" bestFit="1" customWidth="1"/>
    <col min="10504" max="10504" width="13.26953125" style="318"/>
    <col min="10505" max="10505" width="13.453125" style="318" bestFit="1" customWidth="1"/>
    <col min="10506" max="10506" width="13.26953125" style="318"/>
    <col min="10507" max="10509" width="13.453125" style="318" bestFit="1" customWidth="1"/>
    <col min="10510" max="10510" width="13.26953125" style="318"/>
    <col min="10511" max="10511" width="13.453125" style="318" bestFit="1" customWidth="1"/>
    <col min="10512" max="10512" width="13.26953125" style="318"/>
    <col min="10513" max="10513" width="14.26953125" style="318" bestFit="1" customWidth="1"/>
    <col min="10514" max="10514" width="13.26953125" style="318"/>
    <col min="10515" max="10515" width="13.453125" style="318" bestFit="1" customWidth="1"/>
    <col min="10516" max="10753" width="13.26953125" style="318"/>
    <col min="10754" max="10754" width="14.453125" style="318" customWidth="1"/>
    <col min="10755" max="10755" width="13.453125" style="318" bestFit="1" customWidth="1"/>
    <col min="10756" max="10756" width="14.26953125" style="318" bestFit="1" customWidth="1"/>
    <col min="10757" max="10758" width="13.26953125" style="318"/>
    <col min="10759" max="10759" width="13.453125" style="318" bestFit="1" customWidth="1"/>
    <col min="10760" max="10760" width="13.26953125" style="318"/>
    <col min="10761" max="10761" width="13.453125" style="318" bestFit="1" customWidth="1"/>
    <col min="10762" max="10762" width="13.26953125" style="318"/>
    <col min="10763" max="10765" width="13.453125" style="318" bestFit="1" customWidth="1"/>
    <col min="10766" max="10766" width="13.26953125" style="318"/>
    <col min="10767" max="10767" width="13.453125" style="318" bestFit="1" customWidth="1"/>
    <col min="10768" max="10768" width="13.26953125" style="318"/>
    <col min="10769" max="10769" width="14.26953125" style="318" bestFit="1" customWidth="1"/>
    <col min="10770" max="10770" width="13.26953125" style="318"/>
    <col min="10771" max="10771" width="13.453125" style="318" bestFit="1" customWidth="1"/>
    <col min="10772" max="11009" width="13.26953125" style="318"/>
    <col min="11010" max="11010" width="14.453125" style="318" customWidth="1"/>
    <col min="11011" max="11011" width="13.453125" style="318" bestFit="1" customWidth="1"/>
    <col min="11012" max="11012" width="14.26953125" style="318" bestFit="1" customWidth="1"/>
    <col min="11013" max="11014" width="13.26953125" style="318"/>
    <col min="11015" max="11015" width="13.453125" style="318" bestFit="1" customWidth="1"/>
    <col min="11016" max="11016" width="13.26953125" style="318"/>
    <col min="11017" max="11017" width="13.453125" style="318" bestFit="1" customWidth="1"/>
    <col min="11018" max="11018" width="13.26953125" style="318"/>
    <col min="11019" max="11021" width="13.453125" style="318" bestFit="1" customWidth="1"/>
    <col min="11022" max="11022" width="13.26953125" style="318"/>
    <col min="11023" max="11023" width="13.453125" style="318" bestFit="1" customWidth="1"/>
    <col min="11024" max="11024" width="13.26953125" style="318"/>
    <col min="11025" max="11025" width="14.26953125" style="318" bestFit="1" customWidth="1"/>
    <col min="11026" max="11026" width="13.26953125" style="318"/>
    <col min="11027" max="11027" width="13.453125" style="318" bestFit="1" customWidth="1"/>
    <col min="11028" max="11265" width="13.26953125" style="318"/>
    <col min="11266" max="11266" width="14.453125" style="318" customWidth="1"/>
    <col min="11267" max="11267" width="13.453125" style="318" bestFit="1" customWidth="1"/>
    <col min="11268" max="11268" width="14.26953125" style="318" bestFit="1" customWidth="1"/>
    <col min="11269" max="11270" width="13.26953125" style="318"/>
    <col min="11271" max="11271" width="13.453125" style="318" bestFit="1" customWidth="1"/>
    <col min="11272" max="11272" width="13.26953125" style="318"/>
    <col min="11273" max="11273" width="13.453125" style="318" bestFit="1" customWidth="1"/>
    <col min="11274" max="11274" width="13.26953125" style="318"/>
    <col min="11275" max="11277" width="13.453125" style="318" bestFit="1" customWidth="1"/>
    <col min="11278" max="11278" width="13.26953125" style="318"/>
    <col min="11279" max="11279" width="13.453125" style="318" bestFit="1" customWidth="1"/>
    <col min="11280" max="11280" width="13.26953125" style="318"/>
    <col min="11281" max="11281" width="14.26953125" style="318" bestFit="1" customWidth="1"/>
    <col min="11282" max="11282" width="13.26953125" style="318"/>
    <col min="11283" max="11283" width="13.453125" style="318" bestFit="1" customWidth="1"/>
    <col min="11284" max="11521" width="13.26953125" style="318"/>
    <col min="11522" max="11522" width="14.453125" style="318" customWidth="1"/>
    <col min="11523" max="11523" width="13.453125" style="318" bestFit="1" customWidth="1"/>
    <col min="11524" max="11524" width="14.26953125" style="318" bestFit="1" customWidth="1"/>
    <col min="11525" max="11526" width="13.26953125" style="318"/>
    <col min="11527" max="11527" width="13.453125" style="318" bestFit="1" customWidth="1"/>
    <col min="11528" max="11528" width="13.26953125" style="318"/>
    <col min="11529" max="11529" width="13.453125" style="318" bestFit="1" customWidth="1"/>
    <col min="11530" max="11530" width="13.26953125" style="318"/>
    <col min="11531" max="11533" width="13.453125" style="318" bestFit="1" customWidth="1"/>
    <col min="11534" max="11534" width="13.26953125" style="318"/>
    <col min="11535" max="11535" width="13.453125" style="318" bestFit="1" customWidth="1"/>
    <col min="11536" max="11536" width="13.26953125" style="318"/>
    <col min="11537" max="11537" width="14.26953125" style="318" bestFit="1" customWidth="1"/>
    <col min="11538" max="11538" width="13.26953125" style="318"/>
    <col min="11539" max="11539" width="13.453125" style="318" bestFit="1" customWidth="1"/>
    <col min="11540" max="11777" width="13.26953125" style="318"/>
    <col min="11778" max="11778" width="14.453125" style="318" customWidth="1"/>
    <col min="11779" max="11779" width="13.453125" style="318" bestFit="1" customWidth="1"/>
    <col min="11780" max="11780" width="14.26953125" style="318" bestFit="1" customWidth="1"/>
    <col min="11781" max="11782" width="13.26953125" style="318"/>
    <col min="11783" max="11783" width="13.453125" style="318" bestFit="1" customWidth="1"/>
    <col min="11784" max="11784" width="13.26953125" style="318"/>
    <col min="11785" max="11785" width="13.453125" style="318" bestFit="1" customWidth="1"/>
    <col min="11786" max="11786" width="13.26953125" style="318"/>
    <col min="11787" max="11789" width="13.453125" style="318" bestFit="1" customWidth="1"/>
    <col min="11790" max="11790" width="13.26953125" style="318"/>
    <col min="11791" max="11791" width="13.453125" style="318" bestFit="1" customWidth="1"/>
    <col min="11792" max="11792" width="13.26953125" style="318"/>
    <col min="11793" max="11793" width="14.26953125" style="318" bestFit="1" customWidth="1"/>
    <col min="11794" max="11794" width="13.26953125" style="318"/>
    <col min="11795" max="11795" width="13.453125" style="318" bestFit="1" customWidth="1"/>
    <col min="11796" max="12033" width="13.26953125" style="318"/>
    <col min="12034" max="12034" width="14.453125" style="318" customWidth="1"/>
    <col min="12035" max="12035" width="13.453125" style="318" bestFit="1" customWidth="1"/>
    <col min="12036" max="12036" width="14.26953125" style="318" bestFit="1" customWidth="1"/>
    <col min="12037" max="12038" width="13.26953125" style="318"/>
    <col min="12039" max="12039" width="13.453125" style="318" bestFit="1" customWidth="1"/>
    <col min="12040" max="12040" width="13.26953125" style="318"/>
    <col min="12041" max="12041" width="13.453125" style="318" bestFit="1" customWidth="1"/>
    <col min="12042" max="12042" width="13.26953125" style="318"/>
    <col min="12043" max="12045" width="13.453125" style="318" bestFit="1" customWidth="1"/>
    <col min="12046" max="12046" width="13.26953125" style="318"/>
    <col min="12047" max="12047" width="13.453125" style="318" bestFit="1" customWidth="1"/>
    <col min="12048" max="12048" width="13.26953125" style="318"/>
    <col min="12049" max="12049" width="14.26953125" style="318" bestFit="1" customWidth="1"/>
    <col min="12050" max="12050" width="13.26953125" style="318"/>
    <col min="12051" max="12051" width="13.453125" style="318" bestFit="1" customWidth="1"/>
    <col min="12052" max="12289" width="13.26953125" style="318"/>
    <col min="12290" max="12290" width="14.453125" style="318" customWidth="1"/>
    <col min="12291" max="12291" width="13.453125" style="318" bestFit="1" customWidth="1"/>
    <col min="12292" max="12292" width="14.26953125" style="318" bestFit="1" customWidth="1"/>
    <col min="12293" max="12294" width="13.26953125" style="318"/>
    <col min="12295" max="12295" width="13.453125" style="318" bestFit="1" customWidth="1"/>
    <col min="12296" max="12296" width="13.26953125" style="318"/>
    <col min="12297" max="12297" width="13.453125" style="318" bestFit="1" customWidth="1"/>
    <col min="12298" max="12298" width="13.26953125" style="318"/>
    <col min="12299" max="12301" width="13.453125" style="318" bestFit="1" customWidth="1"/>
    <col min="12302" max="12302" width="13.26953125" style="318"/>
    <col min="12303" max="12303" width="13.453125" style="318" bestFit="1" customWidth="1"/>
    <col min="12304" max="12304" width="13.26953125" style="318"/>
    <col min="12305" max="12305" width="14.26953125" style="318" bestFit="1" customWidth="1"/>
    <col min="12306" max="12306" width="13.26953125" style="318"/>
    <col min="12307" max="12307" width="13.453125" style="318" bestFit="1" customWidth="1"/>
    <col min="12308" max="12545" width="13.26953125" style="318"/>
    <col min="12546" max="12546" width="14.453125" style="318" customWidth="1"/>
    <col min="12547" max="12547" width="13.453125" style="318" bestFit="1" customWidth="1"/>
    <col min="12548" max="12548" width="14.26953125" style="318" bestFit="1" customWidth="1"/>
    <col min="12549" max="12550" width="13.26953125" style="318"/>
    <col min="12551" max="12551" width="13.453125" style="318" bestFit="1" customWidth="1"/>
    <col min="12552" max="12552" width="13.26953125" style="318"/>
    <col min="12553" max="12553" width="13.453125" style="318" bestFit="1" customWidth="1"/>
    <col min="12554" max="12554" width="13.26953125" style="318"/>
    <col min="12555" max="12557" width="13.453125" style="318" bestFit="1" customWidth="1"/>
    <col min="12558" max="12558" width="13.26953125" style="318"/>
    <col min="12559" max="12559" width="13.453125" style="318" bestFit="1" customWidth="1"/>
    <col min="12560" max="12560" width="13.26953125" style="318"/>
    <col min="12561" max="12561" width="14.26953125" style="318" bestFit="1" customWidth="1"/>
    <col min="12562" max="12562" width="13.26953125" style="318"/>
    <col min="12563" max="12563" width="13.453125" style="318" bestFit="1" customWidth="1"/>
    <col min="12564" max="12801" width="13.26953125" style="318"/>
    <col min="12802" max="12802" width="14.453125" style="318" customWidth="1"/>
    <col min="12803" max="12803" width="13.453125" style="318" bestFit="1" customWidth="1"/>
    <col min="12804" max="12804" width="14.26953125" style="318" bestFit="1" customWidth="1"/>
    <col min="12805" max="12806" width="13.26953125" style="318"/>
    <col min="12807" max="12807" width="13.453125" style="318" bestFit="1" customWidth="1"/>
    <col min="12808" max="12808" width="13.26953125" style="318"/>
    <col min="12809" max="12809" width="13.453125" style="318" bestFit="1" customWidth="1"/>
    <col min="12810" max="12810" width="13.26953125" style="318"/>
    <col min="12811" max="12813" width="13.453125" style="318" bestFit="1" customWidth="1"/>
    <col min="12814" max="12814" width="13.26953125" style="318"/>
    <col min="12815" max="12815" width="13.453125" style="318" bestFit="1" customWidth="1"/>
    <col min="12816" max="12816" width="13.26953125" style="318"/>
    <col min="12817" max="12817" width="14.26953125" style="318" bestFit="1" customWidth="1"/>
    <col min="12818" max="12818" width="13.26953125" style="318"/>
    <col min="12819" max="12819" width="13.453125" style="318" bestFit="1" customWidth="1"/>
    <col min="12820" max="13057" width="13.26953125" style="318"/>
    <col min="13058" max="13058" width="14.453125" style="318" customWidth="1"/>
    <col min="13059" max="13059" width="13.453125" style="318" bestFit="1" customWidth="1"/>
    <col min="13060" max="13060" width="14.26953125" style="318" bestFit="1" customWidth="1"/>
    <col min="13061" max="13062" width="13.26953125" style="318"/>
    <col min="13063" max="13063" width="13.453125" style="318" bestFit="1" customWidth="1"/>
    <col min="13064" max="13064" width="13.26953125" style="318"/>
    <col min="13065" max="13065" width="13.453125" style="318" bestFit="1" customWidth="1"/>
    <col min="13066" max="13066" width="13.26953125" style="318"/>
    <col min="13067" max="13069" width="13.453125" style="318" bestFit="1" customWidth="1"/>
    <col min="13070" max="13070" width="13.26953125" style="318"/>
    <col min="13071" max="13071" width="13.453125" style="318" bestFit="1" customWidth="1"/>
    <col min="13072" max="13072" width="13.26953125" style="318"/>
    <col min="13073" max="13073" width="14.26953125" style="318" bestFit="1" customWidth="1"/>
    <col min="13074" max="13074" width="13.26953125" style="318"/>
    <col min="13075" max="13075" width="13.453125" style="318" bestFit="1" customWidth="1"/>
    <col min="13076" max="13313" width="13.26953125" style="318"/>
    <col min="13314" max="13314" width="14.453125" style="318" customWidth="1"/>
    <col min="13315" max="13315" width="13.453125" style="318" bestFit="1" customWidth="1"/>
    <col min="13316" max="13316" width="14.26953125" style="318" bestFit="1" customWidth="1"/>
    <col min="13317" max="13318" width="13.26953125" style="318"/>
    <col min="13319" max="13319" width="13.453125" style="318" bestFit="1" customWidth="1"/>
    <col min="13320" max="13320" width="13.26953125" style="318"/>
    <col min="13321" max="13321" width="13.453125" style="318" bestFit="1" customWidth="1"/>
    <col min="13322" max="13322" width="13.26953125" style="318"/>
    <col min="13323" max="13325" width="13.453125" style="318" bestFit="1" customWidth="1"/>
    <col min="13326" max="13326" width="13.26953125" style="318"/>
    <col min="13327" max="13327" width="13.453125" style="318" bestFit="1" customWidth="1"/>
    <col min="13328" max="13328" width="13.26953125" style="318"/>
    <col min="13329" max="13329" width="14.26953125" style="318" bestFit="1" customWidth="1"/>
    <col min="13330" max="13330" width="13.26953125" style="318"/>
    <col min="13331" max="13331" width="13.453125" style="318" bestFit="1" customWidth="1"/>
    <col min="13332" max="13569" width="13.26953125" style="318"/>
    <col min="13570" max="13570" width="14.453125" style="318" customWidth="1"/>
    <col min="13571" max="13571" width="13.453125" style="318" bestFit="1" customWidth="1"/>
    <col min="13572" max="13572" width="14.26953125" style="318" bestFit="1" customWidth="1"/>
    <col min="13573" max="13574" width="13.26953125" style="318"/>
    <col min="13575" max="13575" width="13.453125" style="318" bestFit="1" customWidth="1"/>
    <col min="13576" max="13576" width="13.26953125" style="318"/>
    <col min="13577" max="13577" width="13.453125" style="318" bestFit="1" customWidth="1"/>
    <col min="13578" max="13578" width="13.26953125" style="318"/>
    <col min="13579" max="13581" width="13.453125" style="318" bestFit="1" customWidth="1"/>
    <col min="13582" max="13582" width="13.26953125" style="318"/>
    <col min="13583" max="13583" width="13.453125" style="318" bestFit="1" customWidth="1"/>
    <col min="13584" max="13584" width="13.26953125" style="318"/>
    <col min="13585" max="13585" width="14.26953125" style="318" bestFit="1" customWidth="1"/>
    <col min="13586" max="13586" width="13.26953125" style="318"/>
    <col min="13587" max="13587" width="13.453125" style="318" bestFit="1" customWidth="1"/>
    <col min="13588" max="13825" width="13.26953125" style="318"/>
    <col min="13826" max="13826" width="14.453125" style="318" customWidth="1"/>
    <col min="13827" max="13827" width="13.453125" style="318" bestFit="1" customWidth="1"/>
    <col min="13828" max="13828" width="14.26953125" style="318" bestFit="1" customWidth="1"/>
    <col min="13829" max="13830" width="13.26953125" style="318"/>
    <col min="13831" max="13831" width="13.453125" style="318" bestFit="1" customWidth="1"/>
    <col min="13832" max="13832" width="13.26953125" style="318"/>
    <col min="13833" max="13833" width="13.453125" style="318" bestFit="1" customWidth="1"/>
    <col min="13834" max="13834" width="13.26953125" style="318"/>
    <col min="13835" max="13837" width="13.453125" style="318" bestFit="1" customWidth="1"/>
    <col min="13838" max="13838" width="13.26953125" style="318"/>
    <col min="13839" max="13839" width="13.453125" style="318" bestFit="1" customWidth="1"/>
    <col min="13840" max="13840" width="13.26953125" style="318"/>
    <col min="13841" max="13841" width="14.26953125" style="318" bestFit="1" customWidth="1"/>
    <col min="13842" max="13842" width="13.26953125" style="318"/>
    <col min="13843" max="13843" width="13.453125" style="318" bestFit="1" customWidth="1"/>
    <col min="13844" max="14081" width="13.26953125" style="318"/>
    <col min="14082" max="14082" width="14.453125" style="318" customWidth="1"/>
    <col min="14083" max="14083" width="13.453125" style="318" bestFit="1" customWidth="1"/>
    <col min="14084" max="14084" width="14.26953125" style="318" bestFit="1" customWidth="1"/>
    <col min="14085" max="14086" width="13.26953125" style="318"/>
    <col min="14087" max="14087" width="13.453125" style="318" bestFit="1" customWidth="1"/>
    <col min="14088" max="14088" width="13.26953125" style="318"/>
    <col min="14089" max="14089" width="13.453125" style="318" bestFit="1" customWidth="1"/>
    <col min="14090" max="14090" width="13.26953125" style="318"/>
    <col min="14091" max="14093" width="13.453125" style="318" bestFit="1" customWidth="1"/>
    <col min="14094" max="14094" width="13.26953125" style="318"/>
    <col min="14095" max="14095" width="13.453125" style="318" bestFit="1" customWidth="1"/>
    <col min="14096" max="14096" width="13.26953125" style="318"/>
    <col min="14097" max="14097" width="14.26953125" style="318" bestFit="1" customWidth="1"/>
    <col min="14098" max="14098" width="13.26953125" style="318"/>
    <col min="14099" max="14099" width="13.453125" style="318" bestFit="1" customWidth="1"/>
    <col min="14100" max="14337" width="13.26953125" style="318"/>
    <col min="14338" max="14338" width="14.453125" style="318" customWidth="1"/>
    <col min="14339" max="14339" width="13.453125" style="318" bestFit="1" customWidth="1"/>
    <col min="14340" max="14340" width="14.26953125" style="318" bestFit="1" customWidth="1"/>
    <col min="14341" max="14342" width="13.26953125" style="318"/>
    <col min="14343" max="14343" width="13.453125" style="318" bestFit="1" customWidth="1"/>
    <col min="14344" max="14344" width="13.26953125" style="318"/>
    <col min="14345" max="14345" width="13.453125" style="318" bestFit="1" customWidth="1"/>
    <col min="14346" max="14346" width="13.26953125" style="318"/>
    <col min="14347" max="14349" width="13.453125" style="318" bestFit="1" customWidth="1"/>
    <col min="14350" max="14350" width="13.26953125" style="318"/>
    <col min="14351" max="14351" width="13.453125" style="318" bestFit="1" customWidth="1"/>
    <col min="14352" max="14352" width="13.26953125" style="318"/>
    <col min="14353" max="14353" width="14.26953125" style="318" bestFit="1" customWidth="1"/>
    <col min="14354" max="14354" width="13.26953125" style="318"/>
    <col min="14355" max="14355" width="13.453125" style="318" bestFit="1" customWidth="1"/>
    <col min="14356" max="14593" width="13.26953125" style="318"/>
    <col min="14594" max="14594" width="14.453125" style="318" customWidth="1"/>
    <col min="14595" max="14595" width="13.453125" style="318" bestFit="1" customWidth="1"/>
    <col min="14596" max="14596" width="14.26953125" style="318" bestFit="1" customWidth="1"/>
    <col min="14597" max="14598" width="13.26953125" style="318"/>
    <col min="14599" max="14599" width="13.453125" style="318" bestFit="1" customWidth="1"/>
    <col min="14600" max="14600" width="13.26953125" style="318"/>
    <col min="14601" max="14601" width="13.453125" style="318" bestFit="1" customWidth="1"/>
    <col min="14602" max="14602" width="13.26953125" style="318"/>
    <col min="14603" max="14605" width="13.453125" style="318" bestFit="1" customWidth="1"/>
    <col min="14606" max="14606" width="13.26953125" style="318"/>
    <col min="14607" max="14607" width="13.453125" style="318" bestFit="1" customWidth="1"/>
    <col min="14608" max="14608" width="13.26953125" style="318"/>
    <col min="14609" max="14609" width="14.26953125" style="318" bestFit="1" customWidth="1"/>
    <col min="14610" max="14610" width="13.26953125" style="318"/>
    <col min="14611" max="14611" width="13.453125" style="318" bestFit="1" customWidth="1"/>
    <col min="14612" max="14849" width="13.26953125" style="318"/>
    <col min="14850" max="14850" width="14.453125" style="318" customWidth="1"/>
    <col min="14851" max="14851" width="13.453125" style="318" bestFit="1" customWidth="1"/>
    <col min="14852" max="14852" width="14.26953125" style="318" bestFit="1" customWidth="1"/>
    <col min="14853" max="14854" width="13.26953125" style="318"/>
    <col min="14855" max="14855" width="13.453125" style="318" bestFit="1" customWidth="1"/>
    <col min="14856" max="14856" width="13.26953125" style="318"/>
    <col min="14857" max="14857" width="13.453125" style="318" bestFit="1" customWidth="1"/>
    <col min="14858" max="14858" width="13.26953125" style="318"/>
    <col min="14859" max="14861" width="13.453125" style="318" bestFit="1" customWidth="1"/>
    <col min="14862" max="14862" width="13.26953125" style="318"/>
    <col min="14863" max="14863" width="13.453125" style="318" bestFit="1" customWidth="1"/>
    <col min="14864" max="14864" width="13.26953125" style="318"/>
    <col min="14865" max="14865" width="14.26953125" style="318" bestFit="1" customWidth="1"/>
    <col min="14866" max="14866" width="13.26953125" style="318"/>
    <col min="14867" max="14867" width="13.453125" style="318" bestFit="1" customWidth="1"/>
    <col min="14868" max="15105" width="13.26953125" style="318"/>
    <col min="15106" max="15106" width="14.453125" style="318" customWidth="1"/>
    <col min="15107" max="15107" width="13.453125" style="318" bestFit="1" customWidth="1"/>
    <col min="15108" max="15108" width="14.26953125" style="318" bestFit="1" customWidth="1"/>
    <col min="15109" max="15110" width="13.26953125" style="318"/>
    <col min="15111" max="15111" width="13.453125" style="318" bestFit="1" customWidth="1"/>
    <col min="15112" max="15112" width="13.26953125" style="318"/>
    <col min="15113" max="15113" width="13.453125" style="318" bestFit="1" customWidth="1"/>
    <col min="15114" max="15114" width="13.26953125" style="318"/>
    <col min="15115" max="15117" width="13.453125" style="318" bestFit="1" customWidth="1"/>
    <col min="15118" max="15118" width="13.26953125" style="318"/>
    <col min="15119" max="15119" width="13.453125" style="318" bestFit="1" customWidth="1"/>
    <col min="15120" max="15120" width="13.26953125" style="318"/>
    <col min="15121" max="15121" width="14.26953125" style="318" bestFit="1" customWidth="1"/>
    <col min="15122" max="15122" width="13.26953125" style="318"/>
    <col min="15123" max="15123" width="13.453125" style="318" bestFit="1" customWidth="1"/>
    <col min="15124" max="15361" width="13.26953125" style="318"/>
    <col min="15362" max="15362" width="14.453125" style="318" customWidth="1"/>
    <col min="15363" max="15363" width="13.453125" style="318" bestFit="1" customWidth="1"/>
    <col min="15364" max="15364" width="14.26953125" style="318" bestFit="1" customWidth="1"/>
    <col min="15365" max="15366" width="13.26953125" style="318"/>
    <col min="15367" max="15367" width="13.453125" style="318" bestFit="1" customWidth="1"/>
    <col min="15368" max="15368" width="13.26953125" style="318"/>
    <col min="15369" max="15369" width="13.453125" style="318" bestFit="1" customWidth="1"/>
    <col min="15370" max="15370" width="13.26953125" style="318"/>
    <col min="15371" max="15373" width="13.453125" style="318" bestFit="1" customWidth="1"/>
    <col min="15374" max="15374" width="13.26953125" style="318"/>
    <col min="15375" max="15375" width="13.453125" style="318" bestFit="1" customWidth="1"/>
    <col min="15376" max="15376" width="13.26953125" style="318"/>
    <col min="15377" max="15377" width="14.26953125" style="318" bestFit="1" customWidth="1"/>
    <col min="15378" max="15378" width="13.26953125" style="318"/>
    <col min="15379" max="15379" width="13.453125" style="318" bestFit="1" customWidth="1"/>
    <col min="15380" max="15617" width="13.26953125" style="318"/>
    <col min="15618" max="15618" width="14.453125" style="318" customWidth="1"/>
    <col min="15619" max="15619" width="13.453125" style="318" bestFit="1" customWidth="1"/>
    <col min="15620" max="15620" width="14.26953125" style="318" bestFit="1" customWidth="1"/>
    <col min="15621" max="15622" width="13.26953125" style="318"/>
    <col min="15623" max="15623" width="13.453125" style="318" bestFit="1" customWidth="1"/>
    <col min="15624" max="15624" width="13.26953125" style="318"/>
    <col min="15625" max="15625" width="13.453125" style="318" bestFit="1" customWidth="1"/>
    <col min="15626" max="15626" width="13.26953125" style="318"/>
    <col min="15627" max="15629" width="13.453125" style="318" bestFit="1" customWidth="1"/>
    <col min="15630" max="15630" width="13.26953125" style="318"/>
    <col min="15631" max="15631" width="13.453125" style="318" bestFit="1" customWidth="1"/>
    <col min="15632" max="15632" width="13.26953125" style="318"/>
    <col min="15633" max="15633" width="14.26953125" style="318" bestFit="1" customWidth="1"/>
    <col min="15634" max="15634" width="13.26953125" style="318"/>
    <col min="15635" max="15635" width="13.453125" style="318" bestFit="1" customWidth="1"/>
    <col min="15636" max="15873" width="13.26953125" style="318"/>
    <col min="15874" max="15874" width="14.453125" style="318" customWidth="1"/>
    <col min="15875" max="15875" width="13.453125" style="318" bestFit="1" customWidth="1"/>
    <col min="15876" max="15876" width="14.26953125" style="318" bestFit="1" customWidth="1"/>
    <col min="15877" max="15878" width="13.26953125" style="318"/>
    <col min="15879" max="15879" width="13.453125" style="318" bestFit="1" customWidth="1"/>
    <col min="15880" max="15880" width="13.26953125" style="318"/>
    <col min="15881" max="15881" width="13.453125" style="318" bestFit="1" customWidth="1"/>
    <col min="15882" max="15882" width="13.26953125" style="318"/>
    <col min="15883" max="15885" width="13.453125" style="318" bestFit="1" customWidth="1"/>
    <col min="15886" max="15886" width="13.26953125" style="318"/>
    <col min="15887" max="15887" width="13.453125" style="318" bestFit="1" customWidth="1"/>
    <col min="15888" max="15888" width="13.26953125" style="318"/>
    <col min="15889" max="15889" width="14.26953125" style="318" bestFit="1" customWidth="1"/>
    <col min="15890" max="15890" width="13.26953125" style="318"/>
    <col min="15891" max="15891" width="13.453125" style="318" bestFit="1" customWidth="1"/>
    <col min="15892" max="16129" width="13.26953125" style="318"/>
    <col min="16130" max="16130" width="14.453125" style="318" customWidth="1"/>
    <col min="16131" max="16131" width="13.453125" style="318" bestFit="1" customWidth="1"/>
    <col min="16132" max="16132" width="14.26953125" style="318" bestFit="1" customWidth="1"/>
    <col min="16133" max="16134" width="13.26953125" style="318"/>
    <col min="16135" max="16135" width="13.453125" style="318" bestFit="1" customWidth="1"/>
    <col min="16136" max="16136" width="13.26953125" style="318"/>
    <col min="16137" max="16137" width="13.453125" style="318" bestFit="1" customWidth="1"/>
    <col min="16138" max="16138" width="13.26953125" style="318"/>
    <col min="16139" max="16141" width="13.453125" style="318" bestFit="1" customWidth="1"/>
    <col min="16142" max="16142" width="13.26953125" style="318"/>
    <col min="16143" max="16143" width="13.453125" style="318" bestFit="1" customWidth="1"/>
    <col min="16144" max="16144" width="13.26953125" style="318"/>
    <col min="16145" max="16145" width="14.26953125" style="318" bestFit="1" customWidth="1"/>
    <col min="16146" max="16146" width="13.26953125" style="318"/>
    <col min="16147" max="16147" width="13.453125" style="318" bestFit="1" customWidth="1"/>
    <col min="16148" max="16384" width="13.26953125" style="318"/>
  </cols>
  <sheetData>
    <row r="1" spans="1:47" ht="15.6">
      <c r="B1" s="175"/>
      <c r="AA1" s="3" t="s">
        <v>457</v>
      </c>
    </row>
    <row r="2" spans="1:47" ht="15.6">
      <c r="B2" s="175"/>
      <c r="AA2" s="16" t="s">
        <v>144</v>
      </c>
    </row>
    <row r="3" spans="1:47" ht="17.399999999999999">
      <c r="B3" s="175"/>
      <c r="M3" s="174" t="s">
        <v>424</v>
      </c>
      <c r="AA3" s="16" t="str">
        <f>'Attachment 1 - Sched 1A'!J3</f>
        <v>For the 12 months ended 12/31/2023</v>
      </c>
    </row>
    <row r="4" spans="1:47" ht="15.6">
      <c r="B4" s="176"/>
    </row>
    <row r="5" spans="1:47" ht="15.6">
      <c r="A5" s="319"/>
      <c r="B5" s="177" t="s">
        <v>282</v>
      </c>
      <c r="C5" s="177"/>
      <c r="D5" s="177"/>
      <c r="E5" s="177"/>
      <c r="F5" s="177"/>
      <c r="G5" s="177"/>
      <c r="H5" s="177"/>
      <c r="I5" s="177"/>
      <c r="J5" s="177"/>
      <c r="K5" s="177"/>
      <c r="L5" s="177"/>
      <c r="M5" s="177"/>
      <c r="N5" s="177"/>
      <c r="O5" s="177"/>
      <c r="P5" s="177"/>
      <c r="Q5" s="177"/>
      <c r="R5" s="177"/>
      <c r="S5" s="177"/>
      <c r="T5" s="177"/>
      <c r="U5" s="177"/>
      <c r="V5" s="177"/>
      <c r="W5" s="177"/>
      <c r="X5" s="177"/>
      <c r="Y5" s="320"/>
      <c r="Z5" s="176"/>
    </row>
    <row r="6" spans="1:47" ht="15.6">
      <c r="A6" s="321"/>
      <c r="C6" s="176"/>
      <c r="D6" s="176"/>
      <c r="E6" s="176"/>
      <c r="F6" s="176"/>
      <c r="G6" s="322"/>
      <c r="H6" s="322"/>
      <c r="I6" s="322"/>
      <c r="J6" s="322"/>
      <c r="K6" s="176"/>
      <c r="L6" s="176"/>
      <c r="M6" s="176"/>
      <c r="N6" s="176"/>
      <c r="O6" s="176"/>
      <c r="P6" s="176"/>
      <c r="Q6" s="176"/>
      <c r="R6" s="176"/>
      <c r="S6" s="176"/>
      <c r="T6" s="176"/>
      <c r="U6" s="176"/>
      <c r="V6" s="176"/>
      <c r="W6" s="176"/>
      <c r="X6" s="176"/>
      <c r="Y6" s="323"/>
      <c r="Z6" s="176"/>
    </row>
    <row r="7" spans="1:47" ht="15.6">
      <c r="A7" s="321"/>
      <c r="B7" s="176" t="s">
        <v>283</v>
      </c>
      <c r="C7" s="176"/>
      <c r="D7" s="176"/>
      <c r="E7" s="176"/>
      <c r="F7" s="176"/>
      <c r="G7" s="322"/>
      <c r="H7" s="322"/>
      <c r="I7" s="322"/>
      <c r="J7" s="322"/>
      <c r="K7" s="176"/>
      <c r="L7" s="176"/>
      <c r="M7" s="176"/>
      <c r="N7" s="176"/>
      <c r="O7" s="176"/>
      <c r="P7" s="176"/>
      <c r="Q7" s="176"/>
      <c r="R7" s="176"/>
      <c r="S7" s="176"/>
      <c r="T7" s="176"/>
      <c r="U7" s="176"/>
      <c r="V7" s="176"/>
      <c r="W7" s="176"/>
      <c r="X7" s="176"/>
      <c r="Y7" s="323"/>
      <c r="Z7" s="176"/>
    </row>
    <row r="8" spans="1:47" ht="16.2" thickBot="1">
      <c r="A8" s="321"/>
      <c r="D8" s="176"/>
      <c r="E8" s="176"/>
      <c r="F8" s="176"/>
      <c r="G8" s="322"/>
      <c r="H8" s="322"/>
      <c r="I8" s="322"/>
      <c r="J8" s="322"/>
      <c r="K8" s="176"/>
      <c r="L8" s="176"/>
      <c r="M8" s="176"/>
      <c r="N8" s="176"/>
      <c r="O8" s="176"/>
      <c r="P8" s="176"/>
      <c r="Q8" s="176"/>
      <c r="R8" s="176"/>
      <c r="S8" s="176"/>
      <c r="T8" s="176"/>
      <c r="U8" s="176"/>
      <c r="V8" s="176"/>
      <c r="W8" s="176"/>
      <c r="X8" s="176"/>
      <c r="Y8" s="323"/>
      <c r="Z8" s="176"/>
    </row>
    <row r="9" spans="1:47" ht="16.2" thickBot="1">
      <c r="A9" s="321"/>
      <c r="B9" s="324" t="s">
        <v>284</v>
      </c>
      <c r="C9" s="588">
        <v>45291</v>
      </c>
      <c r="D9" s="176"/>
      <c r="E9" s="176"/>
      <c r="F9" s="176"/>
      <c r="G9" s="176"/>
      <c r="H9" s="176"/>
      <c r="J9" s="176"/>
      <c r="K9" s="326"/>
      <c r="L9" s="176"/>
      <c r="M9" s="176"/>
      <c r="N9" s="176"/>
      <c r="O9" s="176"/>
      <c r="P9" s="176"/>
      <c r="Q9" s="176"/>
      <c r="R9" s="176"/>
      <c r="S9" s="176"/>
      <c r="T9" s="176"/>
      <c r="U9" s="176"/>
      <c r="V9" s="176"/>
      <c r="W9" s="176"/>
      <c r="X9" s="176"/>
      <c r="Y9" s="323"/>
      <c r="Z9" s="176"/>
    </row>
    <row r="10" spans="1:47" ht="15.6">
      <c r="A10" s="321"/>
      <c r="B10" s="322"/>
      <c r="C10" s="176"/>
      <c r="E10" s="176"/>
      <c r="F10" s="176"/>
      <c r="H10" s="176"/>
      <c r="I10" s="176"/>
      <c r="J10" s="176"/>
      <c r="K10" s="326"/>
      <c r="L10" s="176"/>
      <c r="M10" s="176"/>
      <c r="N10" s="176"/>
      <c r="O10" s="176"/>
      <c r="P10" s="176"/>
      <c r="Q10" s="176"/>
      <c r="R10" s="176"/>
      <c r="S10" s="176"/>
      <c r="T10" s="176"/>
      <c r="U10" s="176"/>
      <c r="V10" s="176"/>
      <c r="W10" s="176"/>
      <c r="X10" s="176"/>
      <c r="Y10" s="323"/>
      <c r="Z10" s="176"/>
    </row>
    <row r="11" spans="1:47" s="178" customFormat="1" ht="15.6">
      <c r="A11" s="327"/>
      <c r="D11" s="178" t="s">
        <v>202</v>
      </c>
      <c r="G11" s="178" t="s">
        <v>203</v>
      </c>
      <c r="I11" s="178" t="s">
        <v>285</v>
      </c>
      <c r="K11" s="178" t="s">
        <v>205</v>
      </c>
      <c r="M11" s="328" t="s">
        <v>206</v>
      </c>
      <c r="O11" s="328" t="s">
        <v>207</v>
      </c>
      <c r="Q11" s="178" t="s">
        <v>208</v>
      </c>
      <c r="S11" s="178" t="s">
        <v>209</v>
      </c>
      <c r="U11" s="178" t="s">
        <v>210</v>
      </c>
      <c r="W11" s="178" t="s">
        <v>211</v>
      </c>
      <c r="Y11" s="329"/>
    </row>
    <row r="12" spans="1:47" ht="15.6">
      <c r="A12" s="321"/>
      <c r="B12" s="330"/>
      <c r="N12" s="330"/>
      <c r="S12" s="331"/>
      <c r="X12" s="331"/>
      <c r="Y12" s="332"/>
      <c r="AE12" s="333"/>
      <c r="AK12" s="334"/>
      <c r="AL12" s="330"/>
      <c r="AM12" s="330"/>
      <c r="AN12" s="330"/>
      <c r="AO12" s="330"/>
      <c r="AP12" s="330"/>
      <c r="AQ12" s="330"/>
      <c r="AR12" s="330"/>
      <c r="AS12" s="330"/>
      <c r="AT12" s="1000"/>
      <c r="AU12" s="1000"/>
    </row>
    <row r="13" spans="1:47" ht="15.6">
      <c r="A13" s="321"/>
      <c r="M13" s="330" t="s">
        <v>286</v>
      </c>
      <c r="N13" s="330"/>
      <c r="Q13" s="330" t="s">
        <v>287</v>
      </c>
      <c r="S13" s="331"/>
      <c r="W13" s="330" t="s">
        <v>65</v>
      </c>
      <c r="X13" s="331"/>
      <c r="Y13" s="332"/>
      <c r="AE13" s="333"/>
      <c r="AK13" s="334"/>
      <c r="AL13" s="330"/>
      <c r="AM13" s="330"/>
      <c r="AN13" s="330"/>
      <c r="AO13" s="330"/>
      <c r="AP13" s="330"/>
      <c r="AQ13" s="330"/>
      <c r="AR13" s="330"/>
      <c r="AS13" s="330"/>
      <c r="AT13" s="330"/>
      <c r="AU13" s="330"/>
    </row>
    <row r="14" spans="1:47" ht="15.6">
      <c r="A14" s="321"/>
      <c r="B14" s="176"/>
      <c r="G14" s="330"/>
      <c r="H14" s="330"/>
      <c r="I14" s="330"/>
      <c r="J14" s="330"/>
      <c r="K14" s="330"/>
      <c r="L14" s="330"/>
      <c r="M14" s="330" t="s">
        <v>8</v>
      </c>
      <c r="N14" s="330"/>
      <c r="O14" s="330" t="s">
        <v>217</v>
      </c>
      <c r="P14" s="330"/>
      <c r="Q14" s="330" t="s">
        <v>288</v>
      </c>
      <c r="R14" s="330"/>
      <c r="S14" s="330" t="s">
        <v>65</v>
      </c>
      <c r="T14" s="330"/>
      <c r="U14" s="330" t="s">
        <v>289</v>
      </c>
      <c r="V14" s="330"/>
      <c r="W14" s="330" t="s">
        <v>290</v>
      </c>
      <c r="Y14" s="332"/>
      <c r="AE14" s="333"/>
      <c r="AK14" s="335"/>
      <c r="AL14" s="336"/>
      <c r="AM14" s="336"/>
      <c r="AN14" s="336"/>
      <c r="AO14" s="336"/>
      <c r="AP14" s="336"/>
      <c r="AQ14" s="336"/>
      <c r="AR14" s="336"/>
      <c r="AS14" s="336"/>
      <c r="AT14" s="336"/>
      <c r="AU14" s="336"/>
    </row>
    <row r="15" spans="1:47" ht="15.6">
      <c r="A15" s="321"/>
      <c r="B15" s="176"/>
      <c r="E15" s="330"/>
      <c r="F15" s="330"/>
      <c r="G15" s="330"/>
      <c r="H15" s="330"/>
      <c r="I15" s="330" t="s">
        <v>291</v>
      </c>
      <c r="J15" s="330"/>
      <c r="K15" s="330" t="s">
        <v>292</v>
      </c>
      <c r="L15" s="330"/>
      <c r="M15" s="330" t="s">
        <v>288</v>
      </c>
      <c r="N15" s="330"/>
      <c r="O15" s="330" t="s">
        <v>288</v>
      </c>
      <c r="P15" s="330"/>
      <c r="Q15" s="330" t="s">
        <v>293</v>
      </c>
      <c r="R15" s="330"/>
      <c r="S15" s="330" t="s">
        <v>288</v>
      </c>
      <c r="T15" s="330"/>
      <c r="U15" s="330" t="s">
        <v>294</v>
      </c>
      <c r="V15" s="330"/>
      <c r="W15" s="330" t="s">
        <v>295</v>
      </c>
      <c r="Y15" s="332"/>
      <c r="AE15" s="333"/>
      <c r="AK15" s="337"/>
      <c r="AL15" s="338"/>
      <c r="AM15" s="338"/>
      <c r="AN15" s="338"/>
      <c r="AO15" s="338"/>
      <c r="AP15" s="338"/>
      <c r="AQ15" s="338"/>
      <c r="AR15" s="338"/>
      <c r="AS15" s="338"/>
      <c r="AT15" s="338"/>
      <c r="AU15" s="338"/>
    </row>
    <row r="16" spans="1:47" ht="15.6">
      <c r="A16" s="321"/>
      <c r="C16" s="178" t="s">
        <v>296</v>
      </c>
      <c r="D16" s="330" t="s">
        <v>297</v>
      </c>
      <c r="E16" s="330"/>
      <c r="F16" s="330"/>
      <c r="G16" s="330" t="s">
        <v>298</v>
      </c>
      <c r="H16" s="330"/>
      <c r="I16" s="330" t="s">
        <v>299</v>
      </c>
      <c r="J16" s="330"/>
      <c r="K16" s="330" t="s">
        <v>300</v>
      </c>
      <c r="L16" s="330"/>
      <c r="M16" s="330" t="s">
        <v>301</v>
      </c>
      <c r="N16" s="330"/>
      <c r="O16" s="330" t="s">
        <v>301</v>
      </c>
      <c r="P16" s="330"/>
      <c r="Q16" s="330" t="s">
        <v>302</v>
      </c>
      <c r="R16" s="330"/>
      <c r="S16" s="330" t="s">
        <v>303</v>
      </c>
      <c r="T16" s="330"/>
      <c r="U16" s="318" t="s">
        <v>1042</v>
      </c>
      <c r="V16" s="330"/>
      <c r="W16" s="330" t="s">
        <v>304</v>
      </c>
      <c r="Y16" s="332"/>
      <c r="AK16" s="337"/>
      <c r="AL16" s="338"/>
      <c r="AM16" s="338"/>
      <c r="AN16" s="338"/>
      <c r="AO16" s="338"/>
      <c r="AP16" s="338"/>
      <c r="AQ16" s="338"/>
      <c r="AR16" s="338"/>
      <c r="AS16" s="338"/>
      <c r="AT16" s="338"/>
      <c r="AU16" s="338"/>
    </row>
    <row r="17" spans="1:47" ht="15.6">
      <c r="A17" s="321"/>
      <c r="B17" s="179" t="s">
        <v>305</v>
      </c>
      <c r="C17" s="339">
        <f>C39</f>
        <v>45291</v>
      </c>
      <c r="E17" s="330"/>
      <c r="F17" s="330"/>
      <c r="G17" s="330"/>
      <c r="H17" s="330"/>
      <c r="I17" s="330" t="s">
        <v>469</v>
      </c>
      <c r="J17" s="330"/>
      <c r="K17" s="330" t="s">
        <v>1041</v>
      </c>
      <c r="L17" s="330"/>
      <c r="M17" s="330"/>
      <c r="N17" s="330"/>
      <c r="O17" s="330"/>
      <c r="P17" s="330"/>
      <c r="Q17" s="330" t="s">
        <v>471</v>
      </c>
      <c r="R17" s="330"/>
      <c r="S17" s="330" t="s">
        <v>470</v>
      </c>
      <c r="T17" s="330"/>
      <c r="U17" s="330"/>
      <c r="V17" s="330"/>
      <c r="Y17" s="332"/>
      <c r="AK17" s="337"/>
      <c r="AL17" s="338"/>
      <c r="AM17" s="338"/>
      <c r="AN17" s="338"/>
      <c r="AO17" s="338"/>
      <c r="AP17" s="338"/>
      <c r="AQ17" s="338"/>
      <c r="AR17" s="338"/>
      <c r="AS17" s="338"/>
      <c r="AT17" s="338"/>
      <c r="AU17" s="338"/>
    </row>
    <row r="18" spans="1:47">
      <c r="A18" s="321"/>
      <c r="B18" s="340" t="s">
        <v>306</v>
      </c>
      <c r="E18" s="341"/>
      <c r="F18" s="341"/>
      <c r="G18" s="341"/>
      <c r="H18" s="341"/>
      <c r="I18" s="341"/>
      <c r="J18" s="341"/>
      <c r="K18" s="341"/>
      <c r="L18" s="341"/>
      <c r="M18" s="341"/>
      <c r="N18" s="341"/>
      <c r="O18" s="330"/>
      <c r="P18" s="341"/>
      <c r="Q18" s="341"/>
      <c r="R18" s="341"/>
      <c r="S18" s="330"/>
      <c r="T18" s="330"/>
      <c r="U18" s="330"/>
      <c r="V18" s="330"/>
      <c r="Y18" s="332"/>
      <c r="AK18" s="337"/>
      <c r="AL18" s="338"/>
      <c r="AM18" s="338"/>
      <c r="AN18" s="338"/>
      <c r="AO18" s="338"/>
      <c r="AP18" s="338"/>
      <c r="AQ18" s="338"/>
      <c r="AR18" s="338"/>
      <c r="AS18" s="338"/>
      <c r="AT18" s="338"/>
      <c r="AU18" s="338"/>
    </row>
    <row r="19" spans="1:47">
      <c r="A19" s="581" t="s">
        <v>16</v>
      </c>
      <c r="B19" s="401" t="s">
        <v>1072</v>
      </c>
      <c r="C19" s="407"/>
      <c r="D19" s="406">
        <v>38849</v>
      </c>
      <c r="E19" s="408"/>
      <c r="F19" s="408"/>
      <c r="G19" s="406">
        <v>49810</v>
      </c>
      <c r="H19" s="341"/>
      <c r="I19" s="343">
        <f>I46</f>
        <v>200000000</v>
      </c>
      <c r="J19" s="343"/>
      <c r="K19" s="343">
        <f>Q46</f>
        <v>196437127</v>
      </c>
      <c r="L19" s="343"/>
      <c r="M19" s="344">
        <v>198508173.82493174</v>
      </c>
      <c r="N19" s="408"/>
      <c r="O19" s="410">
        <v>12</v>
      </c>
      <c r="P19" s="341"/>
      <c r="Q19" s="965">
        <f>M19*O19/12</f>
        <v>198508173.82493174</v>
      </c>
      <c r="R19" s="341"/>
      <c r="S19" s="345">
        <f t="shared" ref="S19:S23" si="0">+Q19/$Q$25</f>
        <v>9.26592864791176E-2</v>
      </c>
      <c r="U19" s="345">
        <f>Y46</f>
        <v>6.5361422441773148E-2</v>
      </c>
      <c r="W19" s="345">
        <f>+S19*U19</f>
        <v>6.0563427667148844E-3</v>
      </c>
      <c r="Y19" s="332"/>
      <c r="Z19" s="346"/>
      <c r="AK19" s="337"/>
      <c r="AL19" s="338"/>
      <c r="AM19" s="338"/>
      <c r="AN19" s="338"/>
      <c r="AO19" s="338"/>
      <c r="AP19" s="338"/>
      <c r="AQ19" s="338"/>
      <c r="AR19" s="338"/>
      <c r="AS19" s="338"/>
      <c r="AT19" s="338"/>
      <c r="AU19" s="338"/>
    </row>
    <row r="20" spans="1:47">
      <c r="A20" s="581" t="s">
        <v>17</v>
      </c>
      <c r="B20" s="401" t="s">
        <v>1073</v>
      </c>
      <c r="C20" s="409"/>
      <c r="D20" s="406">
        <v>39223</v>
      </c>
      <c r="E20" s="348"/>
      <c r="F20" s="348"/>
      <c r="G20" s="406">
        <v>50192</v>
      </c>
      <c r="H20" s="348"/>
      <c r="I20" s="352">
        <f t="shared" ref="I20:I22" si="1">I47</f>
        <v>300000000</v>
      </c>
      <c r="J20" s="352"/>
      <c r="K20" s="343">
        <f>Q47</f>
        <v>295979779</v>
      </c>
      <c r="L20" s="352"/>
      <c r="M20" s="413">
        <v>298203746.63861793</v>
      </c>
      <c r="N20" s="411"/>
      <c r="O20" s="410">
        <v>12</v>
      </c>
      <c r="P20" s="349"/>
      <c r="Q20" s="965">
        <f t="shared" ref="Q20:Q22" si="2">M20*O20/12</f>
        <v>298203746.63861793</v>
      </c>
      <c r="R20" s="349"/>
      <c r="S20" s="345">
        <f>+Q20/$Q$25</f>
        <v>0.13919500570945018</v>
      </c>
      <c r="T20" s="347"/>
      <c r="U20" s="345">
        <f>Y47</f>
        <v>6.2492248565363506E-2</v>
      </c>
      <c r="V20" s="347"/>
      <c r="W20" s="345">
        <f t="shared" ref="W20:W22" si="3">+S20*U20</f>
        <v>8.6986088958521529E-3</v>
      </c>
      <c r="X20" s="347"/>
      <c r="Y20" s="332"/>
      <c r="Z20" s="346"/>
      <c r="AK20" s="337"/>
      <c r="AL20" s="338"/>
      <c r="AM20" s="338"/>
      <c r="AN20" s="338"/>
      <c r="AO20" s="338"/>
      <c r="AP20" s="338"/>
      <c r="AQ20" s="338"/>
      <c r="AR20" s="338"/>
      <c r="AS20" s="338"/>
      <c r="AT20" s="338"/>
      <c r="AU20" s="338"/>
    </row>
    <row r="21" spans="1:47">
      <c r="A21" s="581" t="s">
        <v>18</v>
      </c>
      <c r="B21" s="401" t="s">
        <v>1074</v>
      </c>
      <c r="C21" s="405"/>
      <c r="D21" s="406">
        <v>43504</v>
      </c>
      <c r="E21" s="405"/>
      <c r="F21" s="405"/>
      <c r="G21" s="406">
        <v>46037</v>
      </c>
      <c r="H21" s="351"/>
      <c r="I21" s="352">
        <f>I48</f>
        <v>400000000</v>
      </c>
      <c r="J21" s="352"/>
      <c r="K21" s="343">
        <f>Q48</f>
        <v>402863753</v>
      </c>
      <c r="L21" s="352"/>
      <c r="M21" s="344">
        <v>400843410.87169367</v>
      </c>
      <c r="N21" s="408"/>
      <c r="O21" s="410">
        <v>12</v>
      </c>
      <c r="P21" s="353"/>
      <c r="Q21" s="965">
        <f>M21*O21/12</f>
        <v>400843410.87169367</v>
      </c>
      <c r="R21" s="353"/>
      <c r="S21" s="345">
        <f t="shared" si="0"/>
        <v>0.18710496260966586</v>
      </c>
      <c r="U21" s="345">
        <f>Y48</f>
        <v>4.1796158261677333E-2</v>
      </c>
      <c r="W21" s="345">
        <f t="shared" si="3"/>
        <v>7.8202686287788137E-3</v>
      </c>
      <c r="Y21" s="332"/>
      <c r="AK21" s="337"/>
      <c r="AL21" s="338"/>
      <c r="AM21" s="338"/>
      <c r="AN21" s="338"/>
      <c r="AO21" s="338"/>
      <c r="AP21" s="338"/>
      <c r="AQ21" s="338"/>
      <c r="AR21" s="338"/>
      <c r="AS21" s="338"/>
      <c r="AT21" s="338"/>
      <c r="AU21" s="338"/>
    </row>
    <row r="22" spans="1:47">
      <c r="A22" s="581" t="s">
        <v>19</v>
      </c>
      <c r="B22" s="401" t="s">
        <v>1075</v>
      </c>
      <c r="C22" s="405"/>
      <c r="D22" s="406">
        <v>41507</v>
      </c>
      <c r="E22" s="405"/>
      <c r="F22" s="405"/>
      <c r="G22" s="406">
        <v>45383</v>
      </c>
      <c r="H22" s="346"/>
      <c r="I22" s="352">
        <f t="shared" si="1"/>
        <v>500000000</v>
      </c>
      <c r="J22" s="352"/>
      <c r="K22" s="343">
        <f>Q49</f>
        <v>493197650</v>
      </c>
      <c r="L22" s="352"/>
      <c r="M22" s="344">
        <v>499838540.71207428</v>
      </c>
      <c r="N22" s="411"/>
      <c r="O22" s="410">
        <v>12</v>
      </c>
      <c r="P22" s="341"/>
      <c r="Q22" s="965">
        <f t="shared" si="2"/>
        <v>499838540.71207428</v>
      </c>
      <c r="R22" s="341"/>
      <c r="S22" s="345">
        <f t="shared" si="0"/>
        <v>0.233313730335306</v>
      </c>
      <c r="U22" s="345">
        <f t="shared" ref="U22" si="4">Y49</f>
        <v>4.8650643693493568E-2</v>
      </c>
      <c r="W22" s="345">
        <f t="shared" si="3"/>
        <v>1.1350863163342814E-2</v>
      </c>
      <c r="Y22" s="332"/>
      <c r="AK22" s="337"/>
      <c r="AL22" s="338"/>
      <c r="AM22" s="338"/>
      <c r="AN22" s="338"/>
      <c r="AO22" s="338"/>
      <c r="AP22" s="338"/>
      <c r="AQ22" s="338"/>
      <c r="AR22" s="338"/>
      <c r="AS22" s="338"/>
      <c r="AT22" s="338"/>
      <c r="AU22" s="338"/>
    </row>
    <row r="23" spans="1:47">
      <c r="A23" s="581" t="s">
        <v>20</v>
      </c>
      <c r="B23" s="401" t="s">
        <v>1074</v>
      </c>
      <c r="C23" s="405"/>
      <c r="D23" s="406">
        <v>42234</v>
      </c>
      <c r="E23" s="405"/>
      <c r="F23" s="405"/>
      <c r="G23" s="406">
        <v>46037</v>
      </c>
      <c r="H23" s="346"/>
      <c r="I23" s="352">
        <f>I50</f>
        <v>250000000</v>
      </c>
      <c r="J23" s="352"/>
      <c r="K23" s="343">
        <f t="shared" ref="K23" si="5">Q50</f>
        <v>247086511.59</v>
      </c>
      <c r="L23" s="352"/>
      <c r="M23" s="413">
        <v>249428487.41681305</v>
      </c>
      <c r="N23" s="405"/>
      <c r="O23" s="410">
        <v>12</v>
      </c>
      <c r="P23" s="353"/>
      <c r="Q23" s="965">
        <f>M23*O23/12</f>
        <v>249428487.41681305</v>
      </c>
      <c r="R23" s="353"/>
      <c r="S23" s="345">
        <f t="shared" si="0"/>
        <v>0.11642777839460791</v>
      </c>
      <c r="U23" s="345">
        <f>Y50</f>
        <v>4.440619198748836E-2</v>
      </c>
      <c r="W23" s="345">
        <f>+S23*U23</f>
        <v>5.1701142800677086E-3</v>
      </c>
      <c r="Y23" s="332"/>
      <c r="AQ23" s="338"/>
      <c r="AS23" s="338"/>
    </row>
    <row r="24" spans="1:47" ht="16.8">
      <c r="A24" s="581" t="s">
        <v>21</v>
      </c>
      <c r="B24" s="401" t="s">
        <v>1150</v>
      </c>
      <c r="C24" s="405"/>
      <c r="D24" s="406">
        <v>44357</v>
      </c>
      <c r="E24" s="405"/>
      <c r="F24" s="405"/>
      <c r="G24" s="406">
        <v>48274</v>
      </c>
      <c r="H24" s="346"/>
      <c r="I24" s="414">
        <f>I51</f>
        <v>500000000</v>
      </c>
      <c r="J24" s="352"/>
      <c r="K24" s="343">
        <f>Q51</f>
        <v>494120954</v>
      </c>
      <c r="L24" s="352"/>
      <c r="M24" s="354">
        <v>495522799.5358693</v>
      </c>
      <c r="N24" s="405"/>
      <c r="O24" s="958">
        <v>12</v>
      </c>
      <c r="P24" s="353"/>
      <c r="Q24" s="966">
        <f>M24*O24/12</f>
        <v>495522799.5358693</v>
      </c>
      <c r="R24" s="353"/>
      <c r="S24" s="355">
        <f>+Q24/$Q$25</f>
        <v>0.23129923647185244</v>
      </c>
      <c r="U24" s="345">
        <f>Y51</f>
        <v>2.8779367069923484E-2</v>
      </c>
      <c r="W24" s="355">
        <f>+S24*U24</f>
        <v>6.6566456294164748E-3</v>
      </c>
      <c r="Y24" s="332"/>
      <c r="AQ24" s="338"/>
      <c r="AS24" s="338"/>
    </row>
    <row r="25" spans="1:47" ht="15.6" thickBot="1">
      <c r="A25" s="342"/>
      <c r="B25" s="400"/>
      <c r="C25" s="346"/>
      <c r="E25" s="346"/>
      <c r="F25" s="346"/>
      <c r="G25" s="333"/>
      <c r="H25" s="346"/>
      <c r="I25" s="356">
        <f>SUM(I19:I24)</f>
        <v>2150000000</v>
      </c>
      <c r="J25" s="356"/>
      <c r="K25" s="356"/>
      <c r="L25" s="356"/>
      <c r="M25" s="356">
        <f>SUM(M19:M24)</f>
        <v>2142345159</v>
      </c>
      <c r="N25" s="333"/>
      <c r="O25" s="346"/>
      <c r="P25" s="333"/>
      <c r="Q25" s="352">
        <f>SUM(Q19:Q24)</f>
        <v>2142345159</v>
      </c>
      <c r="R25" s="333"/>
      <c r="S25" s="357">
        <f>SUM(S19:S24)</f>
        <v>1</v>
      </c>
      <c r="T25" s="346"/>
      <c r="V25" s="346"/>
      <c r="W25" s="530">
        <f>ROUND(SUM(W19:W24),4)</f>
        <v>4.58E-2</v>
      </c>
      <c r="X25" s="589" t="s">
        <v>307</v>
      </c>
      <c r="Y25" s="332"/>
      <c r="AQ25" s="338"/>
      <c r="AS25" s="338"/>
    </row>
    <row r="26" spans="1:47" ht="15.6" thickTop="1">
      <c r="A26" s="321"/>
      <c r="C26" s="346"/>
      <c r="D26" s="346"/>
      <c r="E26" s="346"/>
      <c r="F26" s="346"/>
      <c r="G26" s="346"/>
      <c r="H26" s="346"/>
      <c r="I26" s="346"/>
      <c r="J26" s="346"/>
      <c r="K26" s="346"/>
      <c r="L26" s="346"/>
      <c r="M26" s="346"/>
      <c r="N26" s="346"/>
      <c r="O26" s="346"/>
      <c r="P26" s="346"/>
      <c r="Q26" s="358"/>
      <c r="R26" s="346"/>
      <c r="S26" s="346"/>
      <c r="T26" s="346"/>
      <c r="U26" s="346"/>
      <c r="V26" s="346"/>
      <c r="W26" s="357"/>
      <c r="X26" s="346"/>
      <c r="Y26" s="359"/>
      <c r="Z26" s="346"/>
      <c r="AA26" s="332"/>
      <c r="AQ26" s="338"/>
      <c r="AS26" s="338"/>
    </row>
    <row r="27" spans="1:47">
      <c r="A27" s="321"/>
      <c r="C27" s="346"/>
      <c r="D27" s="346"/>
      <c r="E27" s="346"/>
      <c r="F27" s="346"/>
      <c r="G27" s="346"/>
      <c r="H27" s="346"/>
      <c r="I27" s="346"/>
      <c r="J27" s="346"/>
      <c r="K27" s="346"/>
      <c r="L27" s="346"/>
      <c r="M27" s="346"/>
      <c r="N27" s="346"/>
      <c r="O27" s="346"/>
      <c r="P27" s="346"/>
      <c r="Q27" s="358"/>
      <c r="R27" s="346"/>
      <c r="S27" s="346"/>
      <c r="T27" s="346"/>
      <c r="U27" s="346"/>
      <c r="V27" s="346"/>
      <c r="W27" s="357"/>
      <c r="X27" s="346"/>
      <c r="Y27" s="359"/>
      <c r="Z27" s="346"/>
      <c r="AQ27" s="338"/>
      <c r="AS27" s="338"/>
    </row>
    <row r="28" spans="1:47">
      <c r="A28" s="321"/>
      <c r="B28" s="180" t="s">
        <v>308</v>
      </c>
      <c r="C28" s="346"/>
      <c r="D28" s="346"/>
      <c r="E28" s="346"/>
      <c r="F28" s="346"/>
      <c r="G28" s="346"/>
      <c r="H28" s="346"/>
      <c r="I28" s="346"/>
      <c r="J28" s="346"/>
      <c r="K28" s="346"/>
      <c r="L28" s="346"/>
      <c r="M28" s="346"/>
      <c r="N28" s="346"/>
      <c r="O28" s="346"/>
      <c r="P28" s="346"/>
      <c r="Q28" s="346"/>
      <c r="R28" s="346"/>
      <c r="S28" s="346"/>
      <c r="T28" s="346"/>
      <c r="U28" s="346"/>
      <c r="V28" s="346"/>
      <c r="W28" s="357"/>
      <c r="X28" s="346"/>
      <c r="Y28" s="359"/>
      <c r="Z28" s="346"/>
      <c r="AQ28" s="338"/>
      <c r="AS28" s="338"/>
    </row>
    <row r="29" spans="1:47">
      <c r="A29" s="321"/>
      <c r="B29" s="180" t="s">
        <v>309</v>
      </c>
      <c r="C29" s="346"/>
      <c r="D29" s="346"/>
      <c r="E29" s="346"/>
      <c r="F29" s="346"/>
      <c r="G29" s="346"/>
      <c r="H29" s="346"/>
      <c r="I29" s="346"/>
      <c r="J29" s="346"/>
      <c r="K29" s="346"/>
      <c r="L29" s="346"/>
      <c r="M29" s="346"/>
      <c r="N29" s="346"/>
      <c r="O29" s="346"/>
      <c r="P29" s="346"/>
      <c r="Q29" s="346"/>
      <c r="R29" s="346"/>
      <c r="S29" s="346"/>
      <c r="T29" s="346"/>
      <c r="U29" s="346"/>
      <c r="V29" s="346"/>
      <c r="W29" s="357"/>
      <c r="X29" s="346"/>
      <c r="Y29" s="359"/>
      <c r="Z29" s="346"/>
      <c r="AQ29" s="338"/>
      <c r="AS29" s="338"/>
    </row>
    <row r="30" spans="1:47">
      <c r="A30" s="321"/>
      <c r="B30" s="398" t="s">
        <v>310</v>
      </c>
      <c r="C30" s="346"/>
      <c r="D30" s="346"/>
      <c r="E30" s="346"/>
      <c r="F30" s="346"/>
      <c r="G30" s="346"/>
      <c r="H30" s="346"/>
      <c r="I30" s="346"/>
      <c r="J30" s="346"/>
      <c r="K30" s="346"/>
      <c r="L30" s="346"/>
      <c r="M30" s="346"/>
      <c r="N30" s="346"/>
      <c r="O30" s="346"/>
      <c r="P30" s="346"/>
      <c r="Q30" s="346"/>
      <c r="R30" s="346"/>
      <c r="S30" s="346"/>
      <c r="T30" s="346"/>
      <c r="U30" s="346"/>
      <c r="V30" s="346"/>
      <c r="W30" s="346"/>
      <c r="X30" s="346"/>
      <c r="Y30" s="359"/>
      <c r="Z30" s="346"/>
    </row>
    <row r="31" spans="1:47">
      <c r="A31" s="321"/>
      <c r="B31" s="398" t="s">
        <v>311</v>
      </c>
      <c r="C31" s="346"/>
      <c r="D31" s="346"/>
      <c r="E31" s="346"/>
      <c r="F31" s="346"/>
      <c r="G31" s="346"/>
      <c r="H31" s="346"/>
      <c r="I31" s="346"/>
      <c r="J31" s="346"/>
      <c r="K31" s="346"/>
      <c r="L31" s="346"/>
      <c r="M31" s="346"/>
      <c r="N31" s="346"/>
      <c r="O31" s="346"/>
      <c r="P31" s="346"/>
      <c r="Q31" s="346"/>
      <c r="R31" s="346"/>
      <c r="S31" s="346"/>
      <c r="T31" s="346"/>
      <c r="U31" s="346"/>
      <c r="V31" s="346"/>
      <c r="W31" s="346"/>
      <c r="X31" s="346"/>
      <c r="Y31" s="359"/>
      <c r="Z31" s="346"/>
    </row>
    <row r="32" spans="1:47">
      <c r="A32" s="360"/>
      <c r="B32" s="399" t="s">
        <v>312</v>
      </c>
      <c r="C32" s="361"/>
      <c r="D32" s="361"/>
      <c r="E32" s="361"/>
      <c r="F32" s="361"/>
      <c r="G32" s="361"/>
      <c r="H32" s="361"/>
      <c r="I32" s="361"/>
      <c r="J32" s="361"/>
      <c r="K32" s="361"/>
      <c r="L32" s="361"/>
      <c r="M32" s="361"/>
      <c r="N32" s="361"/>
      <c r="O32" s="361"/>
      <c r="P32" s="361"/>
      <c r="Q32" s="361"/>
      <c r="R32" s="361"/>
      <c r="S32" s="361"/>
      <c r="T32" s="361"/>
      <c r="U32" s="361"/>
      <c r="V32" s="361"/>
      <c r="W32" s="361"/>
      <c r="X32" s="361"/>
      <c r="Y32" s="362"/>
      <c r="Z32" s="346"/>
    </row>
    <row r="33" spans="1:43">
      <c r="A33" s="360"/>
      <c r="B33" s="399" t="s">
        <v>928</v>
      </c>
      <c r="C33" s="361"/>
      <c r="D33" s="361"/>
      <c r="E33" s="361"/>
      <c r="F33" s="361"/>
      <c r="G33" s="361"/>
      <c r="H33" s="361"/>
      <c r="I33" s="361"/>
      <c r="J33" s="361"/>
      <c r="K33" s="361"/>
      <c r="L33" s="361"/>
      <c r="M33" s="361"/>
      <c r="N33" s="361"/>
      <c r="O33" s="361"/>
      <c r="P33" s="361"/>
      <c r="Q33" s="361"/>
      <c r="R33" s="361"/>
      <c r="S33" s="361"/>
      <c r="T33" s="361"/>
      <c r="U33" s="361"/>
      <c r="V33" s="361"/>
      <c r="W33" s="361"/>
      <c r="X33" s="361"/>
      <c r="Y33" s="362"/>
      <c r="Z33" s="346"/>
    </row>
    <row r="34" spans="1:43">
      <c r="B34" s="357"/>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row>
    <row r="35" spans="1:43">
      <c r="B35" s="357"/>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row>
    <row r="36" spans="1:43" ht="15.6">
      <c r="B36" s="181"/>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61"/>
      <c r="AA36" s="363"/>
    </row>
    <row r="37" spans="1:43" ht="15.6">
      <c r="A37" s="319"/>
      <c r="B37" s="182" t="s">
        <v>313</v>
      </c>
      <c r="C37" s="364"/>
      <c r="D37" s="364"/>
      <c r="E37" s="364"/>
      <c r="F37" s="364"/>
      <c r="G37" s="364"/>
      <c r="H37" s="364"/>
      <c r="I37" s="364"/>
      <c r="J37" s="364"/>
      <c r="K37" s="364"/>
      <c r="L37" s="364"/>
      <c r="M37" s="364"/>
      <c r="N37" s="364"/>
      <c r="O37" s="364"/>
      <c r="P37" s="364"/>
      <c r="Q37" s="365"/>
      <c r="R37" s="364"/>
      <c r="S37" s="364"/>
      <c r="T37" s="364"/>
      <c r="U37" s="364"/>
      <c r="V37" s="364"/>
      <c r="W37" s="364"/>
      <c r="X37" s="346"/>
      <c r="Y37" s="366"/>
    </row>
    <row r="38" spans="1:43" ht="16.2" thickBot="1">
      <c r="A38" s="321"/>
      <c r="B38" s="179"/>
      <c r="C38" s="346"/>
      <c r="D38" s="346"/>
      <c r="E38" s="346"/>
      <c r="F38" s="346"/>
      <c r="G38" s="346"/>
      <c r="H38" s="346"/>
      <c r="I38" s="346"/>
      <c r="J38" s="346"/>
      <c r="K38" s="346"/>
      <c r="L38" s="346"/>
      <c r="M38" s="346"/>
      <c r="N38" s="346"/>
      <c r="O38" s="346"/>
      <c r="P38" s="346"/>
      <c r="Q38" s="359"/>
      <c r="R38" s="346"/>
      <c r="S38" s="346"/>
      <c r="T38" s="346"/>
      <c r="U38" s="346"/>
      <c r="V38" s="346"/>
      <c r="W38" s="346"/>
      <c r="X38" s="346"/>
      <c r="Y38" s="332"/>
    </row>
    <row r="39" spans="1:43" ht="16.2" thickBot="1">
      <c r="A39" s="321"/>
      <c r="B39" s="324" t="s">
        <v>284</v>
      </c>
      <c r="C39" s="325">
        <f>C9</f>
        <v>45291</v>
      </c>
      <c r="D39" s="346"/>
      <c r="E39" s="346"/>
      <c r="F39" s="346"/>
      <c r="G39" s="346"/>
      <c r="H39" s="346"/>
      <c r="I39" s="346"/>
      <c r="J39" s="346"/>
      <c r="K39" s="346"/>
      <c r="L39" s="346"/>
      <c r="M39" s="346"/>
      <c r="N39" s="346"/>
      <c r="O39" s="346"/>
      <c r="P39" s="346"/>
      <c r="Q39" s="359"/>
      <c r="R39" s="346"/>
      <c r="S39" s="346"/>
      <c r="T39" s="346"/>
      <c r="U39" s="346"/>
      <c r="V39" s="346"/>
      <c r="W39" s="346"/>
      <c r="X39" s="346"/>
      <c r="Y39" s="332"/>
    </row>
    <row r="40" spans="1:43" s="178" customFormat="1" ht="15.6">
      <c r="A40" s="327"/>
      <c r="D40" s="328" t="s">
        <v>314</v>
      </c>
      <c r="G40" s="328" t="s">
        <v>315</v>
      </c>
      <c r="I40" s="328" t="s">
        <v>316</v>
      </c>
      <c r="K40" s="328" t="s">
        <v>317</v>
      </c>
      <c r="M40" s="328" t="s">
        <v>318</v>
      </c>
      <c r="O40" s="328" t="s">
        <v>319</v>
      </c>
      <c r="Q40" s="329" t="s">
        <v>320</v>
      </c>
      <c r="S40" s="328" t="s">
        <v>321</v>
      </c>
      <c r="U40" s="328" t="s">
        <v>322</v>
      </c>
      <c r="W40" s="178" t="s">
        <v>323</v>
      </c>
      <c r="Y40" s="329" t="s">
        <v>324</v>
      </c>
      <c r="AO40" s="367"/>
      <c r="AQ40" s="367"/>
    </row>
    <row r="41" spans="1:43" ht="15.6">
      <c r="A41" s="321"/>
      <c r="B41" s="181"/>
      <c r="K41" s="330" t="s">
        <v>325</v>
      </c>
      <c r="L41" s="330"/>
      <c r="O41" s="330" t="s">
        <v>326</v>
      </c>
      <c r="Q41" s="332"/>
      <c r="S41" s="330" t="s">
        <v>286</v>
      </c>
      <c r="Y41" s="368" t="s">
        <v>327</v>
      </c>
      <c r="Z41" s="330"/>
      <c r="AB41" s="330"/>
      <c r="AC41" s="330"/>
      <c r="AD41" s="330"/>
      <c r="AE41" s="330"/>
    </row>
    <row r="42" spans="1:43">
      <c r="A42" s="321"/>
      <c r="D42" s="330" t="s">
        <v>328</v>
      </c>
      <c r="E42" s="330"/>
      <c r="F42" s="330"/>
      <c r="G42" s="330" t="s">
        <v>329</v>
      </c>
      <c r="H42" s="330"/>
      <c r="I42" s="330" t="s">
        <v>8</v>
      </c>
      <c r="J42" s="330"/>
      <c r="K42" s="330" t="s">
        <v>330</v>
      </c>
      <c r="L42" s="330"/>
      <c r="M42" s="330" t="s">
        <v>331</v>
      </c>
      <c r="N42" s="330"/>
      <c r="O42" s="330" t="s">
        <v>332</v>
      </c>
      <c r="Q42" s="368" t="s">
        <v>286</v>
      </c>
      <c r="R42" s="330"/>
      <c r="S42" s="330" t="s">
        <v>333</v>
      </c>
      <c r="T42" s="330"/>
      <c r="U42" s="330" t="s">
        <v>334</v>
      </c>
      <c r="V42" s="330"/>
      <c r="W42" s="330" t="s">
        <v>335</v>
      </c>
      <c r="X42" s="330"/>
      <c r="Y42" s="368" t="s">
        <v>336</v>
      </c>
      <c r="Z42" s="330"/>
      <c r="AB42" s="330"/>
      <c r="AD42" s="330"/>
      <c r="AE42" s="331"/>
      <c r="AF42" s="330"/>
    </row>
    <row r="43" spans="1:43" ht="15.6">
      <c r="A43" s="321"/>
      <c r="B43" s="179" t="s">
        <v>337</v>
      </c>
      <c r="C43" s="318" t="s">
        <v>338</v>
      </c>
      <c r="D43" s="330" t="s">
        <v>339</v>
      </c>
      <c r="E43" s="336"/>
      <c r="F43" s="336"/>
      <c r="G43" s="330" t="s">
        <v>339</v>
      </c>
      <c r="H43" s="336"/>
      <c r="I43" s="330" t="s">
        <v>340</v>
      </c>
      <c r="J43" s="336"/>
      <c r="K43" s="330" t="s">
        <v>341</v>
      </c>
      <c r="L43" s="336"/>
      <c r="M43" s="330" t="s">
        <v>342</v>
      </c>
      <c r="N43" s="330"/>
      <c r="O43" s="330" t="s">
        <v>343</v>
      </c>
      <c r="Q43" s="368" t="s">
        <v>333</v>
      </c>
      <c r="R43" s="330"/>
      <c r="S43" s="330" t="s">
        <v>344</v>
      </c>
      <c r="T43" s="336"/>
      <c r="U43" s="330" t="s">
        <v>345</v>
      </c>
      <c r="V43" s="336"/>
      <c r="W43" s="330" t="s">
        <v>346</v>
      </c>
      <c r="X43" s="336"/>
      <c r="Y43" s="368" t="s">
        <v>347</v>
      </c>
      <c r="Z43" s="330"/>
      <c r="AB43" s="330"/>
      <c r="AD43" s="330"/>
      <c r="AE43" s="331"/>
      <c r="AF43" s="330"/>
    </row>
    <row r="44" spans="1:43" ht="37.5" customHeight="1">
      <c r="A44" s="321"/>
      <c r="D44" s="330"/>
      <c r="E44" s="336"/>
      <c r="F44" s="336"/>
      <c r="G44" s="330"/>
      <c r="H44" s="336"/>
      <c r="I44" s="330"/>
      <c r="J44" s="336"/>
      <c r="K44" s="330"/>
      <c r="L44" s="336"/>
      <c r="M44" s="330"/>
      <c r="N44" s="330"/>
      <c r="O44" s="330"/>
      <c r="Q44" s="579" t="s">
        <v>1029</v>
      </c>
      <c r="R44" s="330"/>
      <c r="S44" s="947" t="s">
        <v>1043</v>
      </c>
      <c r="T44" s="336"/>
      <c r="U44" s="330" t="s">
        <v>1057</v>
      </c>
      <c r="V44" s="336"/>
      <c r="W44" s="330" t="s">
        <v>1044</v>
      </c>
      <c r="X44" s="336"/>
      <c r="Y44" s="368"/>
      <c r="Z44" s="330"/>
      <c r="AB44" s="330"/>
      <c r="AD44" s="330"/>
      <c r="AE44" s="331"/>
      <c r="AF44" s="330"/>
    </row>
    <row r="45" spans="1:43">
      <c r="A45" s="321"/>
      <c r="B45" s="350"/>
      <c r="D45" s="330"/>
      <c r="E45" s="336"/>
      <c r="F45" s="336"/>
      <c r="G45" s="330"/>
      <c r="H45" s="336"/>
      <c r="I45" s="330"/>
      <c r="J45" s="336"/>
      <c r="K45" s="330"/>
      <c r="L45" s="336"/>
      <c r="M45" s="330"/>
      <c r="N45" s="330"/>
      <c r="O45" s="330"/>
      <c r="Q45" s="369"/>
      <c r="R45" s="330"/>
      <c r="S45" s="330"/>
      <c r="T45" s="336"/>
      <c r="U45" s="330"/>
      <c r="V45" s="336"/>
      <c r="W45" s="330"/>
      <c r="X45" s="336"/>
      <c r="Y45" s="368"/>
      <c r="Z45" s="330"/>
      <c r="AB45" s="330"/>
      <c r="AD45" s="330"/>
      <c r="AE45" s="330"/>
      <c r="AF45" s="330"/>
    </row>
    <row r="46" spans="1:43">
      <c r="A46" s="370" t="str">
        <f t="shared" ref="A46:B51" si="6">A19</f>
        <v>(1)</v>
      </c>
      <c r="B46" s="943" t="str">
        <f t="shared" si="6"/>
        <v>6.40% Series</v>
      </c>
      <c r="C46" s="405"/>
      <c r="D46" s="944">
        <f>D19</f>
        <v>38849</v>
      </c>
      <c r="E46" s="405"/>
      <c r="F46" s="405"/>
      <c r="G46" s="944">
        <f>G19</f>
        <v>49810</v>
      </c>
      <c r="H46" s="405"/>
      <c r="I46" s="344">
        <v>200000000</v>
      </c>
      <c r="J46" s="405"/>
      <c r="K46" s="344">
        <v>-1216000</v>
      </c>
      <c r="L46" s="405"/>
      <c r="M46" s="344">
        <v>2346873</v>
      </c>
      <c r="N46" s="371"/>
      <c r="O46" s="945"/>
      <c r="Q46" s="372">
        <f t="shared" ref="Q46:Q51" si="7">+I46+K46-M46-O46</f>
        <v>196437127</v>
      </c>
      <c r="R46" s="371"/>
      <c r="S46" s="373">
        <f t="shared" ref="S46:S51" si="8">(Q46/I46)*100</f>
        <v>98.218563500000002</v>
      </c>
      <c r="U46" s="950">
        <v>6.4000000000000001E-2</v>
      </c>
      <c r="W46" s="333">
        <f t="shared" ref="W46:W51" si="9">U46*I46</f>
        <v>12800000</v>
      </c>
      <c r="Y46" s="374">
        <f>YIELD(D46,G46,U46,S46,100,2,0)</f>
        <v>6.5361422441773148E-2</v>
      </c>
      <c r="Z46" s="375"/>
      <c r="AB46" s="375"/>
      <c r="AD46" s="376"/>
      <c r="AE46" s="357"/>
      <c r="AF46" s="357"/>
    </row>
    <row r="47" spans="1:43">
      <c r="A47" s="370" t="str">
        <f t="shared" si="6"/>
        <v>(2)</v>
      </c>
      <c r="B47" s="943" t="str">
        <f t="shared" si="6"/>
        <v>6.15% Series</v>
      </c>
      <c r="C47" s="405"/>
      <c r="D47" s="944">
        <f>D20</f>
        <v>39223</v>
      </c>
      <c r="E47" s="405"/>
      <c r="F47" s="405"/>
      <c r="G47" s="944">
        <f>G20</f>
        <v>50192</v>
      </c>
      <c r="H47" s="405"/>
      <c r="I47" s="344">
        <v>300000000</v>
      </c>
      <c r="J47" s="405"/>
      <c r="K47" s="344">
        <v>-3693000</v>
      </c>
      <c r="L47" s="405"/>
      <c r="M47" s="344">
        <v>327221</v>
      </c>
      <c r="O47" s="946"/>
      <c r="Q47" s="372">
        <f t="shared" si="7"/>
        <v>295979779</v>
      </c>
      <c r="S47" s="373">
        <f t="shared" si="8"/>
        <v>98.659926333333331</v>
      </c>
      <c r="U47" s="950">
        <v>6.1499999999999999E-2</v>
      </c>
      <c r="W47" s="333">
        <f t="shared" si="9"/>
        <v>18450000</v>
      </c>
      <c r="Y47" s="374">
        <f t="shared" ref="Y47:Y51" si="10">YIELD(D47,G47,U47,S47,100,2,0)</f>
        <v>6.2492248565363506E-2</v>
      </c>
    </row>
    <row r="48" spans="1:43">
      <c r="A48" s="370" t="str">
        <f t="shared" si="6"/>
        <v>(3)</v>
      </c>
      <c r="B48" s="943" t="str">
        <f t="shared" si="6"/>
        <v>4.30% Series</v>
      </c>
      <c r="C48" s="405"/>
      <c r="D48" s="944">
        <f t="shared" ref="D48" si="11">D21</f>
        <v>43504</v>
      </c>
      <c r="E48" s="405"/>
      <c r="F48" s="405"/>
      <c r="G48" s="944">
        <f t="shared" ref="G48" si="12">G21</f>
        <v>46037</v>
      </c>
      <c r="H48" s="405"/>
      <c r="I48" s="344">
        <v>400000000</v>
      </c>
      <c r="J48" s="405"/>
      <c r="K48" s="344">
        <v>5884000</v>
      </c>
      <c r="L48" s="405"/>
      <c r="M48" s="344">
        <v>3020247</v>
      </c>
      <c r="O48" s="946"/>
      <c r="Q48" s="372">
        <f t="shared" si="7"/>
        <v>402863753</v>
      </c>
      <c r="S48" s="373">
        <f t="shared" si="8"/>
        <v>100.71593825000001</v>
      </c>
      <c r="U48" s="950">
        <v>4.2999999999999997E-2</v>
      </c>
      <c r="W48" s="333">
        <f t="shared" si="9"/>
        <v>17200000</v>
      </c>
      <c r="Y48" s="374">
        <f t="shared" si="10"/>
        <v>4.1796158261677333E-2</v>
      </c>
    </row>
    <row r="49" spans="1:33">
      <c r="A49" s="370" t="str">
        <f t="shared" si="6"/>
        <v>(4)</v>
      </c>
      <c r="B49" s="943" t="str">
        <f t="shared" si="6"/>
        <v>4.70% Series</v>
      </c>
      <c r="C49" s="405"/>
      <c r="D49" s="944">
        <f>D22</f>
        <v>41507</v>
      </c>
      <c r="E49" s="405"/>
      <c r="F49" s="405"/>
      <c r="G49" s="944">
        <f>G22</f>
        <v>45383</v>
      </c>
      <c r="H49" s="405"/>
      <c r="I49" s="344">
        <v>500000000</v>
      </c>
      <c r="J49" s="405"/>
      <c r="K49" s="344">
        <v>-2595000</v>
      </c>
      <c r="L49" s="405"/>
      <c r="M49" s="344">
        <v>4207350</v>
      </c>
      <c r="N49" s="377"/>
      <c r="O49" s="945"/>
      <c r="Q49" s="372">
        <f t="shared" si="7"/>
        <v>493197650</v>
      </c>
      <c r="R49" s="377"/>
      <c r="S49" s="373">
        <f t="shared" si="8"/>
        <v>98.639529999999993</v>
      </c>
      <c r="U49" s="950">
        <v>4.7E-2</v>
      </c>
      <c r="W49" s="333">
        <f t="shared" si="9"/>
        <v>23500000</v>
      </c>
      <c r="Y49" s="374">
        <f t="shared" si="10"/>
        <v>4.8650643693493568E-2</v>
      </c>
      <c r="AE49" s="357"/>
    </row>
    <row r="50" spans="1:33">
      <c r="A50" s="370" t="str">
        <f>A23</f>
        <v>(5)</v>
      </c>
      <c r="B50" s="943" t="str">
        <f t="shared" si="6"/>
        <v>4.30% Series</v>
      </c>
      <c r="C50" s="405"/>
      <c r="D50" s="944">
        <f>D23</f>
        <v>42234</v>
      </c>
      <c r="E50" s="405"/>
      <c r="F50" s="405"/>
      <c r="G50" s="944">
        <f>G23</f>
        <v>46037</v>
      </c>
      <c r="H50" s="405"/>
      <c r="I50" s="344">
        <v>250000000</v>
      </c>
      <c r="J50" s="405"/>
      <c r="K50" s="344">
        <v>-800000</v>
      </c>
      <c r="L50" s="405"/>
      <c r="M50" s="344">
        <v>2113488.41</v>
      </c>
      <c r="N50" s="377"/>
      <c r="O50" s="945"/>
      <c r="Q50" s="372">
        <f t="shared" si="7"/>
        <v>247086511.59</v>
      </c>
      <c r="R50" s="377"/>
      <c r="S50" s="373">
        <f t="shared" si="8"/>
        <v>98.834604635999995</v>
      </c>
      <c r="U50" s="950">
        <v>4.2999999999999997E-2</v>
      </c>
      <c r="W50" s="333">
        <f t="shared" si="9"/>
        <v>10750000</v>
      </c>
      <c r="Y50" s="374">
        <f t="shared" si="10"/>
        <v>4.440619198748836E-2</v>
      </c>
      <c r="AE50" s="357"/>
    </row>
    <row r="51" spans="1:33" ht="16.8">
      <c r="A51" s="370" t="str">
        <f>A24</f>
        <v>(6)</v>
      </c>
      <c r="B51" s="943" t="str">
        <f t="shared" si="6"/>
        <v>2.75% Series</v>
      </c>
      <c r="C51" s="405"/>
      <c r="D51" s="944">
        <f>D24</f>
        <v>44357</v>
      </c>
      <c r="E51" s="405"/>
      <c r="F51" s="405"/>
      <c r="G51" s="944">
        <f>G24</f>
        <v>48274</v>
      </c>
      <c r="H51" s="405"/>
      <c r="I51" s="378">
        <v>500000000</v>
      </c>
      <c r="J51" s="405"/>
      <c r="K51" s="378">
        <v>-1370000</v>
      </c>
      <c r="L51" s="405"/>
      <c r="M51" s="378">
        <v>4509046</v>
      </c>
      <c r="N51" s="377"/>
      <c r="O51" s="945"/>
      <c r="Q51" s="558">
        <f t="shared" si="7"/>
        <v>494120954</v>
      </c>
      <c r="R51" s="377"/>
      <c r="S51" s="373">
        <f t="shared" si="8"/>
        <v>98.824190799999997</v>
      </c>
      <c r="U51" s="950">
        <v>2.75E-2</v>
      </c>
      <c r="W51" s="415">
        <f t="shared" si="9"/>
        <v>13750000</v>
      </c>
      <c r="Y51" s="374">
        <f t="shared" si="10"/>
        <v>2.8779367069923484E-2</v>
      </c>
      <c r="AE51" s="357"/>
    </row>
    <row r="52" spans="1:33">
      <c r="A52" s="321"/>
      <c r="B52" s="379" t="s">
        <v>348</v>
      </c>
      <c r="D52" s="380"/>
      <c r="G52" s="381"/>
      <c r="I52" s="382">
        <f>SUM(I46:I51)</f>
        <v>2150000000</v>
      </c>
      <c r="K52" s="377">
        <f>SUM(K46:K51)</f>
        <v>-3790000</v>
      </c>
      <c r="M52" s="382">
        <f>SUM(M46:M51)</f>
        <v>16524225.41</v>
      </c>
      <c r="N52" s="382"/>
      <c r="O52" s="377">
        <f>SUM(O46:O50)</f>
        <v>0</v>
      </c>
      <c r="Q52" s="383">
        <f>SUM(Q46:Q51)</f>
        <v>2129685774.5899999</v>
      </c>
      <c r="R52" s="382"/>
      <c r="W52" s="382">
        <f>SUM(W46:W51)</f>
        <v>96450000</v>
      </c>
      <c r="Y52" s="374"/>
      <c r="AC52" s="376"/>
      <c r="AE52" s="357"/>
    </row>
    <row r="53" spans="1:33">
      <c r="A53" s="321"/>
      <c r="B53" s="180" t="s">
        <v>349</v>
      </c>
      <c r="D53" s="380"/>
      <c r="G53" s="381"/>
      <c r="I53" s="377"/>
      <c r="K53" s="377"/>
      <c r="M53" s="377"/>
      <c r="N53" s="377"/>
      <c r="O53" s="377"/>
      <c r="P53" s="377"/>
      <c r="Q53" s="332"/>
      <c r="U53" s="377"/>
      <c r="W53" s="377"/>
      <c r="Y53" s="384"/>
      <c r="AC53" s="376"/>
      <c r="AE53" s="357"/>
      <c r="AG53" s="333"/>
    </row>
    <row r="54" spans="1:33" ht="16.2">
      <c r="A54" s="360"/>
      <c r="B54" s="399" t="s">
        <v>509</v>
      </c>
      <c r="C54" s="363"/>
      <c r="D54" s="363"/>
      <c r="E54" s="363"/>
      <c r="F54" s="363"/>
      <c r="G54" s="363"/>
      <c r="H54" s="363"/>
      <c r="I54" s="363"/>
      <c r="J54" s="363"/>
      <c r="K54" s="363"/>
      <c r="L54" s="363"/>
      <c r="M54" s="385"/>
      <c r="N54" s="385"/>
      <c r="O54" s="385"/>
      <c r="P54" s="385"/>
      <c r="Q54" s="386"/>
      <c r="R54" s="363"/>
      <c r="S54" s="363"/>
      <c r="T54" s="363"/>
      <c r="U54" s="363"/>
      <c r="V54" s="363"/>
      <c r="W54" s="363"/>
      <c r="X54" s="363"/>
      <c r="Y54" s="387"/>
    </row>
    <row r="55" spans="1:33">
      <c r="A55" s="360"/>
      <c r="B55" s="399"/>
      <c r="C55" s="363"/>
      <c r="D55" s="363"/>
      <c r="E55" s="363"/>
      <c r="F55" s="363"/>
      <c r="G55" s="363"/>
      <c r="H55" s="363"/>
      <c r="I55" s="363"/>
      <c r="J55" s="363"/>
      <c r="K55" s="363"/>
      <c r="L55" s="363"/>
      <c r="M55" s="385"/>
      <c r="N55" s="385"/>
      <c r="O55" s="385"/>
      <c r="P55" s="385"/>
      <c r="Q55" s="386"/>
      <c r="Y55" s="375"/>
    </row>
    <row r="56" spans="1:33">
      <c r="B56" s="357"/>
      <c r="M56" s="388"/>
      <c r="N56" s="388"/>
      <c r="O56" s="388"/>
      <c r="P56" s="388"/>
      <c r="Q56" s="388"/>
      <c r="R56" s="388"/>
      <c r="Y56" s="353"/>
    </row>
    <row r="57" spans="1:33" ht="17.399999999999999">
      <c r="B57" s="389"/>
      <c r="M57" s="390"/>
      <c r="N57" s="390"/>
      <c r="O57" s="390"/>
      <c r="P57" s="390"/>
      <c r="Q57" s="390"/>
      <c r="R57" s="390"/>
      <c r="Y57" s="377"/>
    </row>
    <row r="58" spans="1:33">
      <c r="Y58" s="377"/>
      <c r="AA58" s="353"/>
    </row>
    <row r="59" spans="1:33">
      <c r="D59" s="377"/>
      <c r="G59" s="377"/>
      <c r="M59" s="377"/>
      <c r="N59" s="377"/>
      <c r="O59" s="377"/>
      <c r="P59" s="377"/>
      <c r="Q59" s="377"/>
      <c r="R59" s="377"/>
      <c r="W59" s="391"/>
      <c r="Y59" s="377"/>
    </row>
    <row r="60" spans="1:33">
      <c r="W60" s="391"/>
    </row>
    <row r="61" spans="1:33">
      <c r="D61" s="392"/>
      <c r="G61" s="392"/>
      <c r="M61" s="392"/>
      <c r="N61" s="392"/>
      <c r="O61" s="392"/>
      <c r="P61" s="392"/>
      <c r="Q61" s="392"/>
      <c r="R61" s="392"/>
      <c r="W61" s="391"/>
      <c r="Y61" s="392"/>
    </row>
    <row r="62" spans="1:33">
      <c r="B62" s="357"/>
    </row>
    <row r="63" spans="1:33">
      <c r="B63" s="357"/>
    </row>
    <row r="65" spans="2:26">
      <c r="B65" s="393"/>
      <c r="D65" s="371"/>
    </row>
    <row r="66" spans="2:26">
      <c r="B66" s="393"/>
      <c r="D66" s="371"/>
    </row>
    <row r="67" spans="2:26" ht="15.6">
      <c r="B67" s="394"/>
      <c r="C67" s="176"/>
      <c r="D67" s="176"/>
      <c r="E67" s="176"/>
      <c r="F67" s="176"/>
      <c r="G67" s="176"/>
      <c r="H67" s="176"/>
      <c r="I67" s="176"/>
      <c r="J67" s="176"/>
      <c r="K67" s="176"/>
    </row>
    <row r="68" spans="2:26">
      <c r="D68" s="330"/>
      <c r="G68" s="330"/>
      <c r="I68" s="330"/>
      <c r="K68" s="330"/>
    </row>
    <row r="69" spans="2:26">
      <c r="D69" s="330"/>
      <c r="G69" s="330"/>
      <c r="I69" s="330"/>
      <c r="K69" s="330"/>
    </row>
    <row r="70" spans="2:26">
      <c r="D70" s="371"/>
      <c r="G70" s="395"/>
      <c r="I70" s="395"/>
      <c r="K70" s="395"/>
    </row>
    <row r="71" spans="2:26">
      <c r="D71" s="371"/>
      <c r="G71" s="395"/>
      <c r="I71" s="395"/>
    </row>
    <row r="72" spans="2:26">
      <c r="D72" s="371"/>
      <c r="G72" s="395"/>
      <c r="I72" s="395"/>
      <c r="K72" s="395"/>
    </row>
    <row r="73" spans="2:26">
      <c r="D73" s="371"/>
      <c r="G73" s="395"/>
      <c r="I73" s="395"/>
    </row>
    <row r="74" spans="2:26">
      <c r="D74" s="371"/>
      <c r="G74" s="395"/>
      <c r="I74" s="395"/>
      <c r="K74" s="395"/>
    </row>
    <row r="75" spans="2:26">
      <c r="D75" s="371"/>
      <c r="G75" s="395"/>
      <c r="I75" s="395"/>
    </row>
    <row r="76" spans="2:26" ht="15.6">
      <c r="D76" s="371"/>
      <c r="G76" s="395"/>
      <c r="K76" s="395"/>
      <c r="L76" s="176"/>
      <c r="M76" s="176"/>
      <c r="N76" s="176"/>
      <c r="O76" s="176"/>
      <c r="P76" s="176"/>
      <c r="Q76" s="176"/>
      <c r="R76" s="176"/>
      <c r="S76" s="176"/>
      <c r="T76" s="176"/>
      <c r="U76" s="176"/>
      <c r="V76" s="176"/>
      <c r="W76" s="176"/>
      <c r="X76" s="176"/>
      <c r="Y76" s="176"/>
      <c r="Z76" s="176"/>
    </row>
    <row r="77" spans="2:26" ht="15.6">
      <c r="D77" s="371"/>
      <c r="G77" s="395"/>
      <c r="K77" s="395"/>
      <c r="L77" s="176"/>
      <c r="M77" s="176"/>
      <c r="N77" s="176"/>
      <c r="O77" s="176"/>
      <c r="P77" s="176"/>
      <c r="Q77" s="176"/>
      <c r="R77" s="176"/>
      <c r="S77" s="176"/>
      <c r="T77" s="176"/>
      <c r="U77" s="176"/>
      <c r="V77" s="176"/>
      <c r="W77" s="176"/>
      <c r="X77" s="176"/>
      <c r="Y77" s="176"/>
      <c r="Z77" s="176"/>
    </row>
    <row r="78" spans="2:26" ht="15.6">
      <c r="D78" s="371"/>
      <c r="G78" s="395"/>
      <c r="K78" s="395"/>
      <c r="L78" s="176"/>
      <c r="M78" s="176"/>
      <c r="N78" s="176"/>
      <c r="O78" s="176"/>
      <c r="P78" s="176"/>
      <c r="Q78" s="176"/>
      <c r="R78" s="176"/>
      <c r="S78" s="176"/>
      <c r="T78" s="176"/>
      <c r="U78" s="176"/>
      <c r="V78" s="176"/>
      <c r="W78" s="176"/>
      <c r="X78" s="176"/>
      <c r="Y78" s="176"/>
      <c r="Z78" s="176"/>
    </row>
    <row r="79" spans="2:26" ht="15.6">
      <c r="D79" s="371"/>
      <c r="G79" s="395"/>
      <c r="K79" s="395"/>
      <c r="L79" s="176"/>
      <c r="M79" s="176"/>
      <c r="N79" s="176"/>
      <c r="O79" s="176"/>
      <c r="P79" s="176"/>
      <c r="Q79" s="176"/>
      <c r="R79" s="176"/>
      <c r="S79" s="176"/>
      <c r="T79" s="176"/>
      <c r="U79" s="176"/>
      <c r="V79" s="176"/>
      <c r="W79" s="176"/>
      <c r="X79" s="176"/>
      <c r="Y79" s="176"/>
      <c r="Z79" s="176"/>
    </row>
    <row r="80" spans="2:26" ht="15.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2:26" ht="15.6">
      <c r="B81" s="175"/>
    </row>
    <row r="82" spans="2:26" ht="15.6">
      <c r="B82" s="179"/>
      <c r="G82" s="330"/>
      <c r="H82" s="330"/>
      <c r="I82" s="330"/>
      <c r="J82" s="330"/>
      <c r="K82" s="330"/>
      <c r="L82" s="330"/>
      <c r="M82" s="330"/>
      <c r="N82" s="330"/>
      <c r="O82" s="330"/>
      <c r="P82" s="330"/>
      <c r="Q82" s="330"/>
      <c r="R82" s="330"/>
      <c r="S82" s="330"/>
      <c r="T82" s="330"/>
      <c r="U82" s="330"/>
      <c r="V82" s="330"/>
    </row>
    <row r="83" spans="2:26">
      <c r="D83" s="330"/>
      <c r="E83" s="330"/>
      <c r="F83" s="330"/>
      <c r="G83" s="330"/>
      <c r="H83" s="330"/>
      <c r="I83" s="330"/>
      <c r="J83" s="330"/>
      <c r="K83" s="330"/>
      <c r="L83" s="330"/>
      <c r="M83" s="330"/>
      <c r="N83" s="330"/>
      <c r="O83" s="330"/>
      <c r="P83" s="330"/>
      <c r="Q83" s="330"/>
      <c r="R83" s="330"/>
      <c r="S83" s="330"/>
      <c r="T83" s="330"/>
      <c r="U83" s="330"/>
      <c r="V83" s="330"/>
      <c r="W83" s="330"/>
      <c r="Y83" s="330"/>
      <c r="Z83" s="330"/>
    </row>
    <row r="84" spans="2:26">
      <c r="B84" s="340"/>
      <c r="D84" s="330"/>
      <c r="E84" s="330"/>
      <c r="F84" s="330"/>
      <c r="G84" s="330"/>
      <c r="H84" s="330"/>
      <c r="I84" s="330"/>
      <c r="J84" s="330"/>
      <c r="K84" s="330"/>
      <c r="L84" s="330"/>
      <c r="M84" s="330"/>
      <c r="N84" s="330"/>
      <c r="O84" s="330"/>
      <c r="P84" s="330"/>
      <c r="Q84" s="330"/>
      <c r="R84" s="330"/>
      <c r="S84" s="330"/>
      <c r="T84" s="330"/>
      <c r="U84" s="330"/>
      <c r="V84" s="330"/>
      <c r="W84" s="330"/>
      <c r="Y84" s="330"/>
      <c r="Z84" s="330"/>
    </row>
    <row r="85" spans="2:26">
      <c r="B85" s="340"/>
      <c r="D85" s="330"/>
      <c r="E85" s="330"/>
      <c r="F85" s="330"/>
      <c r="G85" s="330"/>
      <c r="H85" s="330"/>
      <c r="I85" s="330"/>
      <c r="J85" s="330"/>
      <c r="K85" s="330"/>
      <c r="L85" s="330"/>
      <c r="M85" s="330"/>
      <c r="N85" s="330"/>
      <c r="O85" s="330"/>
      <c r="P85" s="330"/>
      <c r="Q85" s="330"/>
      <c r="R85" s="330"/>
      <c r="S85" s="330"/>
      <c r="T85" s="330"/>
      <c r="U85" s="330"/>
      <c r="V85" s="330"/>
      <c r="W85" s="330"/>
      <c r="Y85" s="330"/>
      <c r="Z85" s="330"/>
    </row>
    <row r="86" spans="2:26">
      <c r="B86" s="357"/>
      <c r="D86" s="333"/>
      <c r="E86" s="333"/>
      <c r="F86" s="333"/>
      <c r="G86" s="333"/>
      <c r="H86" s="346"/>
      <c r="I86" s="333"/>
      <c r="J86" s="346"/>
      <c r="K86" s="346"/>
      <c r="L86" s="346"/>
      <c r="M86" s="346"/>
      <c r="N86" s="346"/>
      <c r="O86" s="346"/>
      <c r="P86" s="346"/>
      <c r="Q86" s="346"/>
      <c r="R86" s="346"/>
      <c r="W86" s="357"/>
      <c r="Y86" s="346"/>
      <c r="Z86" s="330"/>
    </row>
    <row r="87" spans="2:26">
      <c r="B87" s="357"/>
      <c r="D87" s="333"/>
      <c r="E87" s="333"/>
      <c r="F87" s="333"/>
      <c r="G87" s="333"/>
      <c r="H87" s="346"/>
      <c r="I87" s="333"/>
      <c r="J87" s="346"/>
      <c r="K87" s="346"/>
      <c r="L87" s="346"/>
      <c r="M87" s="346"/>
      <c r="N87" s="346"/>
      <c r="O87" s="346"/>
      <c r="P87" s="346"/>
      <c r="Q87" s="346"/>
      <c r="R87" s="346"/>
      <c r="W87" s="357"/>
      <c r="Y87" s="346"/>
      <c r="Z87" s="330"/>
    </row>
    <row r="88" spans="2:26">
      <c r="B88" s="357"/>
      <c r="D88" s="333"/>
      <c r="E88" s="333"/>
      <c r="F88" s="333"/>
      <c r="G88" s="333"/>
      <c r="H88" s="346"/>
      <c r="I88" s="333"/>
      <c r="J88" s="346"/>
      <c r="K88" s="346"/>
      <c r="L88" s="346"/>
      <c r="M88" s="346"/>
      <c r="N88" s="346"/>
      <c r="O88" s="346"/>
      <c r="P88" s="346"/>
      <c r="Q88" s="346"/>
      <c r="R88" s="346"/>
      <c r="W88" s="357"/>
      <c r="Y88" s="346"/>
      <c r="Z88" s="330"/>
    </row>
    <row r="89" spans="2:26">
      <c r="B89" s="326"/>
      <c r="D89" s="333"/>
      <c r="E89" s="333"/>
      <c r="F89" s="333"/>
      <c r="G89" s="333"/>
      <c r="H89" s="346"/>
      <c r="I89" s="333"/>
      <c r="J89" s="346"/>
      <c r="K89" s="346"/>
      <c r="L89" s="346"/>
      <c r="M89" s="346"/>
      <c r="N89" s="346"/>
      <c r="O89" s="346"/>
      <c r="P89" s="346"/>
      <c r="Q89" s="346"/>
      <c r="R89" s="346"/>
      <c r="W89" s="357"/>
      <c r="Y89" s="346"/>
      <c r="Z89" s="330"/>
    </row>
    <row r="90" spans="2:26">
      <c r="B90" s="326"/>
      <c r="D90" s="333"/>
      <c r="E90" s="333"/>
      <c r="F90" s="333"/>
      <c r="G90" s="333"/>
      <c r="H90" s="346"/>
      <c r="I90" s="333"/>
      <c r="J90" s="346"/>
      <c r="K90" s="346"/>
      <c r="L90" s="346"/>
      <c r="M90" s="346"/>
      <c r="N90" s="346"/>
      <c r="O90" s="346"/>
      <c r="P90" s="346"/>
      <c r="Q90" s="346"/>
      <c r="R90" s="346"/>
      <c r="W90" s="357"/>
      <c r="Y90" s="346"/>
      <c r="Z90" s="330"/>
    </row>
    <row r="91" spans="2:26">
      <c r="B91" s="350"/>
      <c r="D91" s="333"/>
      <c r="E91" s="333"/>
      <c r="F91" s="333"/>
      <c r="G91" s="333"/>
      <c r="H91" s="346"/>
      <c r="I91" s="333"/>
      <c r="J91" s="346"/>
      <c r="K91" s="346"/>
      <c r="L91" s="346"/>
      <c r="M91" s="346"/>
      <c r="N91" s="346"/>
      <c r="O91" s="346"/>
      <c r="P91" s="346"/>
      <c r="Q91" s="346"/>
      <c r="R91" s="346"/>
      <c r="W91" s="357"/>
      <c r="Y91" s="346"/>
      <c r="Z91" s="330"/>
    </row>
    <row r="92" spans="2:26">
      <c r="B92" s="357"/>
      <c r="D92" s="333"/>
      <c r="E92" s="333"/>
      <c r="F92" s="333"/>
      <c r="G92" s="333"/>
      <c r="H92" s="346"/>
      <c r="I92" s="333"/>
      <c r="J92" s="346"/>
      <c r="K92" s="346"/>
      <c r="L92" s="346"/>
      <c r="M92" s="346"/>
      <c r="N92" s="346"/>
      <c r="O92" s="346"/>
      <c r="P92" s="346"/>
      <c r="Q92" s="346"/>
      <c r="R92" s="346"/>
      <c r="W92" s="357"/>
      <c r="Y92" s="346"/>
      <c r="Z92" s="330"/>
    </row>
    <row r="93" spans="2:26">
      <c r="B93" s="357"/>
      <c r="D93" s="333"/>
      <c r="E93" s="333"/>
      <c r="F93" s="333"/>
      <c r="G93" s="333"/>
      <c r="H93" s="346"/>
      <c r="I93" s="333"/>
      <c r="J93" s="346"/>
      <c r="K93" s="346"/>
      <c r="L93" s="346"/>
      <c r="M93" s="346"/>
      <c r="N93" s="346"/>
      <c r="O93" s="346"/>
      <c r="P93" s="346"/>
      <c r="Q93" s="346"/>
      <c r="R93" s="346"/>
      <c r="W93" s="357"/>
      <c r="Y93" s="346"/>
      <c r="Z93" s="330"/>
    </row>
    <row r="94" spans="2:26">
      <c r="B94" s="357"/>
      <c r="D94" s="333"/>
      <c r="E94" s="333"/>
      <c r="F94" s="333"/>
      <c r="G94" s="333"/>
      <c r="H94" s="346"/>
      <c r="I94" s="333"/>
      <c r="J94" s="346"/>
      <c r="K94" s="346"/>
      <c r="L94" s="346"/>
      <c r="M94" s="346"/>
      <c r="N94" s="346"/>
      <c r="O94" s="346"/>
      <c r="P94" s="346"/>
      <c r="Q94" s="346"/>
      <c r="R94" s="346"/>
      <c r="W94" s="357"/>
      <c r="Y94" s="346"/>
      <c r="Z94" s="330"/>
    </row>
    <row r="95" spans="2:26">
      <c r="B95" s="357"/>
      <c r="D95" s="333"/>
      <c r="E95" s="333"/>
      <c r="F95" s="333"/>
      <c r="G95" s="333"/>
      <c r="H95" s="346"/>
      <c r="I95" s="333"/>
      <c r="J95" s="346"/>
      <c r="K95" s="346"/>
      <c r="L95" s="346"/>
      <c r="M95" s="346"/>
      <c r="N95" s="346"/>
      <c r="O95" s="346"/>
      <c r="P95" s="346"/>
      <c r="Q95" s="346"/>
      <c r="R95" s="346"/>
      <c r="W95" s="357"/>
      <c r="Y95" s="346"/>
      <c r="Z95" s="330"/>
    </row>
    <row r="96" spans="2:26">
      <c r="B96" s="357"/>
      <c r="D96" s="333"/>
      <c r="E96" s="333"/>
      <c r="F96" s="333"/>
      <c r="G96" s="333"/>
      <c r="H96" s="346"/>
      <c r="I96" s="333"/>
      <c r="J96" s="346"/>
      <c r="K96" s="346"/>
      <c r="L96" s="346"/>
      <c r="M96" s="346"/>
      <c r="N96" s="346"/>
      <c r="O96" s="346"/>
      <c r="P96" s="346"/>
      <c r="Q96" s="346"/>
      <c r="R96" s="346"/>
      <c r="W96" s="357"/>
      <c r="Y96" s="346"/>
      <c r="Z96" s="330"/>
    </row>
    <row r="97" spans="2:26">
      <c r="B97" s="357"/>
      <c r="D97" s="333"/>
      <c r="E97" s="333"/>
      <c r="F97" s="333"/>
      <c r="G97" s="333"/>
      <c r="H97" s="346"/>
      <c r="I97" s="333"/>
      <c r="J97" s="346"/>
      <c r="K97" s="346"/>
      <c r="L97" s="346"/>
      <c r="M97" s="346"/>
      <c r="N97" s="346"/>
      <c r="O97" s="346"/>
      <c r="P97" s="346"/>
      <c r="Q97" s="346"/>
      <c r="R97" s="346"/>
      <c r="W97" s="357"/>
      <c r="Y97" s="346"/>
      <c r="Z97" s="330"/>
    </row>
    <row r="98" spans="2:26">
      <c r="B98" s="357"/>
      <c r="D98" s="333"/>
      <c r="E98" s="333"/>
      <c r="F98" s="333"/>
      <c r="G98" s="333"/>
      <c r="H98" s="346"/>
      <c r="I98" s="333"/>
      <c r="J98" s="346"/>
      <c r="K98" s="346"/>
      <c r="L98" s="346"/>
      <c r="M98" s="346"/>
      <c r="N98" s="346"/>
      <c r="O98" s="346"/>
      <c r="P98" s="346"/>
      <c r="Q98" s="346"/>
      <c r="R98" s="346"/>
      <c r="W98" s="357"/>
      <c r="Y98" s="346"/>
      <c r="Z98" s="330"/>
    </row>
    <row r="99" spans="2:26">
      <c r="B99" s="357"/>
      <c r="D99" s="333"/>
      <c r="E99" s="333"/>
      <c r="F99" s="333"/>
      <c r="G99" s="333"/>
      <c r="H99" s="346"/>
      <c r="I99" s="333"/>
      <c r="J99" s="346"/>
      <c r="K99" s="346"/>
      <c r="L99" s="346"/>
      <c r="M99" s="346"/>
      <c r="N99" s="346"/>
      <c r="O99" s="346"/>
      <c r="P99" s="346"/>
      <c r="Q99" s="346"/>
      <c r="R99" s="346"/>
      <c r="W99" s="357"/>
      <c r="Y99" s="346"/>
      <c r="Z99" s="330"/>
    </row>
    <row r="100" spans="2:26">
      <c r="B100" s="357"/>
      <c r="D100" s="333"/>
      <c r="E100" s="333"/>
      <c r="F100" s="333"/>
      <c r="G100" s="333"/>
      <c r="H100" s="346"/>
      <c r="I100" s="333"/>
      <c r="J100" s="346"/>
      <c r="K100" s="346"/>
      <c r="L100" s="346"/>
      <c r="M100" s="346"/>
      <c r="N100" s="346"/>
      <c r="O100" s="346"/>
      <c r="P100" s="346"/>
      <c r="Q100" s="346"/>
      <c r="R100" s="346"/>
      <c r="W100" s="357"/>
      <c r="Y100" s="346"/>
      <c r="Z100" s="330"/>
    </row>
    <row r="101" spans="2:26">
      <c r="B101" s="357"/>
      <c r="D101" s="333"/>
      <c r="E101" s="333"/>
      <c r="F101" s="333"/>
      <c r="G101" s="333"/>
      <c r="H101" s="346"/>
      <c r="I101" s="333"/>
      <c r="J101" s="346"/>
      <c r="K101" s="346"/>
      <c r="L101" s="346"/>
      <c r="M101" s="346"/>
      <c r="N101" s="346"/>
      <c r="O101" s="346"/>
      <c r="P101" s="346"/>
      <c r="Q101" s="346"/>
      <c r="R101" s="346"/>
      <c r="W101" s="357"/>
      <c r="Y101" s="346"/>
      <c r="Z101" s="330"/>
    </row>
    <row r="102" spans="2:26">
      <c r="B102" s="357"/>
      <c r="D102" s="333"/>
      <c r="E102" s="333"/>
      <c r="F102" s="333"/>
      <c r="G102" s="333"/>
      <c r="H102" s="346"/>
      <c r="I102" s="333"/>
      <c r="J102" s="346"/>
      <c r="K102" s="346"/>
      <c r="L102" s="346"/>
      <c r="M102" s="346"/>
      <c r="N102" s="346"/>
      <c r="O102" s="346"/>
      <c r="P102" s="346"/>
      <c r="Q102" s="346"/>
      <c r="R102" s="346"/>
      <c r="W102" s="357"/>
      <c r="Y102" s="346"/>
      <c r="Z102" s="330"/>
    </row>
    <row r="103" spans="2:26">
      <c r="D103" s="333"/>
      <c r="E103" s="333"/>
      <c r="F103" s="333"/>
      <c r="G103" s="333"/>
      <c r="I103" s="333"/>
      <c r="M103" s="346"/>
      <c r="N103" s="346"/>
      <c r="O103" s="346"/>
      <c r="P103" s="346"/>
      <c r="Q103" s="346"/>
      <c r="R103" s="346"/>
    </row>
    <row r="104" spans="2:26">
      <c r="B104" s="346"/>
      <c r="C104" s="346"/>
      <c r="D104" s="333"/>
      <c r="E104" s="333"/>
      <c r="F104" s="333"/>
      <c r="G104" s="333"/>
      <c r="H104" s="346"/>
      <c r="I104" s="333"/>
      <c r="J104" s="346"/>
      <c r="K104" s="333"/>
      <c r="L104" s="346"/>
      <c r="M104" s="346"/>
      <c r="N104" s="346"/>
      <c r="O104" s="346"/>
      <c r="P104" s="346"/>
      <c r="Q104" s="346"/>
      <c r="R104" s="346"/>
      <c r="S104" s="346"/>
      <c r="T104" s="346"/>
      <c r="U104" s="346"/>
      <c r="V104" s="346"/>
      <c r="W104" s="357"/>
      <c r="X104" s="346"/>
      <c r="Y104" s="346"/>
      <c r="Z104" s="346"/>
    </row>
    <row r="105" spans="2:26">
      <c r="B105" s="346"/>
      <c r="C105" s="346"/>
      <c r="D105" s="346"/>
      <c r="E105" s="346"/>
      <c r="F105" s="346"/>
      <c r="G105" s="346"/>
      <c r="H105" s="346"/>
      <c r="I105" s="346"/>
      <c r="J105" s="346"/>
      <c r="K105" s="346"/>
      <c r="L105" s="346"/>
      <c r="M105" s="346"/>
      <c r="N105" s="346"/>
      <c r="O105" s="346"/>
      <c r="P105" s="346"/>
      <c r="Q105" s="346"/>
      <c r="R105" s="346"/>
      <c r="S105" s="346"/>
      <c r="T105" s="346"/>
      <c r="U105" s="346"/>
      <c r="V105" s="346"/>
      <c r="W105" s="357"/>
      <c r="X105" s="346"/>
      <c r="Y105" s="346"/>
      <c r="Z105" s="346"/>
    </row>
    <row r="106" spans="2:26" ht="15.6">
      <c r="B106" s="181"/>
      <c r="C106" s="346"/>
      <c r="D106" s="346"/>
      <c r="E106" s="346"/>
      <c r="F106" s="346"/>
      <c r="G106" s="346"/>
      <c r="H106" s="346"/>
      <c r="I106" s="346"/>
      <c r="J106" s="346"/>
      <c r="K106" s="346"/>
      <c r="L106" s="346"/>
      <c r="M106" s="346"/>
      <c r="N106" s="346"/>
      <c r="O106" s="346"/>
      <c r="P106" s="346"/>
      <c r="Q106" s="346"/>
      <c r="R106" s="346"/>
      <c r="S106" s="346"/>
      <c r="T106" s="346"/>
      <c r="U106" s="346"/>
      <c r="V106" s="346"/>
      <c r="W106" s="346"/>
      <c r="X106" s="346"/>
      <c r="Y106" s="346"/>
      <c r="Z106" s="346"/>
    </row>
    <row r="107" spans="2:26" ht="15.6">
      <c r="B107" s="179"/>
    </row>
    <row r="108" spans="2:26">
      <c r="D108" s="392"/>
      <c r="K108" s="392"/>
      <c r="M108" s="333"/>
      <c r="N108" s="333"/>
      <c r="O108" s="333"/>
      <c r="P108" s="333"/>
      <c r="Q108" s="333"/>
      <c r="R108" s="333"/>
      <c r="W108" s="391"/>
      <c r="Y108" s="333"/>
    </row>
    <row r="109" spans="2:26">
      <c r="D109" s="377"/>
      <c r="K109" s="377"/>
      <c r="M109" s="377"/>
      <c r="N109" s="377"/>
      <c r="O109" s="377"/>
      <c r="P109" s="377"/>
      <c r="Q109" s="377"/>
      <c r="R109" s="377"/>
      <c r="W109" s="391"/>
      <c r="Y109" s="377"/>
    </row>
    <row r="110" spans="2:26">
      <c r="D110" s="377"/>
      <c r="K110" s="377"/>
      <c r="M110" s="377"/>
      <c r="N110" s="377"/>
      <c r="O110" s="377"/>
      <c r="P110" s="377"/>
      <c r="Q110" s="377"/>
      <c r="R110" s="377"/>
      <c r="W110" s="391"/>
      <c r="Y110" s="377"/>
    </row>
    <row r="111" spans="2:26">
      <c r="D111" s="377"/>
      <c r="K111" s="377"/>
      <c r="M111" s="377"/>
      <c r="N111" s="377"/>
      <c r="O111" s="377"/>
      <c r="P111" s="377"/>
      <c r="Q111" s="377"/>
      <c r="R111" s="377"/>
      <c r="W111" s="391"/>
      <c r="Y111" s="377"/>
    </row>
    <row r="112" spans="2:26">
      <c r="D112" s="377"/>
      <c r="K112" s="377"/>
      <c r="M112" s="377"/>
      <c r="N112" s="377"/>
      <c r="O112" s="377"/>
      <c r="P112" s="377"/>
      <c r="Q112" s="377"/>
      <c r="R112" s="377"/>
      <c r="W112" s="391"/>
      <c r="Y112" s="377"/>
    </row>
    <row r="113" spans="2:25">
      <c r="B113" s="357"/>
      <c r="W113" s="391"/>
    </row>
    <row r="114" spans="2:25">
      <c r="B114" s="357"/>
      <c r="D114" s="392"/>
      <c r="K114" s="392"/>
      <c r="M114" s="392"/>
      <c r="N114" s="392"/>
      <c r="O114" s="392"/>
      <c r="P114" s="392"/>
      <c r="Q114" s="392"/>
      <c r="R114" s="392"/>
      <c r="W114" s="391"/>
      <c r="Y114" s="392"/>
    </row>
    <row r="116" spans="2:25" ht="15.6">
      <c r="B116" s="179"/>
    </row>
    <row r="117" spans="2:25" ht="15.6">
      <c r="B117" s="175"/>
    </row>
    <row r="118" spans="2:25">
      <c r="D118" s="371"/>
    </row>
    <row r="119" spans="2:25">
      <c r="D119" s="338"/>
    </row>
    <row r="120" spans="2:25">
      <c r="D120" s="338"/>
    </row>
    <row r="121" spans="2:25">
      <c r="D121" s="396"/>
    </row>
    <row r="122" spans="2:25">
      <c r="D122" s="338"/>
    </row>
    <row r="123" spans="2:25">
      <c r="D123" s="338"/>
    </row>
    <row r="124" spans="2:25">
      <c r="B124" s="393"/>
      <c r="D124" s="371"/>
    </row>
    <row r="125" spans="2:25">
      <c r="B125" s="393"/>
    </row>
    <row r="126" spans="2:25" ht="15.6">
      <c r="C126" s="176"/>
    </row>
    <row r="127" spans="2:25" ht="15.6">
      <c r="B127" s="394"/>
      <c r="D127" s="330"/>
      <c r="G127" s="330"/>
      <c r="I127" s="330"/>
      <c r="K127" s="330"/>
    </row>
    <row r="128" spans="2:25">
      <c r="D128" s="330"/>
      <c r="G128" s="330"/>
      <c r="I128" s="330"/>
      <c r="K128" s="330"/>
    </row>
    <row r="129" spans="4:11">
      <c r="D129" s="371"/>
      <c r="G129" s="357"/>
      <c r="I129" s="357"/>
      <c r="K129" s="397"/>
    </row>
    <row r="130" spans="4:11">
      <c r="D130" s="371"/>
      <c r="G130" s="357"/>
      <c r="I130" s="357"/>
      <c r="K130" s="357"/>
    </row>
    <row r="131" spans="4:11">
      <c r="D131" s="371"/>
      <c r="G131" s="357"/>
      <c r="I131" s="357"/>
      <c r="K131" s="357"/>
    </row>
    <row r="132" spans="4:11">
      <c r="D132" s="371"/>
      <c r="G132" s="357"/>
      <c r="I132" s="357"/>
      <c r="K132" s="357"/>
    </row>
    <row r="133" spans="4:11">
      <c r="D133" s="371"/>
      <c r="G133" s="357"/>
      <c r="I133" s="357"/>
      <c r="K133" s="357"/>
    </row>
    <row r="134" spans="4:11">
      <c r="D134" s="371"/>
      <c r="G134" s="357"/>
      <c r="I134" s="357"/>
      <c r="K134" s="357"/>
    </row>
    <row r="135" spans="4:11">
      <c r="D135" s="371"/>
      <c r="G135" s="357"/>
      <c r="I135" s="357"/>
      <c r="K135" s="357"/>
    </row>
  </sheetData>
  <mergeCells count="1">
    <mergeCell ref="AT12:AU12"/>
  </mergeCells>
  <phoneticPr fontId="114" type="noConversion"/>
  <pageMargins left="0.17" right="0.16" top="1" bottom="1" header="0.5" footer="0.5"/>
  <pageSetup scale="29" orientation="landscape" r:id="rId1"/>
  <headerFooter alignWithMargins="0"/>
  <colBreaks count="1" manualBreakCount="1">
    <brk id="27" max="54"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S287"/>
  <sheetViews>
    <sheetView view="pageBreakPreview" zoomScale="60" zoomScaleNormal="85" workbookViewId="0">
      <selection activeCell="C4" sqref="C4"/>
    </sheetView>
  </sheetViews>
  <sheetFormatPr defaultColWidth="8.81640625" defaultRowHeight="15"/>
  <cols>
    <col min="1" max="1" width="6" style="159" customWidth="1"/>
    <col min="2" max="2" width="1.453125" style="159" customWidth="1"/>
    <col min="3" max="3" width="62.08984375" style="159" customWidth="1"/>
    <col min="4" max="4" width="33" style="159" customWidth="1"/>
    <col min="5" max="5" width="14.453125" style="159" customWidth="1"/>
    <col min="6" max="6" width="18.26953125" style="159" customWidth="1"/>
    <col min="7" max="7" width="18" style="159" customWidth="1"/>
    <col min="8" max="8" width="15.81640625" style="159" customWidth="1"/>
    <col min="9" max="9" width="14.26953125" style="159" customWidth="1"/>
    <col min="10" max="10" width="12.7265625" style="159" customWidth="1"/>
    <col min="11" max="11" width="15.26953125" style="159" customWidth="1"/>
    <col min="12" max="12" width="15.81640625" style="159" customWidth="1"/>
    <col min="13" max="13" width="18" style="159" customWidth="1"/>
    <col min="14" max="14" width="16.08984375" style="159" customWidth="1"/>
    <col min="15" max="15" width="14.7265625" style="159" customWidth="1"/>
    <col min="16" max="16" width="13.54296875" style="159" customWidth="1"/>
    <col min="17" max="17" width="16.26953125" style="159" customWidth="1"/>
    <col min="18" max="18" width="8.81640625" style="159"/>
    <col min="19" max="19" width="14.26953125" style="159" customWidth="1"/>
    <col min="20" max="16384" width="8.81640625" style="159"/>
  </cols>
  <sheetData>
    <row r="1" spans="1:19">
      <c r="N1" s="199"/>
      <c r="Q1" s="199"/>
      <c r="S1" s="199" t="s">
        <v>458</v>
      </c>
    </row>
    <row r="2" spans="1:19" ht="15.6">
      <c r="G2" s="200"/>
      <c r="N2" s="199"/>
      <c r="Q2" s="199"/>
      <c r="S2" s="199" t="s">
        <v>147</v>
      </c>
    </row>
    <row r="3" spans="1:19">
      <c r="N3" s="199"/>
      <c r="Q3" s="199"/>
      <c r="S3" s="199" t="str">
        <f>'Attachment H-4A JCP&amp;L '!K4</f>
        <v>For the 12 months ended 12/31/2023</v>
      </c>
    </row>
    <row r="5" spans="1:19" ht="15.6">
      <c r="A5" s="1001" t="s">
        <v>511</v>
      </c>
      <c r="B5" s="1001"/>
      <c r="C5" s="1001"/>
      <c r="D5" s="1001"/>
      <c r="E5" s="1001"/>
      <c r="F5" s="1001"/>
      <c r="G5" s="1001"/>
      <c r="H5" s="1001"/>
      <c r="I5" s="1001"/>
      <c r="J5" s="1001"/>
      <c r="K5" s="1001"/>
      <c r="L5" s="1001"/>
      <c r="M5" s="1001"/>
      <c r="N5" s="1001"/>
    </row>
    <row r="6" spans="1:19">
      <c r="A6" s="1002" t="s">
        <v>459</v>
      </c>
      <c r="B6" s="1002"/>
      <c r="C6" s="1002"/>
      <c r="D6" s="1002"/>
      <c r="E6" s="1002"/>
      <c r="F6" s="1002"/>
      <c r="G6" s="1002"/>
      <c r="H6" s="1002"/>
      <c r="I6" s="1002"/>
      <c r="J6" s="1002"/>
      <c r="K6" s="1002"/>
      <c r="L6" s="1002"/>
      <c r="M6" s="1002"/>
      <c r="N6" s="1002"/>
    </row>
    <row r="7" spans="1:19">
      <c r="A7" s="1002"/>
      <c r="B7" s="1002"/>
      <c r="C7" s="1002"/>
      <c r="D7" s="1002"/>
      <c r="E7" s="1002"/>
      <c r="F7" s="1002"/>
      <c r="G7" s="1002"/>
      <c r="H7" s="1002"/>
      <c r="I7" s="1002"/>
      <c r="J7" s="1002"/>
      <c r="K7" s="1002"/>
      <c r="L7" s="1002"/>
    </row>
    <row r="8" spans="1:19">
      <c r="A8" s="201"/>
      <c r="C8" s="160"/>
      <c r="D8" s="160"/>
      <c r="F8" s="160"/>
      <c r="H8" s="160"/>
      <c r="I8" s="160"/>
      <c r="J8" s="160"/>
      <c r="K8" s="160"/>
      <c r="L8" s="160"/>
    </row>
    <row r="9" spans="1:19">
      <c r="A9" s="201"/>
      <c r="C9" s="160"/>
      <c r="D9" s="160"/>
      <c r="E9" s="160"/>
      <c r="F9" s="160"/>
      <c r="G9" s="202"/>
      <c r="H9" s="160"/>
      <c r="I9" s="160"/>
      <c r="J9" s="160"/>
      <c r="K9" s="160"/>
      <c r="L9" s="160"/>
    </row>
    <row r="10" spans="1:19">
      <c r="A10" s="201"/>
      <c r="D10" s="160"/>
      <c r="E10" s="160"/>
      <c r="F10" s="160"/>
      <c r="G10" s="202"/>
      <c r="H10" s="160"/>
      <c r="I10" s="160"/>
      <c r="J10" s="160"/>
      <c r="K10" s="160"/>
      <c r="L10" s="160"/>
    </row>
    <row r="11" spans="1:19">
      <c r="A11" s="201"/>
      <c r="C11" s="160"/>
      <c r="D11" s="160"/>
      <c r="E11" s="815"/>
      <c r="F11" s="160"/>
      <c r="G11" s="202"/>
      <c r="K11" s="1004" t="s">
        <v>425</v>
      </c>
      <c r="L11" s="1005"/>
      <c r="M11" s="1005"/>
      <c r="N11" s="1005"/>
      <c r="O11" s="1005"/>
      <c r="P11" s="1005"/>
      <c r="Q11" s="1005"/>
      <c r="R11" s="1005"/>
      <c r="S11" s="1006"/>
    </row>
    <row r="12" spans="1:19" ht="15.6">
      <c r="A12" s="201"/>
      <c r="C12" s="160"/>
      <c r="D12" s="160"/>
      <c r="E12" s="1007"/>
      <c r="F12" s="1007"/>
      <c r="G12" s="1007"/>
      <c r="K12" s="203"/>
      <c r="L12" s="204"/>
      <c r="S12" s="205"/>
    </row>
    <row r="13" spans="1:19">
      <c r="C13" s="206" t="s">
        <v>16</v>
      </c>
      <c r="D13" s="206"/>
      <c r="E13" s="206" t="s">
        <v>17</v>
      </c>
      <c r="F13" s="206"/>
      <c r="G13" s="206" t="s">
        <v>18</v>
      </c>
      <c r="I13" s="207" t="s">
        <v>19</v>
      </c>
      <c r="K13" s="208" t="s">
        <v>20</v>
      </c>
      <c r="L13" s="207" t="s">
        <v>21</v>
      </c>
      <c r="O13" s="207" t="s">
        <v>273</v>
      </c>
      <c r="Q13" s="207" t="s">
        <v>274</v>
      </c>
      <c r="S13" s="209" t="s">
        <v>275</v>
      </c>
    </row>
    <row r="14" spans="1:19" ht="15.6">
      <c r="C14" s="160"/>
      <c r="D14" s="160"/>
      <c r="E14" s="210"/>
      <c r="F14" s="210"/>
      <c r="G14" s="204"/>
      <c r="K14" s="203"/>
      <c r="S14" s="205"/>
    </row>
    <row r="15" spans="1:19" ht="15.6">
      <c r="A15" s="201" t="s">
        <v>5</v>
      </c>
      <c r="C15" s="160"/>
      <c r="D15" s="160"/>
      <c r="E15" s="211" t="s">
        <v>146</v>
      </c>
      <c r="F15" s="211"/>
      <c r="G15" s="212" t="s">
        <v>22</v>
      </c>
      <c r="I15" s="212" t="s">
        <v>10</v>
      </c>
      <c r="K15" s="213" t="s">
        <v>5</v>
      </c>
      <c r="L15" s="211"/>
      <c r="O15" s="211" t="s">
        <v>146</v>
      </c>
      <c r="Q15" s="211" t="s">
        <v>276</v>
      </c>
      <c r="S15" s="214" t="s">
        <v>10</v>
      </c>
    </row>
    <row r="16" spans="1:19" ht="15.6">
      <c r="A16" s="201" t="s">
        <v>7</v>
      </c>
      <c r="C16" s="215"/>
      <c r="D16" s="215"/>
      <c r="E16" s="204"/>
      <c r="F16" s="204"/>
      <c r="G16" s="204"/>
      <c r="I16" s="204"/>
      <c r="K16" s="213" t="s">
        <v>7</v>
      </c>
      <c r="S16" s="205"/>
    </row>
    <row r="17" spans="1:19" ht="15.6">
      <c r="A17" s="216"/>
      <c r="C17" s="160"/>
      <c r="D17" s="160"/>
      <c r="E17" s="204"/>
      <c r="F17" s="204"/>
      <c r="G17" s="204"/>
      <c r="I17" s="204"/>
      <c r="K17" s="203"/>
      <c r="S17" s="205"/>
    </row>
    <row r="18" spans="1:19">
      <c r="A18" s="217">
        <v>1</v>
      </c>
      <c r="C18" s="160" t="s">
        <v>115</v>
      </c>
      <c r="D18" s="160"/>
      <c r="E18" s="217" t="s">
        <v>460</v>
      </c>
      <c r="F18" s="217"/>
      <c r="G18" s="218">
        <f>'Attachment H-4A JCP&amp;L '!I54</f>
        <v>1948638808.1407704</v>
      </c>
      <c r="K18" s="203"/>
      <c r="S18" s="205"/>
    </row>
    <row r="19" spans="1:19">
      <c r="A19" s="217">
        <v>2</v>
      </c>
      <c r="C19" s="160" t="s">
        <v>116</v>
      </c>
      <c r="D19" s="160"/>
      <c r="E19" s="217" t="s">
        <v>461</v>
      </c>
      <c r="F19" s="217"/>
      <c r="G19" s="218">
        <f>'Attachment H-4A JCP&amp;L '!I68</f>
        <v>1471830829.810164</v>
      </c>
      <c r="K19" s="203"/>
      <c r="S19" s="205"/>
    </row>
    <row r="20" spans="1:19">
      <c r="A20" s="217"/>
      <c r="E20" s="217"/>
      <c r="F20" s="217"/>
      <c r="K20" s="203"/>
      <c r="S20" s="205"/>
    </row>
    <row r="21" spans="1:19">
      <c r="A21" s="217"/>
      <c r="C21" s="160" t="s">
        <v>117</v>
      </c>
      <c r="D21" s="160"/>
      <c r="E21" s="217"/>
      <c r="F21" s="217"/>
      <c r="G21" s="204"/>
      <c r="I21" s="204"/>
      <c r="K21" s="203"/>
      <c r="S21" s="205"/>
    </row>
    <row r="22" spans="1:19">
      <c r="A22" s="217">
        <v>3</v>
      </c>
      <c r="C22" s="160" t="s">
        <v>118</v>
      </c>
      <c r="D22" s="160"/>
      <c r="E22" s="217" t="s">
        <v>810</v>
      </c>
      <c r="F22" s="217"/>
      <c r="G22" s="218">
        <f>'Attachment H-4A JCP&amp;L '!I124</f>
        <v>60384698.279548377</v>
      </c>
      <c r="K22" s="203"/>
      <c r="S22" s="205"/>
    </row>
    <row r="23" spans="1:19">
      <c r="A23" s="217">
        <v>4</v>
      </c>
      <c r="C23" s="160" t="s">
        <v>119</v>
      </c>
      <c r="D23" s="160"/>
      <c r="E23" s="217" t="s">
        <v>148</v>
      </c>
      <c r="F23" s="217"/>
      <c r="G23" s="219">
        <f>IF(G22=0,0,G22/G18)</f>
        <v>3.098814312189669E-2</v>
      </c>
      <c r="I23" s="220">
        <f>G23</f>
        <v>3.098814312189669E-2</v>
      </c>
      <c r="K23" s="203"/>
      <c r="S23" s="205"/>
    </row>
    <row r="24" spans="1:19">
      <c r="A24" s="217"/>
      <c r="C24" s="160"/>
      <c r="D24" s="160"/>
      <c r="E24" s="217"/>
      <c r="F24" s="217"/>
      <c r="G24" s="219"/>
      <c r="I24" s="220"/>
      <c r="K24" s="203"/>
      <c r="S24" s="205"/>
    </row>
    <row r="25" spans="1:19">
      <c r="A25" s="217"/>
      <c r="C25" s="160" t="s">
        <v>790</v>
      </c>
      <c r="D25" s="160"/>
      <c r="E25" s="217"/>
      <c r="F25" s="217"/>
      <c r="G25" s="219"/>
      <c r="I25" s="220"/>
      <c r="K25" s="203"/>
      <c r="S25" s="205"/>
    </row>
    <row r="26" spans="1:19">
      <c r="A26" s="217">
        <v>5</v>
      </c>
      <c r="C26" s="160" t="s">
        <v>769</v>
      </c>
      <c r="D26" s="160"/>
      <c r="E26" s="217" t="s">
        <v>771</v>
      </c>
      <c r="F26" s="217"/>
      <c r="G26" s="218">
        <f>'Attachment H-4A JCP&amp;L '!I128</f>
        <v>2390238.7994617815</v>
      </c>
      <c r="I26" s="220"/>
      <c r="K26" s="203"/>
      <c r="S26" s="205"/>
    </row>
    <row r="27" spans="1:19">
      <c r="A27" s="217">
        <v>6</v>
      </c>
      <c r="C27" s="160" t="s">
        <v>770</v>
      </c>
      <c r="D27" s="160"/>
      <c r="E27" s="217" t="s">
        <v>149</v>
      </c>
      <c r="F27" s="217"/>
      <c r="G27" s="219">
        <f>G26/G18</f>
        <v>1.2266197252544452E-3</v>
      </c>
      <c r="I27" s="220">
        <f>G27</f>
        <v>1.2266197252544452E-3</v>
      </c>
      <c r="K27" s="203"/>
      <c r="S27" s="205"/>
    </row>
    <row r="28" spans="1:19">
      <c r="A28" s="217"/>
      <c r="C28" s="160"/>
      <c r="D28" s="160"/>
      <c r="E28" s="217"/>
      <c r="F28" s="217"/>
      <c r="G28" s="219"/>
      <c r="I28" s="220"/>
      <c r="K28" s="203"/>
      <c r="S28" s="205"/>
    </row>
    <row r="29" spans="1:19">
      <c r="A29" s="207"/>
      <c r="C29" s="160" t="s">
        <v>120</v>
      </c>
      <c r="D29" s="160"/>
      <c r="E29" s="221"/>
      <c r="F29" s="221"/>
      <c r="G29" s="204"/>
      <c r="I29" s="219"/>
      <c r="K29" s="203"/>
      <c r="S29" s="205"/>
    </row>
    <row r="30" spans="1:19">
      <c r="A30" s="207" t="s">
        <v>123</v>
      </c>
      <c r="C30" s="160" t="s">
        <v>121</v>
      </c>
      <c r="D30" s="160"/>
      <c r="E30" s="217" t="s">
        <v>811</v>
      </c>
      <c r="F30" s="217"/>
      <c r="G30" s="218">
        <f ca="1">'Attachment H-4A JCP&amp;L '!I132</f>
        <v>2096562.1302360541</v>
      </c>
      <c r="I30" s="219"/>
      <c r="K30" s="203"/>
      <c r="S30" s="205"/>
    </row>
    <row r="31" spans="1:19">
      <c r="A31" s="207" t="s">
        <v>126</v>
      </c>
      <c r="C31" s="160" t="s">
        <v>122</v>
      </c>
      <c r="D31" s="160"/>
      <c r="E31" s="217" t="s">
        <v>247</v>
      </c>
      <c r="F31" s="217"/>
      <c r="G31" s="219">
        <f ca="1">IF(G30=0,0,G30/G18)</f>
        <v>1.0759111034211722E-3</v>
      </c>
      <c r="I31" s="220">
        <f ca="1">G31</f>
        <v>1.0759111034211722E-3</v>
      </c>
      <c r="K31" s="203"/>
      <c r="S31" s="205"/>
    </row>
    <row r="32" spans="1:19">
      <c r="A32" s="207"/>
      <c r="C32" s="160"/>
      <c r="D32" s="160"/>
      <c r="E32" s="217"/>
      <c r="F32" s="217"/>
      <c r="G32" s="219"/>
      <c r="I32" s="220"/>
      <c r="K32" s="203"/>
      <c r="S32" s="205"/>
    </row>
    <row r="33" spans="1:19" ht="15.6">
      <c r="A33" s="222" t="s">
        <v>127</v>
      </c>
      <c r="B33" s="200"/>
      <c r="C33" s="215" t="s">
        <v>124</v>
      </c>
      <c r="D33" s="215"/>
      <c r="E33" s="210" t="s">
        <v>374</v>
      </c>
      <c r="F33" s="210"/>
      <c r="G33" s="223"/>
      <c r="I33" s="224">
        <f ca="1">I23+I27+I31</f>
        <v>3.3290673950572308E-2</v>
      </c>
      <c r="K33" s="203"/>
      <c r="S33" s="205"/>
    </row>
    <row r="34" spans="1:19">
      <c r="A34" s="207"/>
      <c r="C34" s="160"/>
      <c r="D34" s="160"/>
      <c r="E34" s="217"/>
      <c r="F34" s="217"/>
      <c r="G34" s="204"/>
      <c r="I34" s="219"/>
      <c r="K34" s="203"/>
      <c r="S34" s="205"/>
    </row>
    <row r="35" spans="1:19">
      <c r="A35" s="207"/>
      <c r="C35" s="204" t="s">
        <v>125</v>
      </c>
      <c r="D35" s="204"/>
      <c r="E35" s="217"/>
      <c r="F35" s="217"/>
      <c r="G35" s="204"/>
      <c r="I35" s="219"/>
      <c r="K35" s="208"/>
      <c r="L35" s="204" t="s">
        <v>125</v>
      </c>
      <c r="M35" s="204"/>
      <c r="N35" s="204"/>
      <c r="O35" s="217"/>
      <c r="P35" s="217"/>
      <c r="Q35" s="204"/>
      <c r="S35" s="225"/>
    </row>
    <row r="36" spans="1:19">
      <c r="A36" s="207" t="s">
        <v>129</v>
      </c>
      <c r="C36" s="204" t="s">
        <v>47</v>
      </c>
      <c r="D36" s="204"/>
      <c r="E36" s="217" t="s">
        <v>812</v>
      </c>
      <c r="F36" s="217"/>
      <c r="G36" s="218">
        <f ca="1">'Attachment H-4A JCP&amp;L '!I135</f>
        <v>20248060.502560548</v>
      </c>
      <c r="I36" s="219"/>
      <c r="K36" s="208" t="s">
        <v>375</v>
      </c>
      <c r="L36" s="204" t="s">
        <v>47</v>
      </c>
      <c r="M36" s="204"/>
      <c r="N36" s="204"/>
      <c r="O36" s="217" t="s">
        <v>434</v>
      </c>
      <c r="P36" s="217"/>
      <c r="Q36" s="218">
        <f ca="1">'Attachment 2 - Incentive ROE'!I60</f>
        <v>20248060.502560548</v>
      </c>
      <c r="S36" s="225"/>
    </row>
    <row r="37" spans="1:19">
      <c r="A37" s="207" t="s">
        <v>131</v>
      </c>
      <c r="C37" s="204" t="s">
        <v>128</v>
      </c>
      <c r="D37" s="204"/>
      <c r="E37" s="217" t="s">
        <v>472</v>
      </c>
      <c r="F37" s="217"/>
      <c r="G37" s="219">
        <f ca="1">IF(G36=0,0,G36/G19)</f>
        <v>1.3757056920170733E-2</v>
      </c>
      <c r="I37" s="220">
        <f ca="1">G37</f>
        <v>1.3757056920170733E-2</v>
      </c>
      <c r="K37" s="208" t="s">
        <v>376</v>
      </c>
      <c r="L37" s="204" t="s">
        <v>128</v>
      </c>
      <c r="M37" s="204"/>
      <c r="N37" s="204"/>
      <c r="O37" s="217" t="s">
        <v>377</v>
      </c>
      <c r="P37" s="217"/>
      <c r="Q37" s="219">
        <f ca="1">IF(Q36=0,0,Q36/G19)</f>
        <v>1.3757056920170733E-2</v>
      </c>
      <c r="S37" s="226">
        <f ca="1">Q37</f>
        <v>1.3757056920170733E-2</v>
      </c>
    </row>
    <row r="38" spans="1:19">
      <c r="A38" s="207"/>
      <c r="C38" s="204"/>
      <c r="D38" s="204"/>
      <c r="E38" s="217"/>
      <c r="F38" s="217"/>
      <c r="G38" s="204"/>
      <c r="I38" s="219"/>
      <c r="K38" s="208"/>
      <c r="L38" s="204"/>
      <c r="M38" s="204"/>
      <c r="N38" s="204"/>
      <c r="O38" s="217"/>
      <c r="P38" s="217"/>
      <c r="Q38" s="204"/>
      <c r="S38" s="225"/>
    </row>
    <row r="39" spans="1:19">
      <c r="A39" s="207"/>
      <c r="C39" s="160" t="s">
        <v>48</v>
      </c>
      <c r="D39" s="160"/>
      <c r="E39" s="227"/>
      <c r="F39" s="227"/>
      <c r="I39" s="219"/>
      <c r="K39" s="208"/>
      <c r="L39" s="160" t="s">
        <v>48</v>
      </c>
      <c r="M39" s="160"/>
      <c r="N39" s="160"/>
      <c r="O39" s="227"/>
      <c r="P39" s="227"/>
      <c r="S39" s="225"/>
    </row>
    <row r="40" spans="1:19">
      <c r="A40" s="207" t="s">
        <v>133</v>
      </c>
      <c r="C40" s="160" t="s">
        <v>130</v>
      </c>
      <c r="D40" s="160"/>
      <c r="E40" s="217" t="s">
        <v>564</v>
      </c>
      <c r="F40" s="217"/>
      <c r="G40" s="218">
        <f ca="1">'Attachment H-4A JCP&amp;L '!I137</f>
        <v>83491416.630089507</v>
      </c>
      <c r="I40" s="219"/>
      <c r="K40" s="208" t="s">
        <v>270</v>
      </c>
      <c r="L40" s="160" t="s">
        <v>130</v>
      </c>
      <c r="M40" s="160"/>
      <c r="N40" s="160"/>
      <c r="O40" s="217" t="s">
        <v>435</v>
      </c>
      <c r="P40" s="217"/>
      <c r="Q40" s="218">
        <f ca="1">'Attachment 2 - Incentive ROE'!I43</f>
        <v>83491416.630089507</v>
      </c>
      <c r="S40" s="225"/>
    </row>
    <row r="41" spans="1:19">
      <c r="A41" s="207" t="s">
        <v>170</v>
      </c>
      <c r="C41" s="204" t="s">
        <v>132</v>
      </c>
      <c r="D41" s="204"/>
      <c r="E41" s="217" t="s">
        <v>277</v>
      </c>
      <c r="F41" s="217"/>
      <c r="G41" s="220">
        <f ca="1">IF(G40=0,0,G40/G19)</f>
        <v>5.6726231669476705E-2</v>
      </c>
      <c r="I41" s="220">
        <f ca="1">G41</f>
        <v>5.6726231669476705E-2</v>
      </c>
      <c r="K41" s="208" t="s">
        <v>271</v>
      </c>
      <c r="L41" s="204" t="s">
        <v>132</v>
      </c>
      <c r="M41" s="204"/>
      <c r="N41" s="204"/>
      <c r="O41" s="217" t="s">
        <v>278</v>
      </c>
      <c r="P41" s="217"/>
      <c r="Q41" s="220">
        <f ca="1">IF(Q40=0,0,Q40/G19)</f>
        <v>5.6726231669476705E-2</v>
      </c>
      <c r="S41" s="226">
        <f ca="1">Q41</f>
        <v>5.6726231669476705E-2</v>
      </c>
    </row>
    <row r="42" spans="1:19">
      <c r="A42" s="207"/>
      <c r="C42" s="160"/>
      <c r="D42" s="160"/>
      <c r="E42" s="217"/>
      <c r="F42" s="217"/>
      <c r="G42" s="204"/>
      <c r="I42" s="219"/>
      <c r="K42" s="208"/>
      <c r="L42" s="160"/>
      <c r="M42" s="160"/>
      <c r="N42" s="160"/>
      <c r="O42" s="217"/>
      <c r="P42" s="217"/>
      <c r="Q42" s="204"/>
      <c r="S42" s="225"/>
    </row>
    <row r="43" spans="1:19" ht="15.6">
      <c r="A43" s="222" t="s">
        <v>171</v>
      </c>
      <c r="B43" s="200"/>
      <c r="C43" s="215" t="s">
        <v>134</v>
      </c>
      <c r="D43" s="215"/>
      <c r="E43" s="210" t="s">
        <v>380</v>
      </c>
      <c r="F43" s="210"/>
      <c r="G43" s="223"/>
      <c r="I43" s="224">
        <f ca="1">I37+I41</f>
        <v>7.0483288589647433E-2</v>
      </c>
      <c r="K43" s="228" t="s">
        <v>272</v>
      </c>
      <c r="L43" s="215" t="s">
        <v>134</v>
      </c>
      <c r="M43" s="215"/>
      <c r="N43" s="215"/>
      <c r="O43" s="210" t="s">
        <v>378</v>
      </c>
      <c r="P43" s="210"/>
      <c r="Q43" s="223"/>
      <c r="S43" s="229">
        <f ca="1">S37+S41</f>
        <v>7.0483288589647433E-2</v>
      </c>
    </row>
    <row r="44" spans="1:19">
      <c r="K44" s="203"/>
      <c r="S44" s="205"/>
    </row>
    <row r="45" spans="1:19" ht="15.6">
      <c r="K45" s="230" t="s">
        <v>172</v>
      </c>
      <c r="L45" s="231" t="s">
        <v>355</v>
      </c>
      <c r="M45" s="232"/>
      <c r="N45" s="232"/>
      <c r="O45" s="233"/>
      <c r="P45" s="233" t="s">
        <v>379</v>
      </c>
      <c r="Q45" s="231"/>
      <c r="R45" s="231"/>
      <c r="S45" s="307">
        <f ca="1">S43-I43</f>
        <v>0</v>
      </c>
    </row>
    <row r="46" spans="1:19">
      <c r="A46" s="201"/>
      <c r="G46" s="204"/>
    </row>
    <row r="47" spans="1:19" ht="15.6">
      <c r="A47" s="568"/>
      <c r="G47" s="204"/>
      <c r="Q47" s="234"/>
      <c r="S47" s="234" t="str">
        <f>S1</f>
        <v>Attachment  H-4A, Attachment 11</v>
      </c>
    </row>
    <row r="48" spans="1:19">
      <c r="N48" s="234"/>
      <c r="Q48" s="234"/>
      <c r="S48" s="234" t="s">
        <v>150</v>
      </c>
    </row>
    <row r="49" spans="1:19">
      <c r="N49" s="234"/>
      <c r="Q49" s="234"/>
      <c r="S49" s="234" t="str">
        <f>S3</f>
        <v>For the 12 months ended 12/31/2023</v>
      </c>
    </row>
    <row r="50" spans="1:19">
      <c r="N50" s="234"/>
    </row>
    <row r="51" spans="1:19">
      <c r="A51" s="201"/>
      <c r="G51" s="204"/>
    </row>
    <row r="52" spans="1:19">
      <c r="A52" s="201"/>
      <c r="C52" s="160"/>
      <c r="D52" s="160"/>
    </row>
    <row r="53" spans="1:19">
      <c r="A53" s="201"/>
      <c r="C53" s="160"/>
      <c r="D53" s="160"/>
      <c r="L53" s="204"/>
    </row>
    <row r="54" spans="1:19" ht="14.25" customHeight="1">
      <c r="A54" s="201"/>
    </row>
    <row r="55" spans="1:19" ht="15.6">
      <c r="A55" s="1009" t="str">
        <f>A5</f>
        <v>Transmission Enhancement Charge (TEC) Worksheet</v>
      </c>
      <c r="B55" s="1009"/>
      <c r="C55" s="1009"/>
      <c r="D55" s="1009"/>
      <c r="E55" s="1009"/>
      <c r="F55" s="1009"/>
      <c r="G55" s="1009"/>
      <c r="H55" s="1009"/>
      <c r="I55" s="1009"/>
      <c r="J55" s="1009"/>
      <c r="K55" s="1009"/>
      <c r="L55" s="1009"/>
      <c r="M55" s="1009"/>
      <c r="N55" s="1009"/>
    </row>
    <row r="56" spans="1:19">
      <c r="A56" s="1010" t="str">
        <f>A6</f>
        <v>To be completed in conjunction with Attachment H-4A</v>
      </c>
      <c r="B56" s="1010"/>
      <c r="C56" s="1010"/>
      <c r="D56" s="1010"/>
      <c r="E56" s="1010"/>
      <c r="F56" s="1010"/>
      <c r="G56" s="1010"/>
      <c r="H56" s="1010"/>
      <c r="I56" s="1010"/>
      <c r="J56" s="1010"/>
      <c r="K56" s="1010"/>
      <c r="L56" s="1010"/>
      <c r="M56" s="1010"/>
      <c r="N56" s="1010"/>
    </row>
    <row r="57" spans="1:19" ht="15.6">
      <c r="A57" s="201"/>
      <c r="E57" s="215"/>
      <c r="H57" s="160"/>
      <c r="I57" s="160"/>
      <c r="J57" s="160"/>
      <c r="K57" s="160"/>
      <c r="L57" s="160"/>
    </row>
    <row r="58" spans="1:19" ht="15.6">
      <c r="A58" s="201"/>
      <c r="E58" s="215"/>
      <c r="F58" s="215"/>
      <c r="H58" s="160"/>
      <c r="I58" s="160"/>
      <c r="J58" s="160"/>
      <c r="K58" s="160"/>
      <c r="L58" s="160"/>
    </row>
    <row r="59" spans="1:19" ht="15.6">
      <c r="A59" s="201"/>
      <c r="C59" s="235">
        <v>-1</v>
      </c>
      <c r="D59" s="235">
        <v>-2</v>
      </c>
      <c r="E59" s="235">
        <v>-3</v>
      </c>
      <c r="F59" s="235">
        <v>-4</v>
      </c>
      <c r="G59" s="235">
        <v>-5</v>
      </c>
      <c r="H59" s="235">
        <v>-6</v>
      </c>
      <c r="I59" s="235">
        <v>-7</v>
      </c>
      <c r="J59" s="235">
        <v>-8</v>
      </c>
      <c r="K59" s="235">
        <v>-9</v>
      </c>
      <c r="L59" s="235">
        <v>-10</v>
      </c>
      <c r="M59" s="235">
        <v>-11</v>
      </c>
      <c r="N59" s="235">
        <v>-12</v>
      </c>
      <c r="O59" s="235">
        <v>-13</v>
      </c>
      <c r="P59" s="235">
        <v>-14</v>
      </c>
      <c r="Q59" s="235"/>
    </row>
    <row r="60" spans="1:19" ht="62.4">
      <c r="A60" s="236" t="s">
        <v>135</v>
      </c>
      <c r="B60" s="237"/>
      <c r="C60" s="238" t="s">
        <v>136</v>
      </c>
      <c r="D60" s="239" t="s">
        <v>152</v>
      </c>
      <c r="E60" s="240" t="s">
        <v>219</v>
      </c>
      <c r="F60" s="240" t="s">
        <v>124</v>
      </c>
      <c r="G60" s="241" t="s">
        <v>137</v>
      </c>
      <c r="H60" s="240" t="s">
        <v>138</v>
      </c>
      <c r="I60" s="240" t="s">
        <v>134</v>
      </c>
      <c r="J60" s="241" t="s">
        <v>139</v>
      </c>
      <c r="K60" s="240" t="s">
        <v>140</v>
      </c>
      <c r="L60" s="242" t="s">
        <v>248</v>
      </c>
      <c r="M60" s="242" t="s">
        <v>390</v>
      </c>
      <c r="N60" s="242" t="s">
        <v>352</v>
      </c>
      <c r="O60" s="242" t="s">
        <v>198</v>
      </c>
      <c r="P60" s="242" t="s">
        <v>353</v>
      </c>
    </row>
    <row r="61" spans="1:19" ht="46.5" customHeight="1">
      <c r="A61" s="593">
        <v>1</v>
      </c>
      <c r="B61" s="244"/>
      <c r="C61" s="244"/>
      <c r="D61" s="244"/>
      <c r="E61" s="245" t="s">
        <v>386</v>
      </c>
      <c r="F61" s="245" t="s">
        <v>384</v>
      </c>
      <c r="G61" s="246" t="s">
        <v>141</v>
      </c>
      <c r="H61" s="245" t="s">
        <v>387</v>
      </c>
      <c r="I61" s="268" t="s">
        <v>385</v>
      </c>
      <c r="J61" s="246" t="s">
        <v>142</v>
      </c>
      <c r="K61" s="245" t="s">
        <v>102</v>
      </c>
      <c r="L61" s="247" t="s">
        <v>249</v>
      </c>
      <c r="M61" s="247" t="s">
        <v>477</v>
      </c>
      <c r="N61" s="247" t="s">
        <v>354</v>
      </c>
      <c r="O61" s="247" t="s">
        <v>263</v>
      </c>
      <c r="P61" s="247" t="s">
        <v>388</v>
      </c>
    </row>
    <row r="62" spans="1:19">
      <c r="A62" s="248"/>
      <c r="B62" s="160"/>
      <c r="C62" s="206"/>
      <c r="D62" s="160"/>
      <c r="E62" s="160"/>
      <c r="F62" s="160"/>
      <c r="G62" s="249"/>
      <c r="H62" s="160"/>
      <c r="I62" s="160"/>
      <c r="J62" s="249"/>
      <c r="K62" s="160"/>
      <c r="L62" s="249"/>
      <c r="M62" s="249"/>
      <c r="N62" s="249"/>
      <c r="O62" s="249"/>
      <c r="P62" s="249"/>
    </row>
    <row r="63" spans="1:19">
      <c r="A63" s="297" t="s">
        <v>365</v>
      </c>
      <c r="B63" s="221"/>
      <c r="C63" s="301" t="s">
        <v>1077</v>
      </c>
      <c r="D63" s="298" t="s">
        <v>1081</v>
      </c>
      <c r="E63" s="218">
        <f>'Attach 11a - TEC Cost Support'!E10</f>
        <v>12588192.75</v>
      </c>
      <c r="F63" s="220">
        <f ca="1">$I$33</f>
        <v>3.3290673950572308E-2</v>
      </c>
      <c r="G63" s="251">
        <f ca="1">E63*F63</f>
        <v>419069.4204672082</v>
      </c>
      <c r="H63" s="218">
        <f>'Attach 11a - TEC Cost Support'!AI10</f>
        <v>8817120.5373487398</v>
      </c>
      <c r="I63" s="220">
        <f ca="1">$I$43</f>
        <v>7.0483288589647433E-2</v>
      </c>
      <c r="J63" s="251">
        <f ca="1">H63*I63</f>
        <v>621459.65136365849</v>
      </c>
      <c r="K63" s="252">
        <v>269225.92179436685</v>
      </c>
      <c r="L63" s="253">
        <f ca="1">G63+J63+K63</f>
        <v>1309754.9936252334</v>
      </c>
      <c r="M63" s="807">
        <f ca="1">H63*$S$45</f>
        <v>0</v>
      </c>
      <c r="N63" s="253">
        <f ca="1">L63+M63</f>
        <v>1309754.9936252334</v>
      </c>
      <c r="O63" s="254"/>
      <c r="P63" s="253">
        <f ca="1">N63+O63</f>
        <v>1309754.9936252334</v>
      </c>
    </row>
    <row r="64" spans="1:19">
      <c r="A64" s="297" t="s">
        <v>366</v>
      </c>
      <c r="B64" s="221"/>
      <c r="C64" s="301" t="s">
        <v>1078</v>
      </c>
      <c r="D64" s="298" t="s">
        <v>1082</v>
      </c>
      <c r="E64" s="218">
        <f>'Attach 11a - TEC Cost Support'!E11</f>
        <v>5983500.8699999992</v>
      </c>
      <c r="F64" s="220">
        <f ca="1">$I$33</f>
        <v>3.3290673950572308E-2</v>
      </c>
      <c r="G64" s="251">
        <f ca="1">E64*F64</f>
        <v>199194.77654613572</v>
      </c>
      <c r="H64" s="218">
        <f>'Attach 11a - TEC Cost Support'!AI11</f>
        <v>4516322.9603097774</v>
      </c>
      <c r="I64" s="220">
        <f ca="1">$I$43</f>
        <v>7.0483288589647433E-2</v>
      </c>
      <c r="J64" s="251">
        <f ca="1">H64*I64</f>
        <v>318325.29457556485</v>
      </c>
      <c r="K64" s="252">
        <v>128046.91861799995</v>
      </c>
      <c r="L64" s="253">
        <f ca="1">G64+J64+K64</f>
        <v>645566.98973970057</v>
      </c>
      <c r="M64" s="807">
        <f ca="1">H64*$S$45</f>
        <v>0</v>
      </c>
      <c r="N64" s="253">
        <f ca="1">L64+M64</f>
        <v>645566.98973970057</v>
      </c>
      <c r="O64" s="254"/>
      <c r="P64" s="253">
        <f ca="1">N64+O64</f>
        <v>645566.98973970057</v>
      </c>
    </row>
    <row r="65" spans="1:16">
      <c r="A65" s="297" t="s">
        <v>367</v>
      </c>
      <c r="B65" s="221"/>
      <c r="C65" s="301" t="s">
        <v>1079</v>
      </c>
      <c r="D65" s="298" t="s">
        <v>1083</v>
      </c>
      <c r="E65" s="218">
        <f>'Attach 11a - TEC Cost Support'!E12</f>
        <v>7336240.1700000009</v>
      </c>
      <c r="F65" s="220">
        <f ca="1">$I$33</f>
        <v>3.3290673950572308E-2</v>
      </c>
      <c r="G65" s="251">
        <f ca="1">E65*F65</f>
        <v>244228.37952256118</v>
      </c>
      <c r="H65" s="218">
        <f>'Attach 11a - TEC Cost Support'!AI12</f>
        <v>5986644.8991737664</v>
      </c>
      <c r="I65" s="220">
        <f ca="1">$I$43</f>
        <v>7.0483288589647433E-2</v>
      </c>
      <c r="J65" s="251">
        <f ca="1">H65*I65</f>
        <v>421958.42011220532</v>
      </c>
      <c r="K65" s="252">
        <v>167266.275876</v>
      </c>
      <c r="L65" s="253">
        <f ca="1">G65+J65+K65</f>
        <v>833453.07551076659</v>
      </c>
      <c r="M65" s="807">
        <f t="shared" ref="M65:M66" ca="1" si="0">H65*$S$45</f>
        <v>0</v>
      </c>
      <c r="N65" s="253">
        <f ca="1">L65+M65</f>
        <v>833453.07551076659</v>
      </c>
      <c r="O65" s="254"/>
      <c r="P65" s="253">
        <f t="shared" ref="P65:P66" ca="1" si="1">N65+O65</f>
        <v>833453.07551076659</v>
      </c>
    </row>
    <row r="66" spans="1:16">
      <c r="A66" s="297" t="s">
        <v>482</v>
      </c>
      <c r="C66" s="301" t="s">
        <v>1080</v>
      </c>
      <c r="D66" s="298" t="s">
        <v>1084</v>
      </c>
      <c r="E66" s="218">
        <f>'Attach 11a - TEC Cost Support'!E13</f>
        <v>173451588.98999995</v>
      </c>
      <c r="F66" s="220">
        <f ca="1">$I$33</f>
        <v>3.3290673950572308E-2</v>
      </c>
      <c r="G66" s="251">
        <f t="shared" ref="G66" ca="1" si="2">E66*F66</f>
        <v>5774320.2952747662</v>
      </c>
      <c r="H66" s="218">
        <f>'Attach 11a - TEC Cost Support'!AI13</f>
        <v>152461644.39887491</v>
      </c>
      <c r="I66" s="220">
        <f ca="1">$I$43</f>
        <v>7.0483288589647433E-2</v>
      </c>
      <c r="J66" s="251">
        <f ca="1">H66*I66</f>
        <v>10745998.081018105</v>
      </c>
      <c r="K66" s="252">
        <v>3417064.7604457731</v>
      </c>
      <c r="L66" s="253">
        <f t="shared" ref="L66" ca="1" si="3">G66+J66+K66</f>
        <v>19937383.136738643</v>
      </c>
      <c r="M66" s="807">
        <f t="shared" ca="1" si="0"/>
        <v>0</v>
      </c>
      <c r="N66" s="253">
        <f t="shared" ref="N66" ca="1" si="4">L66+M66</f>
        <v>19937383.136738643</v>
      </c>
      <c r="O66" s="299"/>
      <c r="P66" s="253">
        <f t="shared" ca="1" si="1"/>
        <v>19937383.136738643</v>
      </c>
    </row>
    <row r="67" spans="1:16">
      <c r="A67" s="203"/>
      <c r="C67" s="145"/>
      <c r="D67" s="145"/>
      <c r="E67" s="145"/>
      <c r="F67" s="145"/>
      <c r="G67" s="255"/>
      <c r="H67" s="145"/>
      <c r="I67" s="145"/>
      <c r="J67" s="255"/>
      <c r="K67" s="145"/>
      <c r="L67" s="255"/>
      <c r="M67" s="255"/>
      <c r="N67" s="255"/>
      <c r="O67" s="255"/>
      <c r="P67" s="255"/>
    </row>
    <row r="68" spans="1:16">
      <c r="A68" s="203"/>
      <c r="C68" s="145"/>
      <c r="D68" s="145"/>
      <c r="E68" s="145"/>
      <c r="F68" s="145"/>
      <c r="G68" s="255"/>
      <c r="H68" s="145"/>
      <c r="I68" s="145"/>
      <c r="J68" s="255"/>
      <c r="K68" s="145"/>
      <c r="L68" s="255"/>
      <c r="M68" s="255"/>
      <c r="N68" s="255"/>
      <c r="O68" s="255"/>
      <c r="P68" s="255"/>
    </row>
    <row r="69" spans="1:16">
      <c r="A69" s="203"/>
      <c r="C69" s="145"/>
      <c r="D69" s="145"/>
      <c r="E69" s="145"/>
      <c r="F69" s="145"/>
      <c r="G69" s="255"/>
      <c r="H69" s="145"/>
      <c r="I69" s="145"/>
      <c r="J69" s="255"/>
      <c r="K69" s="145"/>
      <c r="L69" s="255"/>
      <c r="M69" s="255"/>
      <c r="N69" s="255"/>
      <c r="O69" s="255"/>
      <c r="P69" s="255"/>
    </row>
    <row r="70" spans="1:16">
      <c r="A70" s="203"/>
      <c r="C70" s="145"/>
      <c r="D70" s="145"/>
      <c r="E70" s="145"/>
      <c r="F70" s="145"/>
      <c r="G70" s="255"/>
      <c r="H70" s="145"/>
      <c r="I70" s="145"/>
      <c r="J70" s="255"/>
      <c r="K70" s="145"/>
      <c r="L70" s="255"/>
      <c r="M70" s="255"/>
      <c r="N70" s="255"/>
      <c r="O70" s="255"/>
      <c r="P70" s="255"/>
    </row>
    <row r="71" spans="1:16">
      <c r="A71" s="203"/>
      <c r="C71" s="145"/>
      <c r="D71" s="145"/>
      <c r="E71" s="145"/>
      <c r="F71" s="145"/>
      <c r="G71" s="255"/>
      <c r="H71" s="145"/>
      <c r="I71" s="145"/>
      <c r="J71" s="255"/>
      <c r="K71" s="145"/>
      <c r="L71" s="255"/>
      <c r="M71" s="255"/>
      <c r="N71" s="255"/>
      <c r="O71" s="255"/>
      <c r="P71" s="255"/>
    </row>
    <row r="72" spans="1:16">
      <c r="A72" s="203"/>
      <c r="C72" s="145"/>
      <c r="D72" s="145"/>
      <c r="E72" s="145"/>
      <c r="F72" s="145"/>
      <c r="G72" s="255"/>
      <c r="H72" s="145"/>
      <c r="I72" s="145"/>
      <c r="J72" s="255"/>
      <c r="K72" s="145"/>
      <c r="L72" s="255"/>
      <c r="M72" s="255"/>
      <c r="N72" s="255"/>
      <c r="O72" s="255"/>
      <c r="P72" s="255"/>
    </row>
    <row r="73" spans="1:16">
      <c r="A73" s="203"/>
      <c r="C73" s="145"/>
      <c r="D73" s="145"/>
      <c r="E73" s="145"/>
      <c r="F73" s="145"/>
      <c r="G73" s="255"/>
      <c r="H73" s="145"/>
      <c r="I73" s="145"/>
      <c r="J73" s="255"/>
      <c r="K73" s="145"/>
      <c r="L73" s="255"/>
      <c r="M73" s="255"/>
      <c r="N73" s="255"/>
      <c r="O73" s="255"/>
      <c r="P73" s="255"/>
    </row>
    <row r="74" spans="1:16">
      <c r="A74" s="203"/>
      <c r="C74" s="145"/>
      <c r="D74" s="145"/>
      <c r="E74" s="145"/>
      <c r="F74" s="145"/>
      <c r="G74" s="255"/>
      <c r="H74" s="145"/>
      <c r="I74" s="145"/>
      <c r="J74" s="255"/>
      <c r="K74" s="145"/>
      <c r="L74" s="255"/>
      <c r="M74" s="255"/>
      <c r="N74" s="255"/>
      <c r="O74" s="255"/>
      <c r="P74" s="255"/>
    </row>
    <row r="75" spans="1:16">
      <c r="A75" s="203"/>
      <c r="C75" s="145"/>
      <c r="D75" s="145"/>
      <c r="E75" s="145"/>
      <c r="F75" s="145"/>
      <c r="G75" s="255"/>
      <c r="H75" s="145"/>
      <c r="I75" s="145"/>
      <c r="J75" s="255"/>
      <c r="K75" s="145"/>
      <c r="L75" s="255"/>
      <c r="M75" s="255"/>
      <c r="N75" s="255"/>
      <c r="O75" s="255"/>
      <c r="P75" s="255"/>
    </row>
    <row r="76" spans="1:16">
      <c r="A76" s="203"/>
      <c r="C76" s="145"/>
      <c r="D76" s="145"/>
      <c r="E76" s="145"/>
      <c r="F76" s="145"/>
      <c r="G76" s="255"/>
      <c r="H76" s="145"/>
      <c r="I76" s="145"/>
      <c r="J76" s="255"/>
      <c r="K76" s="145"/>
      <c r="L76" s="255"/>
      <c r="M76" s="255"/>
      <c r="N76" s="255"/>
      <c r="O76" s="255"/>
      <c r="P76" s="255"/>
    </row>
    <row r="77" spans="1:16">
      <c r="A77" s="203"/>
      <c r="C77" s="145"/>
      <c r="D77" s="145"/>
      <c r="E77" s="145"/>
      <c r="F77" s="145"/>
      <c r="G77" s="255"/>
      <c r="H77" s="145"/>
      <c r="I77" s="145"/>
      <c r="J77" s="255"/>
      <c r="K77" s="145"/>
      <c r="L77" s="255"/>
      <c r="M77" s="255"/>
      <c r="N77" s="255"/>
      <c r="O77" s="255"/>
      <c r="P77" s="255"/>
    </row>
    <row r="78" spans="1:16">
      <c r="A78" s="256"/>
      <c r="B78" s="232"/>
      <c r="C78" s="257"/>
      <c r="D78" s="257"/>
      <c r="E78" s="257"/>
      <c r="F78" s="257"/>
      <c r="G78" s="258"/>
      <c r="H78" s="257"/>
      <c r="I78" s="257"/>
      <c r="J78" s="258"/>
      <c r="K78" s="257"/>
      <c r="L78" s="258"/>
      <c r="M78" s="258"/>
      <c r="N78" s="258"/>
      <c r="O78" s="258"/>
      <c r="P78" s="258"/>
    </row>
    <row r="79" spans="1:16">
      <c r="A79" s="207" t="s">
        <v>168</v>
      </c>
      <c r="C79" s="159" t="s">
        <v>889</v>
      </c>
      <c r="D79" s="160"/>
      <c r="E79" s="221"/>
      <c r="F79" s="221"/>
      <c r="G79" s="204"/>
      <c r="H79" s="204"/>
      <c r="I79" s="204"/>
      <c r="J79" s="204"/>
      <c r="K79" s="204"/>
      <c r="L79" s="259"/>
      <c r="M79" s="259"/>
      <c r="N79" s="580">
        <f ca="1">SUM(N63:N78)</f>
        <v>22726158.195614345</v>
      </c>
      <c r="O79" s="218"/>
      <c r="P79" s="259"/>
    </row>
    <row r="80" spans="1:16">
      <c r="A80" s="260" t="s">
        <v>169</v>
      </c>
      <c r="B80" s="145"/>
      <c r="C80" s="159" t="s">
        <v>806</v>
      </c>
      <c r="D80" s="145"/>
      <c r="E80" s="145"/>
      <c r="F80" s="145"/>
      <c r="G80" s="145"/>
      <c r="H80" s="145"/>
      <c r="I80" s="145"/>
      <c r="J80" s="145"/>
      <c r="K80" s="145"/>
      <c r="L80" s="145"/>
      <c r="M80" s="145">
        <f ca="1">SUM(M63:M78)</f>
        <v>0</v>
      </c>
      <c r="N80" s="145"/>
      <c r="O80" s="145"/>
    </row>
    <row r="81" spans="1:15">
      <c r="A81" s="145"/>
      <c r="B81" s="145"/>
      <c r="C81" s="145"/>
      <c r="D81" s="145"/>
      <c r="E81" s="145"/>
      <c r="F81" s="145"/>
      <c r="G81" s="145"/>
      <c r="H81" s="145"/>
      <c r="I81" s="145"/>
      <c r="J81" s="145"/>
      <c r="K81" s="145"/>
      <c r="L81" s="145"/>
      <c r="M81" s="145"/>
      <c r="N81" s="145"/>
      <c r="O81" s="145"/>
    </row>
    <row r="82" spans="1:15">
      <c r="A82" s="261" t="s">
        <v>153</v>
      </c>
      <c r="B82" s="145"/>
      <c r="C82" s="145"/>
      <c r="D82" s="145"/>
      <c r="E82" s="145"/>
      <c r="F82" s="145"/>
      <c r="G82" s="145"/>
      <c r="H82" s="145"/>
      <c r="I82" s="145"/>
      <c r="J82" s="145"/>
      <c r="K82" s="145"/>
      <c r="L82" s="145"/>
    </row>
    <row r="83" spans="1:15">
      <c r="A83" s="221" t="s">
        <v>75</v>
      </c>
      <c r="C83" s="1008" t="s">
        <v>462</v>
      </c>
      <c r="D83" s="1008"/>
      <c r="E83" s="1008"/>
      <c r="F83" s="1008"/>
      <c r="G83" s="1008"/>
      <c r="H83" s="1008"/>
      <c r="I83" s="1008"/>
      <c r="J83" s="1008"/>
      <c r="K83" s="1008"/>
      <c r="L83" s="1008"/>
    </row>
    <row r="84" spans="1:15">
      <c r="A84" s="221" t="s">
        <v>76</v>
      </c>
      <c r="C84" s="1008" t="s">
        <v>463</v>
      </c>
      <c r="D84" s="1008"/>
      <c r="E84" s="1008"/>
      <c r="F84" s="1008"/>
      <c r="G84" s="1008"/>
      <c r="H84" s="1008"/>
      <c r="I84" s="1008"/>
      <c r="J84" s="1008"/>
      <c r="K84" s="1008"/>
      <c r="L84" s="1008"/>
    </row>
    <row r="85" spans="1:15" ht="15" customHeight="1">
      <c r="A85" s="262" t="s">
        <v>77</v>
      </c>
      <c r="C85" s="1003" t="s">
        <v>155</v>
      </c>
      <c r="D85" s="1003"/>
      <c r="E85" s="1003"/>
      <c r="F85" s="1003"/>
      <c r="G85" s="1003"/>
      <c r="H85" s="1003"/>
      <c r="I85" s="1003"/>
      <c r="J85" s="1003"/>
      <c r="K85" s="1003"/>
      <c r="L85" s="1003"/>
    </row>
    <row r="86" spans="1:15">
      <c r="A86" s="262" t="s">
        <v>78</v>
      </c>
      <c r="C86" s="1003" t="s">
        <v>143</v>
      </c>
      <c r="D86" s="1003"/>
      <c r="E86" s="1003"/>
      <c r="F86" s="1003"/>
      <c r="G86" s="1003"/>
      <c r="H86" s="1003"/>
      <c r="I86" s="1003"/>
      <c r="J86" s="1003"/>
      <c r="K86" s="1003"/>
      <c r="L86" s="1003"/>
    </row>
    <row r="87" spans="1:15">
      <c r="A87" s="221" t="s">
        <v>79</v>
      </c>
      <c r="C87" s="1008" t="s">
        <v>807</v>
      </c>
      <c r="D87" s="1008"/>
      <c r="E87" s="1008"/>
      <c r="F87" s="1008"/>
      <c r="G87" s="1008"/>
      <c r="H87" s="1008"/>
      <c r="I87" s="1008"/>
      <c r="J87" s="1008"/>
      <c r="K87" s="1008"/>
      <c r="L87" s="1008"/>
    </row>
    <row r="88" spans="1:15">
      <c r="A88" s="221" t="s">
        <v>80</v>
      </c>
      <c r="C88" s="159" t="s">
        <v>389</v>
      </c>
    </row>
    <row r="89" spans="1:15">
      <c r="A89" s="221" t="s">
        <v>81</v>
      </c>
      <c r="C89" s="159" t="s">
        <v>447</v>
      </c>
    </row>
    <row r="90" spans="1:15">
      <c r="A90" s="221" t="s">
        <v>83</v>
      </c>
      <c r="C90" s="159" t="s">
        <v>269</v>
      </c>
      <c r="D90" s="207"/>
      <c r="E90" s="221"/>
      <c r="F90" s="221"/>
      <c r="G90" s="204"/>
      <c r="J90" s="264"/>
    </row>
    <row r="91" spans="1:15">
      <c r="A91" s="207"/>
      <c r="C91" s="284"/>
      <c r="D91" s="207"/>
      <c r="E91" s="221"/>
      <c r="F91" s="221"/>
      <c r="G91" s="204"/>
      <c r="J91" s="264"/>
    </row>
    <row r="92" spans="1:15">
      <c r="C92" s="145"/>
      <c r="D92" s="145"/>
      <c r="E92" s="145"/>
      <c r="F92" s="145"/>
      <c r="G92" s="145"/>
      <c r="H92" s="145"/>
      <c r="I92" s="145"/>
      <c r="J92" s="145"/>
      <c r="K92" s="145"/>
      <c r="L92" s="145"/>
    </row>
    <row r="93" spans="1:15">
      <c r="C93" s="145"/>
      <c r="D93" s="145"/>
      <c r="E93" s="145"/>
      <c r="F93" s="145"/>
      <c r="G93" s="145"/>
      <c r="H93" s="145"/>
      <c r="I93" s="145"/>
      <c r="J93" s="145"/>
      <c r="K93" s="145"/>
      <c r="L93" s="145"/>
    </row>
    <row r="94" spans="1:15">
      <c r="C94" s="145"/>
      <c r="D94" s="145"/>
      <c r="E94" s="145"/>
      <c r="F94" s="145"/>
      <c r="G94" s="145"/>
      <c r="H94" s="145"/>
      <c r="I94" s="145"/>
      <c r="J94" s="145"/>
      <c r="K94" s="145"/>
      <c r="L94" s="145"/>
    </row>
    <row r="95" spans="1:15">
      <c r="C95" s="145"/>
      <c r="D95" s="145"/>
      <c r="E95" s="145"/>
      <c r="F95" s="145"/>
      <c r="G95" s="145"/>
      <c r="H95" s="145"/>
      <c r="I95" s="145"/>
      <c r="J95" s="145"/>
      <c r="K95" s="145"/>
      <c r="L95" s="145"/>
    </row>
    <row r="96" spans="1:15">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row r="244" spans="3:12">
      <c r="C244" s="145"/>
      <c r="D244" s="145"/>
      <c r="E244" s="145"/>
      <c r="F244" s="145"/>
      <c r="G244" s="145"/>
      <c r="H244" s="145"/>
      <c r="I244" s="145"/>
      <c r="J244" s="145"/>
      <c r="K244" s="145"/>
      <c r="L244" s="145"/>
    </row>
    <row r="245" spans="3:12">
      <c r="C245" s="145"/>
      <c r="D245" s="145"/>
      <c r="E245" s="145"/>
      <c r="F245" s="145"/>
      <c r="G245" s="145"/>
      <c r="H245" s="145"/>
      <c r="I245" s="145"/>
      <c r="J245" s="145"/>
      <c r="K245" s="145"/>
      <c r="L245" s="145"/>
    </row>
    <row r="246" spans="3:12">
      <c r="C246" s="145"/>
      <c r="D246" s="145"/>
      <c r="E246" s="145"/>
      <c r="F246" s="145"/>
      <c r="G246" s="145"/>
      <c r="H246" s="145"/>
      <c r="I246" s="145"/>
      <c r="J246" s="145"/>
      <c r="K246" s="145"/>
      <c r="L246" s="145"/>
    </row>
    <row r="247" spans="3:12">
      <c r="C247" s="145"/>
      <c r="D247" s="145"/>
      <c r="E247" s="145"/>
      <c r="F247" s="145"/>
      <c r="G247" s="145"/>
      <c r="H247" s="145"/>
      <c r="I247" s="145"/>
      <c r="J247" s="145"/>
      <c r="K247" s="145"/>
      <c r="L247" s="145"/>
    </row>
    <row r="248" spans="3:12">
      <c r="C248" s="145"/>
      <c r="D248" s="145"/>
      <c r="E248" s="145"/>
      <c r="F248" s="145"/>
      <c r="G248" s="145"/>
      <c r="H248" s="145"/>
      <c r="I248" s="145"/>
      <c r="J248" s="145"/>
      <c r="K248" s="145"/>
      <c r="L248" s="145"/>
    </row>
    <row r="249" spans="3:12">
      <c r="C249" s="145"/>
      <c r="D249" s="145"/>
      <c r="E249" s="145"/>
      <c r="F249" s="145"/>
      <c r="G249" s="145"/>
      <c r="H249" s="145"/>
      <c r="I249" s="145"/>
      <c r="J249" s="145"/>
      <c r="K249" s="145"/>
      <c r="L249" s="145"/>
    </row>
    <row r="250" spans="3:12">
      <c r="C250" s="145"/>
      <c r="D250" s="145"/>
      <c r="E250" s="145"/>
      <c r="F250" s="145"/>
      <c r="G250" s="145"/>
      <c r="H250" s="145"/>
      <c r="I250" s="145"/>
      <c r="J250" s="145"/>
      <c r="K250" s="145"/>
      <c r="L250" s="145"/>
    </row>
    <row r="251" spans="3:12">
      <c r="C251" s="145"/>
      <c r="D251" s="145"/>
      <c r="E251" s="145"/>
      <c r="F251" s="145"/>
      <c r="G251" s="145"/>
      <c r="H251" s="145"/>
      <c r="I251" s="145"/>
      <c r="J251" s="145"/>
      <c r="K251" s="145"/>
      <c r="L251" s="145"/>
    </row>
    <row r="252" spans="3:12">
      <c r="C252" s="145"/>
      <c r="D252" s="145"/>
      <c r="E252" s="145"/>
      <c r="F252" s="145"/>
      <c r="G252" s="145"/>
      <c r="H252" s="145"/>
      <c r="I252" s="145"/>
      <c r="J252" s="145"/>
      <c r="K252" s="145"/>
      <c r="L252" s="145"/>
    </row>
    <row r="253" spans="3:12">
      <c r="C253" s="145"/>
      <c r="D253" s="145"/>
      <c r="E253" s="145"/>
      <c r="F253" s="145"/>
      <c r="G253" s="145"/>
      <c r="H253" s="145"/>
      <c r="I253" s="145"/>
      <c r="J253" s="145"/>
      <c r="K253" s="145"/>
      <c r="L253" s="145"/>
    </row>
    <row r="254" spans="3:12">
      <c r="C254" s="145"/>
      <c r="D254" s="145"/>
      <c r="E254" s="145"/>
      <c r="F254" s="145"/>
      <c r="G254" s="145"/>
      <c r="H254" s="145"/>
      <c r="I254" s="145"/>
      <c r="J254" s="145"/>
      <c r="K254" s="145"/>
      <c r="L254" s="145"/>
    </row>
    <row r="255" spans="3:12">
      <c r="C255" s="145"/>
      <c r="D255" s="145"/>
      <c r="E255" s="145"/>
      <c r="F255" s="145"/>
      <c r="G255" s="145"/>
      <c r="H255" s="145"/>
      <c r="I255" s="145"/>
      <c r="J255" s="145"/>
      <c r="K255" s="145"/>
      <c r="L255" s="145"/>
    </row>
    <row r="256" spans="3:12">
      <c r="C256" s="145"/>
      <c r="D256" s="145"/>
      <c r="E256" s="145"/>
      <c r="F256" s="145"/>
      <c r="G256" s="145"/>
      <c r="H256" s="145"/>
      <c r="I256" s="145"/>
      <c r="J256" s="145"/>
      <c r="K256" s="145"/>
      <c r="L256" s="145"/>
    </row>
    <row r="257" spans="3:12">
      <c r="C257" s="145"/>
      <c r="D257" s="145"/>
      <c r="E257" s="145"/>
      <c r="F257" s="145"/>
      <c r="G257" s="145"/>
      <c r="H257" s="145"/>
      <c r="I257" s="145"/>
      <c r="J257" s="145"/>
      <c r="K257" s="145"/>
      <c r="L257" s="145"/>
    </row>
    <row r="258" spans="3:12">
      <c r="C258" s="145"/>
      <c r="D258" s="145"/>
      <c r="E258" s="145"/>
      <c r="F258" s="145"/>
      <c r="G258" s="145"/>
      <c r="H258" s="145"/>
      <c r="I258" s="145"/>
      <c r="J258" s="145"/>
      <c r="K258" s="145"/>
      <c r="L258" s="145"/>
    </row>
    <row r="259" spans="3:12">
      <c r="C259" s="145"/>
      <c r="D259" s="145"/>
      <c r="E259" s="145"/>
      <c r="F259" s="145"/>
      <c r="G259" s="145"/>
      <c r="H259" s="145"/>
      <c r="I259" s="145"/>
      <c r="J259" s="145"/>
      <c r="K259" s="145"/>
      <c r="L259" s="145"/>
    </row>
    <row r="260" spans="3:12">
      <c r="C260" s="145"/>
      <c r="D260" s="145"/>
      <c r="E260" s="145"/>
      <c r="F260" s="145"/>
      <c r="G260" s="145"/>
      <c r="H260" s="145"/>
      <c r="I260" s="145"/>
      <c r="J260" s="145"/>
      <c r="K260" s="145"/>
      <c r="L260" s="145"/>
    </row>
    <row r="261" spans="3:12">
      <c r="C261" s="145"/>
      <c r="D261" s="145"/>
      <c r="E261" s="145"/>
      <c r="F261" s="145"/>
      <c r="G261" s="145"/>
      <c r="H261" s="145"/>
      <c r="I261" s="145"/>
      <c r="J261" s="145"/>
      <c r="K261" s="145"/>
      <c r="L261" s="145"/>
    </row>
    <row r="262" spans="3:12">
      <c r="C262" s="145"/>
      <c r="D262" s="145"/>
      <c r="E262" s="145"/>
      <c r="F262" s="145"/>
      <c r="G262" s="145"/>
      <c r="H262" s="145"/>
      <c r="I262" s="145"/>
      <c r="J262" s="145"/>
      <c r="K262" s="145"/>
      <c r="L262" s="145"/>
    </row>
    <row r="263" spans="3:12">
      <c r="C263" s="145"/>
      <c r="D263" s="145"/>
      <c r="E263" s="145"/>
      <c r="F263" s="145"/>
      <c r="G263" s="145"/>
      <c r="H263" s="145"/>
      <c r="I263" s="145"/>
      <c r="J263" s="145"/>
      <c r="K263" s="145"/>
      <c r="L263" s="145"/>
    </row>
    <row r="264" spans="3:12">
      <c r="C264" s="145"/>
      <c r="D264" s="145"/>
      <c r="E264" s="145"/>
      <c r="F264" s="145"/>
      <c r="G264" s="145"/>
      <c r="H264" s="145"/>
      <c r="I264" s="145"/>
      <c r="J264" s="145"/>
      <c r="K264" s="145"/>
      <c r="L264" s="145"/>
    </row>
    <row r="265" spans="3:12">
      <c r="C265" s="145"/>
      <c r="D265" s="145"/>
      <c r="E265" s="145"/>
      <c r="F265" s="145"/>
      <c r="G265" s="145"/>
      <c r="H265" s="145"/>
      <c r="I265" s="145"/>
      <c r="J265" s="145"/>
      <c r="K265" s="145"/>
      <c r="L265" s="145"/>
    </row>
    <row r="266" spans="3:12">
      <c r="C266" s="145"/>
      <c r="D266" s="145"/>
      <c r="E266" s="145"/>
      <c r="F266" s="145"/>
      <c r="G266" s="145"/>
      <c r="H266" s="145"/>
      <c r="I266" s="145"/>
      <c r="J266" s="145"/>
      <c r="K266" s="145"/>
      <c r="L266" s="145"/>
    </row>
    <row r="267" spans="3:12">
      <c r="C267" s="145"/>
      <c r="D267" s="145"/>
      <c r="E267" s="145"/>
      <c r="F267" s="145"/>
      <c r="G267" s="145"/>
      <c r="H267" s="145"/>
      <c r="I267" s="145"/>
      <c r="J267" s="145"/>
      <c r="K267" s="145"/>
      <c r="L267" s="145"/>
    </row>
    <row r="268" spans="3:12">
      <c r="C268" s="145"/>
      <c r="D268" s="145"/>
      <c r="E268" s="145"/>
      <c r="F268" s="145"/>
      <c r="G268" s="145"/>
      <c r="H268" s="145"/>
      <c r="I268" s="145"/>
      <c r="J268" s="145"/>
      <c r="K268" s="145"/>
      <c r="L268" s="145"/>
    </row>
    <row r="269" spans="3:12">
      <c r="C269" s="145"/>
      <c r="D269" s="145"/>
      <c r="E269" s="145"/>
      <c r="F269" s="145"/>
      <c r="G269" s="145"/>
      <c r="H269" s="145"/>
      <c r="I269" s="145"/>
      <c r="J269" s="145"/>
      <c r="K269" s="145"/>
      <c r="L269" s="145"/>
    </row>
    <row r="270" spans="3:12">
      <c r="C270" s="145"/>
      <c r="D270" s="145"/>
      <c r="E270" s="145"/>
      <c r="F270" s="145"/>
      <c r="G270" s="145"/>
      <c r="H270" s="145"/>
      <c r="I270" s="145"/>
      <c r="J270" s="145"/>
      <c r="K270" s="145"/>
      <c r="L270" s="145"/>
    </row>
    <row r="271" spans="3:12">
      <c r="C271" s="145"/>
      <c r="D271" s="145"/>
      <c r="E271" s="145"/>
      <c r="F271" s="145"/>
      <c r="G271" s="145"/>
      <c r="H271" s="145"/>
      <c r="I271" s="145"/>
      <c r="J271" s="145"/>
      <c r="K271" s="145"/>
      <c r="L271" s="145"/>
    </row>
    <row r="272" spans="3:12">
      <c r="C272" s="145"/>
      <c r="D272" s="145"/>
      <c r="E272" s="145"/>
      <c r="F272" s="145"/>
      <c r="G272" s="145"/>
      <c r="H272" s="145"/>
      <c r="I272" s="145"/>
      <c r="J272" s="145"/>
      <c r="K272" s="145"/>
      <c r="L272" s="145"/>
    </row>
    <row r="273" spans="3:12">
      <c r="C273" s="145"/>
      <c r="D273" s="145"/>
      <c r="E273" s="145"/>
      <c r="F273" s="145"/>
      <c r="G273" s="145"/>
      <c r="H273" s="145"/>
      <c r="I273" s="145"/>
      <c r="J273" s="145"/>
      <c r="K273" s="145"/>
      <c r="L273" s="145"/>
    </row>
    <row r="274" spans="3:12">
      <c r="C274" s="145"/>
      <c r="D274" s="145"/>
      <c r="E274" s="145"/>
      <c r="F274" s="145"/>
      <c r="G274" s="145"/>
      <c r="H274" s="145"/>
      <c r="I274" s="145"/>
      <c r="J274" s="145"/>
      <c r="K274" s="145"/>
      <c r="L274" s="145"/>
    </row>
    <row r="275" spans="3:12">
      <c r="C275" s="145"/>
      <c r="D275" s="145"/>
      <c r="E275" s="145"/>
      <c r="F275" s="145"/>
      <c r="G275" s="145"/>
      <c r="H275" s="145"/>
      <c r="I275" s="145"/>
      <c r="J275" s="145"/>
      <c r="K275" s="145"/>
      <c r="L275" s="145"/>
    </row>
    <row r="276" spans="3:12">
      <c r="C276" s="145"/>
      <c r="D276" s="145"/>
      <c r="E276" s="145"/>
      <c r="F276" s="145"/>
      <c r="G276" s="145"/>
      <c r="H276" s="145"/>
      <c r="I276" s="145"/>
      <c r="J276" s="145"/>
      <c r="K276" s="145"/>
      <c r="L276" s="145"/>
    </row>
    <row r="277" spans="3:12">
      <c r="C277" s="145"/>
      <c r="D277" s="145"/>
      <c r="E277" s="145"/>
      <c r="F277" s="145"/>
      <c r="G277" s="145"/>
      <c r="H277" s="145"/>
      <c r="I277" s="145"/>
      <c r="J277" s="145"/>
      <c r="K277" s="145"/>
      <c r="L277" s="145"/>
    </row>
    <row r="278" spans="3:12">
      <c r="C278" s="145"/>
      <c r="D278" s="145"/>
      <c r="E278" s="145"/>
      <c r="F278" s="145"/>
      <c r="G278" s="145"/>
      <c r="H278" s="145"/>
      <c r="I278" s="145"/>
      <c r="J278" s="145"/>
      <c r="K278" s="145"/>
      <c r="L278" s="145"/>
    </row>
    <row r="279" spans="3:12">
      <c r="C279" s="145"/>
      <c r="D279" s="145"/>
      <c r="E279" s="145"/>
      <c r="F279" s="145"/>
      <c r="G279" s="145"/>
      <c r="H279" s="145"/>
      <c r="I279" s="145"/>
      <c r="J279" s="145"/>
      <c r="K279" s="145"/>
      <c r="L279" s="145"/>
    </row>
    <row r="280" spans="3:12">
      <c r="C280" s="145"/>
      <c r="D280" s="145"/>
      <c r="E280" s="145"/>
      <c r="F280" s="145"/>
      <c r="G280" s="145"/>
      <c r="H280" s="145"/>
      <c r="I280" s="145"/>
      <c r="J280" s="145"/>
      <c r="K280" s="145"/>
      <c r="L280" s="145"/>
    </row>
    <row r="281" spans="3:12">
      <c r="C281" s="145"/>
      <c r="D281" s="145"/>
      <c r="E281" s="145"/>
      <c r="F281" s="145"/>
      <c r="G281" s="145"/>
      <c r="H281" s="145"/>
      <c r="I281" s="145"/>
      <c r="J281" s="145"/>
      <c r="K281" s="145"/>
      <c r="L281" s="145"/>
    </row>
    <row r="282" spans="3:12">
      <c r="C282" s="145"/>
      <c r="D282" s="145"/>
      <c r="E282" s="145"/>
      <c r="F282" s="145"/>
      <c r="G282" s="145"/>
      <c r="H282" s="145"/>
      <c r="I282" s="145"/>
      <c r="J282" s="145"/>
      <c r="K282" s="145"/>
      <c r="L282" s="145"/>
    </row>
    <row r="283" spans="3:12">
      <c r="C283" s="145"/>
      <c r="D283" s="145"/>
      <c r="E283" s="145"/>
      <c r="F283" s="145"/>
      <c r="G283" s="145"/>
      <c r="H283" s="145"/>
      <c r="I283" s="145"/>
      <c r="J283" s="145"/>
      <c r="K283" s="145"/>
      <c r="L283" s="145"/>
    </row>
    <row r="284" spans="3:12">
      <c r="C284" s="145"/>
      <c r="D284" s="145"/>
      <c r="E284" s="145"/>
      <c r="F284" s="145"/>
      <c r="G284" s="145"/>
      <c r="H284" s="145"/>
      <c r="I284" s="145"/>
      <c r="J284" s="145"/>
      <c r="K284" s="145"/>
      <c r="L284" s="145"/>
    </row>
    <row r="285" spans="3:12">
      <c r="C285" s="145"/>
      <c r="D285" s="145"/>
      <c r="E285" s="145"/>
      <c r="F285" s="145"/>
      <c r="G285" s="145"/>
      <c r="H285" s="145"/>
      <c r="I285" s="145"/>
      <c r="J285" s="145"/>
      <c r="K285" s="145"/>
      <c r="L285" s="145"/>
    </row>
    <row r="286" spans="3:12">
      <c r="C286" s="145"/>
      <c r="D286" s="145"/>
      <c r="E286" s="145"/>
      <c r="F286" s="145"/>
      <c r="G286" s="145"/>
      <c r="H286" s="145"/>
      <c r="I286" s="145"/>
      <c r="J286" s="145"/>
      <c r="K286" s="145"/>
      <c r="L286" s="145"/>
    </row>
    <row r="287" spans="3:12">
      <c r="C287" s="145"/>
      <c r="D287" s="145"/>
      <c r="E287" s="145"/>
      <c r="F287" s="145"/>
      <c r="G287" s="145"/>
      <c r="H287" s="145"/>
      <c r="I287" s="145"/>
      <c r="J287" s="145"/>
      <c r="K287" s="145"/>
      <c r="L287" s="145"/>
    </row>
  </sheetData>
  <customSheetViews>
    <customSheetView guid="{E1861F40-EBD5-44AE-868B-FDE0ED504D72}" scale="65" showPageBreaks="1" printArea="1" view="pageBreakPreview" topLeftCell="A43">
      <selection activeCell="N56" sqref="N56"/>
      <rowBreaks count="1" manualBreakCount="1">
        <brk id="41" max="13" man="1"/>
      </rowBreaks>
      <pageMargins left="0.25" right="0.25" top="0.75" bottom="0.25" header="0.4" footer="0.5"/>
      <printOptions horizontalCentered="1"/>
      <pageSetup scale="51" fitToHeight="3" orientation="landscape" r:id="rId1"/>
      <headerFooter alignWithMargins="0"/>
    </customSheetView>
  </customSheetViews>
  <mergeCells count="12">
    <mergeCell ref="C87:L87"/>
    <mergeCell ref="C83:L83"/>
    <mergeCell ref="C84:L84"/>
    <mergeCell ref="A55:N55"/>
    <mergeCell ref="A56:N56"/>
    <mergeCell ref="A5:N5"/>
    <mergeCell ref="A6:N6"/>
    <mergeCell ref="A7:L7"/>
    <mergeCell ref="C85:L85"/>
    <mergeCell ref="C86:L86"/>
    <mergeCell ref="K11:S11"/>
    <mergeCell ref="E12:G12"/>
  </mergeCells>
  <phoneticPr fontId="17" type="noConversion"/>
  <printOptions horizontalCentered="1"/>
  <pageMargins left="0.7" right="0.7" top="0.75" bottom="0.75" header="0.3" footer="0.3"/>
  <pageSetup scale="24" fitToHeight="0" orientation="landscape" r:id="rId2"/>
  <headerFooter alignWithMargins="0"/>
  <rowBreaks count="1" manualBreakCount="1">
    <brk id="46" max="1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V29"/>
  <sheetViews>
    <sheetView view="pageBreakPreview" zoomScale="60" zoomScaleNormal="100" workbookViewId="0">
      <selection activeCell="A3" sqref="A3"/>
    </sheetView>
  </sheetViews>
  <sheetFormatPr defaultRowHeight="15"/>
  <cols>
    <col min="1" max="1" width="7.54296875" customWidth="1"/>
    <col min="2" max="2" width="2.54296875" customWidth="1"/>
    <col min="3" max="3" width="31.7265625" customWidth="1"/>
    <col min="4" max="4" width="14.453125" customWidth="1"/>
    <col min="5" max="5" width="15.08984375" customWidth="1"/>
    <col min="6" max="6" width="15" customWidth="1"/>
    <col min="7" max="8" width="14.54296875" bestFit="1" customWidth="1"/>
    <col min="9" max="9" width="14.6328125" customWidth="1"/>
    <col min="10" max="10" width="15.54296875" customWidth="1"/>
    <col min="11" max="11" width="14.54296875" bestFit="1" customWidth="1"/>
    <col min="12" max="18" width="16" bestFit="1" customWidth="1"/>
    <col min="19" max="19" width="3.81640625" customWidth="1"/>
    <col min="20" max="20" width="15.26953125" bestFit="1" customWidth="1"/>
    <col min="21" max="21" width="15.453125" customWidth="1"/>
    <col min="22" max="22" width="12.81640625" bestFit="1" customWidth="1"/>
    <col min="23" max="23" width="14.81640625" customWidth="1"/>
    <col min="24" max="24" width="13.26953125" bestFit="1" customWidth="1"/>
    <col min="25" max="25" width="15.81640625" customWidth="1"/>
    <col min="26" max="26" width="13.26953125" bestFit="1" customWidth="1"/>
    <col min="27" max="27" width="15.1796875" customWidth="1"/>
    <col min="28" max="29" width="13.26953125" bestFit="1" customWidth="1"/>
    <col min="30" max="30" width="14.81640625" customWidth="1"/>
    <col min="31" max="31" width="13.26953125" bestFit="1" customWidth="1"/>
    <col min="32" max="32" width="13.7265625" bestFit="1" customWidth="1"/>
    <col min="33" max="33" width="15" customWidth="1"/>
    <col min="34" max="34" width="3.81640625" customWidth="1"/>
    <col min="35" max="35" width="17" customWidth="1"/>
  </cols>
  <sheetData>
    <row r="1" spans="1:48" ht="15.6">
      <c r="A1" s="1011" t="s">
        <v>512</v>
      </c>
      <c r="B1" s="1011"/>
      <c r="C1" s="1011"/>
      <c r="D1" s="1011"/>
      <c r="E1" s="1011"/>
      <c r="F1" s="1011"/>
      <c r="G1" s="1011"/>
      <c r="H1" s="1011"/>
      <c r="I1" s="1011"/>
      <c r="J1" s="1011"/>
      <c r="K1" s="1011"/>
      <c r="L1" s="1011"/>
      <c r="M1" s="1011"/>
      <c r="N1" s="1011"/>
      <c r="O1" s="18"/>
      <c r="R1" s="3"/>
      <c r="S1" s="3" t="s">
        <v>464</v>
      </c>
      <c r="T1" s="1011" t="str">
        <f>A1</f>
        <v>TEC Worksheet Support</v>
      </c>
      <c r="U1" s="1011"/>
      <c r="V1" s="1011"/>
      <c r="W1" s="1011"/>
      <c r="X1" s="1011"/>
      <c r="Y1" s="1011"/>
      <c r="Z1" s="1011"/>
      <c r="AA1" s="1011"/>
      <c r="AB1" s="1011"/>
      <c r="AC1" s="1011"/>
      <c r="AD1" s="1011"/>
      <c r="AE1" s="1011"/>
      <c r="AF1" s="18"/>
      <c r="AG1" s="18"/>
      <c r="AH1" s="18"/>
      <c r="AI1" s="3" t="str">
        <f>S1</f>
        <v>Attachment  H-4A, Attachment 11a</v>
      </c>
    </row>
    <row r="2" spans="1:48" ht="15.6">
      <c r="A2" s="1012" t="s">
        <v>267</v>
      </c>
      <c r="B2" s="1012"/>
      <c r="C2" s="1012"/>
      <c r="D2" s="1012"/>
      <c r="E2" s="1012"/>
      <c r="F2" s="1012"/>
      <c r="G2" s="1012"/>
      <c r="H2" s="1012"/>
      <c r="I2" s="1012"/>
      <c r="J2" s="1012"/>
      <c r="K2" s="1012"/>
      <c r="L2" s="1012"/>
      <c r="M2" s="1012"/>
      <c r="N2" s="1012"/>
      <c r="O2" s="162"/>
      <c r="R2" s="3"/>
      <c r="S2" s="3" t="s">
        <v>147</v>
      </c>
      <c r="T2" s="1012" t="s">
        <v>267</v>
      </c>
      <c r="U2" s="1012"/>
      <c r="V2" s="1012"/>
      <c r="W2" s="1012"/>
      <c r="X2" s="1012"/>
      <c r="Y2" s="1012"/>
      <c r="Z2" s="1012"/>
      <c r="AA2" s="1012"/>
      <c r="AB2" s="1012"/>
      <c r="AC2" s="1012"/>
      <c r="AD2" s="1012"/>
      <c r="AE2" s="1012"/>
      <c r="AF2" s="162"/>
      <c r="AG2" s="162"/>
      <c r="AH2" s="162"/>
      <c r="AI2" s="3" t="s">
        <v>150</v>
      </c>
    </row>
    <row r="3" spans="1:48" ht="15.6" customHeight="1">
      <c r="A3" s="162"/>
      <c r="B3" s="163"/>
      <c r="C3" s="163"/>
      <c r="D3" s="163"/>
      <c r="E3" s="163"/>
      <c r="F3" s="163"/>
      <c r="G3" s="163"/>
      <c r="H3" s="163"/>
      <c r="I3" s="163"/>
      <c r="J3" s="1054"/>
      <c r="K3" s="1054"/>
      <c r="L3" s="1054"/>
      <c r="M3" s="1054"/>
      <c r="N3" s="1054"/>
      <c r="O3" s="1054"/>
      <c r="R3" s="3"/>
      <c r="S3" s="3" t="str">
        <f>'Attachment 11 - TEC'!S3</f>
        <v>For the 12 months ended 12/31/2023</v>
      </c>
      <c r="AI3" s="3" t="str">
        <f>S3</f>
        <v>For the 12 months ended 12/31/2023</v>
      </c>
    </row>
    <row r="4" spans="1:48" ht="15.6">
      <c r="A4" s="162"/>
      <c r="B4" s="163"/>
      <c r="C4" s="163"/>
      <c r="D4" s="163"/>
      <c r="E4" s="163"/>
      <c r="F4" s="163"/>
      <c r="G4" s="163"/>
      <c r="H4" s="163"/>
      <c r="I4" s="163"/>
      <c r="J4" s="1054"/>
      <c r="K4" s="1054"/>
      <c r="L4" s="1054"/>
      <c r="M4" s="1054"/>
      <c r="N4" s="1054"/>
      <c r="O4" s="1054"/>
    </row>
    <row r="5" spans="1:48" ht="15.6">
      <c r="A5" s="162"/>
      <c r="B5" s="163"/>
      <c r="C5" s="163"/>
      <c r="D5" s="163"/>
      <c r="E5" s="163"/>
      <c r="F5" s="163"/>
      <c r="G5" s="163"/>
      <c r="H5" s="163"/>
      <c r="I5" s="163"/>
      <c r="J5" s="163"/>
      <c r="K5" s="163"/>
      <c r="L5" s="163"/>
      <c r="M5" s="3"/>
    </row>
    <row r="6" spans="1:48" ht="31.2">
      <c r="A6" s="19" t="s">
        <v>135</v>
      </c>
      <c r="B6" s="20"/>
      <c r="C6" s="30" t="s">
        <v>136</v>
      </c>
      <c r="D6" s="21" t="s">
        <v>152</v>
      </c>
      <c r="E6" s="22" t="s">
        <v>219</v>
      </c>
      <c r="F6" s="402">
        <v>44896</v>
      </c>
      <c r="G6" s="164">
        <f>F6+31</f>
        <v>44927</v>
      </c>
      <c r="H6" s="164">
        <f>G6+31</f>
        <v>44958</v>
      </c>
      <c r="I6" s="164">
        <f>H6+31</f>
        <v>44989</v>
      </c>
      <c r="J6" s="164">
        <f>I6+31</f>
        <v>45020</v>
      </c>
      <c r="K6" s="164">
        <f t="shared" ref="K6:R6" si="0">J6+31</f>
        <v>45051</v>
      </c>
      <c r="L6" s="164">
        <f t="shared" si="0"/>
        <v>45082</v>
      </c>
      <c r="M6" s="164">
        <f t="shared" si="0"/>
        <v>45113</v>
      </c>
      <c r="N6" s="164">
        <f t="shared" si="0"/>
        <v>45144</v>
      </c>
      <c r="O6" s="164">
        <f t="shared" si="0"/>
        <v>45175</v>
      </c>
      <c r="P6" s="164">
        <f t="shared" si="0"/>
        <v>45206</v>
      </c>
      <c r="Q6" s="164">
        <f t="shared" si="0"/>
        <v>45237</v>
      </c>
      <c r="R6" s="164">
        <f t="shared" si="0"/>
        <v>45268</v>
      </c>
      <c r="S6" s="164"/>
      <c r="T6" s="22" t="s">
        <v>265</v>
      </c>
      <c r="U6" s="164">
        <f>F6</f>
        <v>44896</v>
      </c>
      <c r="V6" s="164">
        <f t="shared" ref="V6:AG6" si="1">G6</f>
        <v>44927</v>
      </c>
      <c r="W6" s="164">
        <f t="shared" si="1"/>
        <v>44958</v>
      </c>
      <c r="X6" s="164">
        <f t="shared" si="1"/>
        <v>44989</v>
      </c>
      <c r="Y6" s="164">
        <f t="shared" si="1"/>
        <v>45020</v>
      </c>
      <c r="Z6" s="164">
        <f t="shared" si="1"/>
        <v>45051</v>
      </c>
      <c r="AA6" s="164">
        <f t="shared" si="1"/>
        <v>45082</v>
      </c>
      <c r="AB6" s="164">
        <f t="shared" si="1"/>
        <v>45113</v>
      </c>
      <c r="AC6" s="164">
        <f t="shared" si="1"/>
        <v>45144</v>
      </c>
      <c r="AD6" s="164">
        <f t="shared" si="1"/>
        <v>45175</v>
      </c>
      <c r="AE6" s="164">
        <f t="shared" si="1"/>
        <v>45206</v>
      </c>
      <c r="AF6" s="164">
        <f t="shared" si="1"/>
        <v>45237</v>
      </c>
      <c r="AG6" s="164">
        <f t="shared" si="1"/>
        <v>45268</v>
      </c>
      <c r="AH6" s="165"/>
      <c r="AI6" s="167" t="s">
        <v>266</v>
      </c>
      <c r="AJ6" s="166"/>
      <c r="AK6" s="166"/>
      <c r="AL6" s="166"/>
      <c r="AM6" s="166"/>
      <c r="AN6" s="166"/>
      <c r="AO6" s="166"/>
      <c r="AP6" s="166"/>
      <c r="AQ6" s="166"/>
      <c r="AR6" s="166"/>
      <c r="AS6" s="166"/>
      <c r="AT6" s="166"/>
      <c r="AU6" s="166"/>
      <c r="AV6" s="166"/>
    </row>
    <row r="7" spans="1:48" ht="15.6">
      <c r="A7" s="23"/>
      <c r="B7" s="24"/>
      <c r="C7" s="24"/>
      <c r="D7" s="24"/>
      <c r="E7" s="25" t="s">
        <v>13</v>
      </c>
      <c r="F7" s="25" t="s">
        <v>14</v>
      </c>
      <c r="G7" s="25" t="s">
        <v>14</v>
      </c>
      <c r="H7" s="25" t="s">
        <v>14</v>
      </c>
      <c r="I7" s="25" t="s">
        <v>14</v>
      </c>
      <c r="J7" s="25" t="s">
        <v>14</v>
      </c>
      <c r="K7" s="25" t="s">
        <v>14</v>
      </c>
      <c r="L7" s="25" t="s">
        <v>14</v>
      </c>
      <c r="M7" s="25" t="s">
        <v>14</v>
      </c>
      <c r="N7" s="25" t="s">
        <v>14</v>
      </c>
      <c r="O7" s="25" t="s">
        <v>14</v>
      </c>
      <c r="P7" s="25" t="s">
        <v>14</v>
      </c>
      <c r="Q7" s="25" t="s">
        <v>14</v>
      </c>
      <c r="R7" s="25" t="s">
        <v>14</v>
      </c>
      <c r="S7" s="25"/>
      <c r="T7" s="25" t="s">
        <v>1058</v>
      </c>
      <c r="U7" s="25" t="s">
        <v>14</v>
      </c>
      <c r="V7" s="25" t="s">
        <v>14</v>
      </c>
      <c r="W7" s="25" t="s">
        <v>14</v>
      </c>
      <c r="X7" s="25" t="s">
        <v>14</v>
      </c>
      <c r="Y7" s="25" t="s">
        <v>14</v>
      </c>
      <c r="Z7" s="25" t="s">
        <v>14</v>
      </c>
      <c r="AA7" s="25" t="s">
        <v>14</v>
      </c>
      <c r="AB7" s="25" t="s">
        <v>14</v>
      </c>
      <c r="AC7" s="25" t="s">
        <v>14</v>
      </c>
      <c r="AD7" s="25" t="s">
        <v>14</v>
      </c>
      <c r="AE7" s="25" t="s">
        <v>14</v>
      </c>
      <c r="AF7" s="25" t="s">
        <v>14</v>
      </c>
      <c r="AG7" s="25" t="s">
        <v>14</v>
      </c>
      <c r="AH7" s="952"/>
      <c r="AI7" s="953" t="s">
        <v>1059</v>
      </c>
    </row>
    <row r="8" spans="1:48" ht="15.6">
      <c r="A8" s="26"/>
      <c r="B8" s="2"/>
      <c r="C8" s="2"/>
      <c r="D8" s="2"/>
      <c r="E8" s="2"/>
      <c r="F8" s="2"/>
      <c r="G8" s="2"/>
      <c r="H8" s="2"/>
      <c r="I8" s="2"/>
      <c r="J8" s="2"/>
      <c r="K8" s="2"/>
      <c r="L8" s="2"/>
      <c r="M8" s="2"/>
      <c r="N8" s="2"/>
      <c r="O8" s="2"/>
      <c r="P8" s="2"/>
      <c r="Q8" s="2"/>
      <c r="R8" s="2"/>
      <c r="S8" s="2"/>
      <c r="AH8" s="168"/>
      <c r="AI8" s="169"/>
    </row>
    <row r="9" spans="1:48" ht="15.6">
      <c r="A9" s="195"/>
      <c r="B9" s="17"/>
      <c r="C9" s="17"/>
      <c r="D9" s="27"/>
      <c r="E9" s="9"/>
      <c r="F9" s="9"/>
      <c r="G9" s="9"/>
      <c r="H9" s="9"/>
      <c r="I9" s="9"/>
      <c r="J9" s="9"/>
      <c r="K9" s="9"/>
      <c r="L9" s="9"/>
      <c r="M9" s="9"/>
      <c r="N9" s="9"/>
      <c r="O9" s="9"/>
      <c r="P9" s="9"/>
      <c r="Q9" s="9"/>
      <c r="R9" s="9"/>
      <c r="S9" s="9"/>
      <c r="U9" s="9"/>
      <c r="V9" s="9"/>
      <c r="W9" s="9"/>
      <c r="X9" s="9"/>
      <c r="Y9" s="9"/>
      <c r="Z9" s="9"/>
      <c r="AA9" s="9"/>
      <c r="AB9" s="9"/>
      <c r="AC9" s="9"/>
      <c r="AD9" s="9"/>
      <c r="AE9" s="9"/>
      <c r="AF9" s="9"/>
      <c r="AG9" s="9"/>
      <c r="AH9" s="168"/>
      <c r="AI9" s="169"/>
    </row>
    <row r="10" spans="1:48" ht="31.2">
      <c r="A10" s="195" t="str">
        <f>'Attachment 11 - TEC'!A63</f>
        <v>2a</v>
      </c>
      <c r="B10" s="17"/>
      <c r="C10" s="302" t="str">
        <f>'Attachment 11 - TEC'!C63</f>
        <v>Upgrade the Portland – Greystone 230kV circuit</v>
      </c>
      <c r="D10" s="300" t="str">
        <f>'Attachment 11 - TEC'!D63</f>
        <v>b0174</v>
      </c>
      <c r="E10" s="9">
        <f>AVERAGE(F10:R10)</f>
        <v>12588192.75</v>
      </c>
      <c r="F10" s="52">
        <v>12588192.75</v>
      </c>
      <c r="G10" s="52">
        <v>12588192.75</v>
      </c>
      <c r="H10" s="52">
        <v>12588192.75</v>
      </c>
      <c r="I10" s="52">
        <v>12588192.75</v>
      </c>
      <c r="J10" s="52">
        <v>12588192.75</v>
      </c>
      <c r="K10" s="52">
        <v>12588192.75</v>
      </c>
      <c r="L10" s="52">
        <v>12588192.75</v>
      </c>
      <c r="M10" s="52">
        <v>12588192.75</v>
      </c>
      <c r="N10" s="52">
        <v>12588192.75</v>
      </c>
      <c r="O10" s="52">
        <v>12588192.75</v>
      </c>
      <c r="P10" s="52">
        <v>12588192.75</v>
      </c>
      <c r="Q10" s="52">
        <v>12588192.75</v>
      </c>
      <c r="R10" s="52">
        <v>12588192.75</v>
      </c>
      <c r="S10" s="9"/>
      <c r="T10" s="9">
        <f>AVERAGE(U10:AG10)</f>
        <v>3771072.2126512597</v>
      </c>
      <c r="U10" s="52">
        <v>3636459.2517540762</v>
      </c>
      <c r="V10" s="52">
        <v>3658894.7452369402</v>
      </c>
      <c r="W10" s="52">
        <v>3681330.2387198042</v>
      </c>
      <c r="X10" s="52">
        <v>3703765.7322026682</v>
      </c>
      <c r="Y10" s="52">
        <v>3726201.2256855322</v>
      </c>
      <c r="Z10" s="52">
        <v>3748636.7191683962</v>
      </c>
      <c r="AA10" s="52">
        <v>3771072.2126512602</v>
      </c>
      <c r="AB10" s="52">
        <v>3793507.7061341242</v>
      </c>
      <c r="AC10" s="52">
        <v>3815943.1996169882</v>
      </c>
      <c r="AD10" s="52">
        <v>3838378.6930998522</v>
      </c>
      <c r="AE10" s="52">
        <v>3860814.1865827162</v>
      </c>
      <c r="AF10" s="52">
        <v>3883249.6800655802</v>
      </c>
      <c r="AG10" s="52">
        <v>3905685.1735484442</v>
      </c>
      <c r="AH10" s="168"/>
      <c r="AI10" s="403">
        <f t="shared" ref="AI10:AI11" si="2">E10-T10</f>
        <v>8817120.5373487398</v>
      </c>
    </row>
    <row r="11" spans="1:48" ht="31.2">
      <c r="A11" s="195" t="str">
        <f>'Attachment 11 - TEC'!A64</f>
        <v>2b</v>
      </c>
      <c r="B11" s="17"/>
      <c r="C11" s="302" t="str">
        <f>'Attachment 11 - TEC'!C64</f>
        <v>Reconductor the 8 mile Gilbert – Glen Gardner 230 kV circuit</v>
      </c>
      <c r="D11" s="300" t="str">
        <f>'Attachment 11 - TEC'!D64</f>
        <v>b0268</v>
      </c>
      <c r="E11" s="9">
        <f>AVERAGE(F11:R11)</f>
        <v>5983500.8699999992</v>
      </c>
      <c r="F11" s="52">
        <v>5983500.8699999992</v>
      </c>
      <c r="G11" s="52">
        <v>5983500.8699999992</v>
      </c>
      <c r="H11" s="52">
        <v>5983500.8699999992</v>
      </c>
      <c r="I11" s="52">
        <v>5983500.8699999992</v>
      </c>
      <c r="J11" s="52">
        <v>5983500.8699999992</v>
      </c>
      <c r="K11" s="52">
        <v>5983500.8699999992</v>
      </c>
      <c r="L11" s="52">
        <v>5983500.8699999992</v>
      </c>
      <c r="M11" s="52">
        <v>5983500.8699999992</v>
      </c>
      <c r="N11" s="52">
        <v>5983500.8699999992</v>
      </c>
      <c r="O11" s="52">
        <v>5983500.8699999992</v>
      </c>
      <c r="P11" s="52">
        <v>5983500.8699999992</v>
      </c>
      <c r="Q11" s="52">
        <v>5983500.8699999992</v>
      </c>
      <c r="R11" s="52">
        <v>5983500.8699999992</v>
      </c>
      <c r="S11" s="9"/>
      <c r="T11" s="9">
        <f t="shared" ref="T11" si="3">AVERAGE(U11:AG11)</f>
        <v>1467177.909690222</v>
      </c>
      <c r="U11" s="52">
        <v>1403154.4503812219</v>
      </c>
      <c r="V11" s="52">
        <v>1413825.026932722</v>
      </c>
      <c r="W11" s="52">
        <v>1424495.603484222</v>
      </c>
      <c r="X11" s="52">
        <v>1435166.180035722</v>
      </c>
      <c r="Y11" s="52">
        <v>1445836.756587222</v>
      </c>
      <c r="Z11" s="52">
        <v>1456507.333138722</v>
      </c>
      <c r="AA11" s="52">
        <v>1467177.909690222</v>
      </c>
      <c r="AB11" s="52">
        <v>1477848.486241722</v>
      </c>
      <c r="AC11" s="52">
        <v>1488519.062793222</v>
      </c>
      <c r="AD11" s="52">
        <v>1499189.639344722</v>
      </c>
      <c r="AE11" s="52">
        <v>1509860.215896222</v>
      </c>
      <c r="AF11" s="52">
        <v>1520530.7924477221</v>
      </c>
      <c r="AG11" s="52">
        <v>1531201.3689992221</v>
      </c>
      <c r="AH11" s="168"/>
      <c r="AI11" s="403">
        <f t="shared" si="2"/>
        <v>4516322.9603097774</v>
      </c>
    </row>
    <row r="12" spans="1:48" ht="31.2">
      <c r="A12" s="195" t="str">
        <f>'Attachment 11 - TEC'!A65</f>
        <v>2c</v>
      </c>
      <c r="B12" s="17"/>
      <c r="C12" s="302" t="str">
        <f>'Attachment 11 - TEC'!C65</f>
        <v>Add a 2nd Raritan River 230/115 kV transformer</v>
      </c>
      <c r="D12" s="300" t="str">
        <f>'Attachment 11 - TEC'!D65</f>
        <v>b0726</v>
      </c>
      <c r="E12" s="9">
        <f t="shared" ref="E12:E13" si="4">AVERAGE(F12:R12)</f>
        <v>7336240.1700000009</v>
      </c>
      <c r="F12" s="52">
        <v>7336240.1699999999</v>
      </c>
      <c r="G12" s="52">
        <v>7336240.1699999999</v>
      </c>
      <c r="H12" s="52">
        <v>7336240.1699999999</v>
      </c>
      <c r="I12" s="52">
        <v>7336240.1699999999</v>
      </c>
      <c r="J12" s="52">
        <v>7336240.1699999999</v>
      </c>
      <c r="K12" s="52">
        <v>7336240.1699999999</v>
      </c>
      <c r="L12" s="52">
        <v>7336240.1699999999</v>
      </c>
      <c r="M12" s="52">
        <v>7336240.1699999999</v>
      </c>
      <c r="N12" s="52">
        <v>7336240.1699999999</v>
      </c>
      <c r="O12" s="52">
        <v>7336240.1699999999</v>
      </c>
      <c r="P12" s="52">
        <v>7336240.1699999999</v>
      </c>
      <c r="Q12" s="52">
        <v>7336240.1699999999</v>
      </c>
      <c r="R12" s="52">
        <v>7336240.1699999999</v>
      </c>
      <c r="T12" s="9">
        <f>AVERAGE(U12:AG12)</f>
        <v>1349595.2708262349</v>
      </c>
      <c r="U12" s="52">
        <v>1265962.1328882345</v>
      </c>
      <c r="V12" s="52">
        <v>1279900.9892112345</v>
      </c>
      <c r="W12" s="52">
        <v>1293839.8455342345</v>
      </c>
      <c r="X12" s="52">
        <v>1307778.7018572346</v>
      </c>
      <c r="Y12" s="52">
        <v>1321717.5581802346</v>
      </c>
      <c r="Z12" s="52">
        <v>1335656.4145032347</v>
      </c>
      <c r="AA12" s="52">
        <v>1349595.2708262347</v>
      </c>
      <c r="AB12" s="52">
        <v>1363534.1271492348</v>
      </c>
      <c r="AC12" s="52">
        <v>1377472.9834722348</v>
      </c>
      <c r="AD12" s="52">
        <v>1391411.8397952348</v>
      </c>
      <c r="AE12" s="52">
        <v>1405350.6961182349</v>
      </c>
      <c r="AF12" s="52">
        <v>1419289.5524412349</v>
      </c>
      <c r="AG12" s="52">
        <v>1433228.408764235</v>
      </c>
      <c r="AH12" s="168"/>
      <c r="AI12" s="403">
        <f t="shared" ref="AI12" si="5">E12-T12</f>
        <v>5986644.8991737664</v>
      </c>
    </row>
    <row r="13" spans="1:48" ht="31.2">
      <c r="A13" s="195" t="str">
        <f>'Attachment 11 - TEC'!A66</f>
        <v>2d</v>
      </c>
      <c r="B13" s="17"/>
      <c r="C13" s="302" t="str">
        <f>'Attachment 11 - TEC'!C66</f>
        <v>Build a new 230 kV circuit from Larrabee to Oceanview</v>
      </c>
      <c r="D13" s="300" t="str">
        <f>'Attachment 11 - TEC'!D66</f>
        <v>b2015</v>
      </c>
      <c r="E13" s="9">
        <f t="shared" si="4"/>
        <v>173451588.98999995</v>
      </c>
      <c r="F13" s="52">
        <v>173449007.49000001</v>
      </c>
      <c r="G13" s="52">
        <v>173449007.49000001</v>
      </c>
      <c r="H13" s="52">
        <v>173449007.49000001</v>
      </c>
      <c r="I13" s="52">
        <v>173449058.72</v>
      </c>
      <c r="J13" s="52">
        <v>173449058.72</v>
      </c>
      <c r="K13" s="52">
        <v>173453189.62</v>
      </c>
      <c r="L13" s="52">
        <v>173453189.62</v>
      </c>
      <c r="M13" s="52">
        <v>173453189.62</v>
      </c>
      <c r="N13" s="52">
        <v>173453189.62</v>
      </c>
      <c r="O13" s="52">
        <v>173453189.62</v>
      </c>
      <c r="P13" s="52">
        <v>173453189.62</v>
      </c>
      <c r="Q13" s="52">
        <v>173453189.62</v>
      </c>
      <c r="R13" s="52">
        <v>173453189.62</v>
      </c>
      <c r="T13" s="9">
        <f>AVERAGE(U13:AG13)</f>
        <v>20989944.591125034</v>
      </c>
      <c r="U13" s="52">
        <v>19281421.024872754</v>
      </c>
      <c r="V13" s="52">
        <v>19566172.1164346</v>
      </c>
      <c r="W13" s="52">
        <v>19850923.207996447</v>
      </c>
      <c r="X13" s="52">
        <v>20135674.341610417</v>
      </c>
      <c r="Y13" s="52">
        <v>20420425.517276511</v>
      </c>
      <c r="Z13" s="52">
        <v>20705180.083790157</v>
      </c>
      <c r="AA13" s="52">
        <v>20989938.041151352</v>
      </c>
      <c r="AB13" s="52">
        <v>21274695.998512547</v>
      </c>
      <c r="AC13" s="52">
        <v>21559453.955873743</v>
      </c>
      <c r="AD13" s="52">
        <v>21844211.913234938</v>
      </c>
      <c r="AE13" s="52">
        <v>22128969.870596133</v>
      </c>
      <c r="AF13" s="52">
        <v>22413727.827957328</v>
      </c>
      <c r="AG13" s="52">
        <v>22698485.785318524</v>
      </c>
      <c r="AH13" s="168"/>
      <c r="AI13" s="403">
        <f>E13-T13</f>
        <v>152461644.39887491</v>
      </c>
    </row>
    <row r="14" spans="1:48">
      <c r="A14" s="170"/>
      <c r="AI14" s="169"/>
    </row>
    <row r="15" spans="1:48">
      <c r="A15" s="170"/>
      <c r="AI15" s="169"/>
    </row>
    <row r="16" spans="1:48" ht="15.6" customHeight="1">
      <c r="A16" s="170"/>
      <c r="U16" s="412"/>
      <c r="X16" s="590"/>
      <c r="Y16" s="590"/>
      <c r="Z16" s="590"/>
      <c r="AA16" s="590"/>
      <c r="AB16" s="590"/>
      <c r="AI16" s="169"/>
    </row>
    <row r="17" spans="1:35" ht="15.6">
      <c r="A17" s="170"/>
      <c r="X17" s="590"/>
      <c r="Y17" s="590"/>
      <c r="Z17" s="590"/>
      <c r="AA17" s="590"/>
      <c r="AB17" s="590"/>
      <c r="AI17" s="169"/>
    </row>
    <row r="18" spans="1:35" ht="15.6">
      <c r="A18" s="170"/>
      <c r="X18" s="590"/>
      <c r="Y18" s="590"/>
      <c r="Z18" s="590"/>
      <c r="AA18" s="590"/>
      <c r="AB18" s="590"/>
      <c r="AI18" s="169"/>
    </row>
    <row r="19" spans="1:35" ht="15.6">
      <c r="A19" s="170"/>
      <c r="X19" s="590"/>
      <c r="Y19" s="590"/>
      <c r="Z19" s="590"/>
      <c r="AA19" s="590"/>
      <c r="AB19" s="590"/>
      <c r="AI19" s="169"/>
    </row>
    <row r="20" spans="1:35">
      <c r="A20" s="170"/>
      <c r="AI20" s="169"/>
    </row>
    <row r="21" spans="1:35">
      <c r="A21" s="170"/>
      <c r="AI21" s="169"/>
    </row>
    <row r="22" spans="1:35">
      <c r="A22" s="170"/>
      <c r="AI22" s="169"/>
    </row>
    <row r="23" spans="1:35">
      <c r="A23" s="170"/>
      <c r="AI23" s="169"/>
    </row>
    <row r="24" spans="1:35">
      <c r="A24" s="170"/>
      <c r="AI24" s="169"/>
    </row>
    <row r="25" spans="1:35">
      <c r="A25" s="170"/>
      <c r="AI25" s="169"/>
    </row>
    <row r="26" spans="1:35">
      <c r="A26" s="171"/>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3"/>
    </row>
    <row r="28" spans="1:35" ht="15.6">
      <c r="A28" s="1" t="s">
        <v>212</v>
      </c>
      <c r="B28" s="1"/>
      <c r="C28" s="1"/>
      <c r="S28" s="28"/>
      <c r="T28" s="1" t="s">
        <v>212</v>
      </c>
      <c r="U28" s="1"/>
    </row>
    <row r="29" spans="1:35" ht="15.75" customHeight="1">
      <c r="A29" s="29"/>
      <c r="B29" s="1" t="s">
        <v>182</v>
      </c>
      <c r="C29" s="1" t="s">
        <v>268</v>
      </c>
      <c r="D29" s="1"/>
      <c r="E29" s="1"/>
      <c r="F29" s="1"/>
      <c r="G29" s="1"/>
      <c r="H29" s="1"/>
      <c r="I29" s="1"/>
      <c r="J29" s="1"/>
      <c r="K29" s="1"/>
      <c r="N29" s="1" t="s">
        <v>1062</v>
      </c>
      <c r="S29" s="29"/>
      <c r="T29" s="1" t="s">
        <v>1062</v>
      </c>
      <c r="U29" s="1"/>
      <c r="V29" s="16" t="s">
        <v>221</v>
      </c>
      <c r="W29" s="1" t="s">
        <v>1063</v>
      </c>
      <c r="X29" s="1"/>
      <c r="Y29" s="1"/>
      <c r="Z29" s="1"/>
      <c r="AA29" s="1"/>
      <c r="AB29" s="1"/>
      <c r="AD29" s="951"/>
      <c r="AE29" s="1"/>
      <c r="AF29" s="1"/>
      <c r="AG29" s="1"/>
      <c r="AH29" s="1"/>
      <c r="AI29" s="1"/>
    </row>
  </sheetData>
  <mergeCells count="4">
    <mergeCell ref="T1:AE1"/>
    <mergeCell ref="T2:AE2"/>
    <mergeCell ref="A1:N1"/>
    <mergeCell ref="A2:N2"/>
  </mergeCells>
  <pageMargins left="0.7" right="0.7" top="0.75" bottom="0.75" header="0.3" footer="0.3"/>
  <pageSetup scale="37" orientation="landscape" r:id="rId1"/>
  <colBreaks count="1" manualBreakCount="1">
    <brk id="19" max="28"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W243"/>
  <sheetViews>
    <sheetView view="pageBreakPreview" zoomScale="65" zoomScaleNormal="75" zoomScaleSheetLayoutView="65" workbookViewId="0">
      <selection activeCell="D4" sqref="D4"/>
    </sheetView>
  </sheetViews>
  <sheetFormatPr defaultColWidth="8.81640625" defaultRowHeight="15"/>
  <cols>
    <col min="1" max="1" width="6" style="159" customWidth="1"/>
    <col min="2" max="2" width="3.26953125" style="159" customWidth="1"/>
    <col min="3" max="3" width="39.08984375" style="159" customWidth="1"/>
    <col min="4" max="4" width="12" style="159" customWidth="1"/>
    <col min="5" max="5" width="14.453125" style="159" customWidth="1"/>
    <col min="6" max="6" width="15.7265625" style="159" customWidth="1"/>
    <col min="7" max="7" width="14.08984375" style="159" customWidth="1"/>
    <col min="8" max="8" width="13.81640625" style="159" customWidth="1"/>
    <col min="9" max="9" width="15.453125" style="159" customWidth="1"/>
    <col min="10" max="10" width="14.453125" style="159" bestFit="1" customWidth="1"/>
    <col min="11" max="11" width="13.54296875" style="159" customWidth="1"/>
    <col min="12" max="12" width="15.26953125" style="159" customWidth="1"/>
    <col min="13" max="13" width="1.54296875" style="159" customWidth="1"/>
    <col min="14" max="16384" width="8.81640625" style="159"/>
  </cols>
  <sheetData>
    <row r="1" spans="1:23">
      <c r="M1" s="234" t="s">
        <v>465</v>
      </c>
    </row>
    <row r="2" spans="1:23" ht="15" customHeight="1">
      <c r="E2" s="1055"/>
      <c r="F2" s="1055"/>
      <c r="G2" s="1055"/>
      <c r="H2" s="1055"/>
      <c r="I2" s="1055"/>
      <c r="M2" s="234" t="s">
        <v>144</v>
      </c>
    </row>
    <row r="3" spans="1:23" ht="15" customHeight="1">
      <c r="E3" s="1055"/>
      <c r="F3" s="1055"/>
      <c r="G3" s="1055"/>
      <c r="H3" s="1055"/>
      <c r="I3" s="1055"/>
      <c r="M3" s="234" t="str">
        <f>'Attach 11a - TEC Cost Support'!S3</f>
        <v>For the 12 months ended 12/31/2023</v>
      </c>
    </row>
    <row r="4" spans="1:23" ht="15" customHeight="1">
      <c r="A4" s="201"/>
      <c r="E4" s="1055"/>
      <c r="F4" s="1055"/>
      <c r="G4" s="1055"/>
      <c r="H4" s="1055"/>
      <c r="I4" s="1055"/>
    </row>
    <row r="5" spans="1:23" ht="15" customHeight="1">
      <c r="A5" s="201"/>
      <c r="C5" s="160"/>
      <c r="D5" s="160"/>
      <c r="E5" s="1055"/>
      <c r="F5" s="1055"/>
      <c r="G5" s="1055"/>
      <c r="H5" s="1055"/>
      <c r="I5" s="1055"/>
    </row>
    <row r="6" spans="1:23" ht="15" customHeight="1">
      <c r="A6" s="201"/>
      <c r="C6" s="160"/>
      <c r="D6" s="160"/>
      <c r="E6" s="1055"/>
      <c r="F6" s="1055"/>
      <c r="G6" s="1055"/>
      <c r="H6" s="1055"/>
      <c r="I6" s="1055"/>
      <c r="L6" s="204"/>
    </row>
    <row r="7" spans="1:23" ht="14.25" customHeight="1">
      <c r="A7" s="201"/>
      <c r="E7" s="1055"/>
      <c r="F7" s="1055"/>
      <c r="G7" s="1055"/>
      <c r="H7" s="1055"/>
      <c r="I7" s="1055"/>
    </row>
    <row r="8" spans="1:23" ht="15.6">
      <c r="A8" s="1009" t="s">
        <v>513</v>
      </c>
      <c r="B8" s="1009"/>
      <c r="C8" s="1009"/>
      <c r="D8" s="1009"/>
      <c r="E8" s="1009"/>
      <c r="F8" s="1009"/>
      <c r="G8" s="1009"/>
      <c r="H8" s="1009"/>
      <c r="I8" s="1009"/>
      <c r="J8" s="1009"/>
      <c r="K8" s="1009"/>
      <c r="L8" s="1009"/>
    </row>
    <row r="9" spans="1:23">
      <c r="A9" s="1010" t="s">
        <v>426</v>
      </c>
      <c r="B9" s="1013"/>
      <c r="C9" s="1013"/>
      <c r="D9" s="1013"/>
      <c r="E9" s="1013"/>
      <c r="F9" s="1013"/>
      <c r="G9" s="1013"/>
      <c r="H9" s="1013"/>
      <c r="I9" s="1013"/>
      <c r="J9" s="1013"/>
      <c r="K9" s="1013"/>
      <c r="L9" s="1013"/>
    </row>
    <row r="10" spans="1:23" ht="15.6">
      <c r="A10" s="201"/>
      <c r="E10" s="215"/>
      <c r="H10" s="160"/>
      <c r="I10" s="160"/>
      <c r="J10" s="160"/>
      <c r="K10" s="160"/>
      <c r="L10" s="160"/>
    </row>
    <row r="11" spans="1:23" ht="15.6">
      <c r="A11" s="201"/>
      <c r="E11" s="215"/>
      <c r="F11" s="215"/>
      <c r="H11" s="160"/>
      <c r="I11" s="160"/>
      <c r="J11" s="160"/>
      <c r="K11" s="160"/>
      <c r="L11" s="160"/>
    </row>
    <row r="12" spans="1:23" ht="15.6">
      <c r="A12" s="201"/>
      <c r="C12" s="235" t="s">
        <v>202</v>
      </c>
      <c r="D12" s="235" t="s">
        <v>203</v>
      </c>
      <c r="E12" s="235" t="s">
        <v>204</v>
      </c>
      <c r="F12" s="235" t="s">
        <v>205</v>
      </c>
      <c r="G12" s="235" t="s">
        <v>206</v>
      </c>
      <c r="H12" s="235" t="s">
        <v>207</v>
      </c>
      <c r="I12" s="235" t="s">
        <v>208</v>
      </c>
      <c r="J12" s="235" t="s">
        <v>209</v>
      </c>
      <c r="K12" s="235" t="s">
        <v>210</v>
      </c>
      <c r="L12" s="235" t="s">
        <v>211</v>
      </c>
      <c r="M12" s="235"/>
    </row>
    <row r="13" spans="1:23" s="267" customFormat="1" ht="79.95" customHeight="1">
      <c r="A13" s="236" t="s">
        <v>135</v>
      </c>
      <c r="B13" s="265"/>
      <c r="C13" s="239" t="s">
        <v>136</v>
      </c>
      <c r="D13" s="239" t="s">
        <v>152</v>
      </c>
      <c r="E13" s="240" t="s">
        <v>436</v>
      </c>
      <c r="F13" s="240" t="s">
        <v>199</v>
      </c>
      <c r="G13" s="239" t="s">
        <v>361</v>
      </c>
      <c r="H13" s="239" t="s">
        <v>362</v>
      </c>
      <c r="I13" s="240" t="s">
        <v>200</v>
      </c>
      <c r="J13" s="240" t="s">
        <v>478</v>
      </c>
      <c r="K13" s="239" t="s">
        <v>479</v>
      </c>
      <c r="L13" s="240" t="s">
        <v>480</v>
      </c>
      <c r="M13" s="266"/>
    </row>
    <row r="14" spans="1:23" ht="66.45" customHeight="1">
      <c r="A14" s="243"/>
      <c r="B14" s="244"/>
      <c r="C14" s="244"/>
      <c r="D14" s="244"/>
      <c r="E14" s="268" t="s">
        <v>813</v>
      </c>
      <c r="F14" s="268" t="s">
        <v>797</v>
      </c>
      <c r="G14" s="268" t="s">
        <v>516</v>
      </c>
      <c r="H14" s="268" t="s">
        <v>363</v>
      </c>
      <c r="I14" s="268" t="s">
        <v>798</v>
      </c>
      <c r="J14" s="245" t="s">
        <v>364</v>
      </c>
      <c r="K14" s="268" t="s">
        <v>481</v>
      </c>
      <c r="L14" s="268" t="s">
        <v>373</v>
      </c>
      <c r="M14" s="269"/>
      <c r="N14" s="816"/>
    </row>
    <row r="15" spans="1:23" ht="15.6">
      <c r="A15" s="270">
        <v>1</v>
      </c>
      <c r="B15" s="160" t="s">
        <v>182</v>
      </c>
      <c r="C15" s="160" t="s">
        <v>372</v>
      </c>
      <c r="D15" s="160"/>
      <c r="E15" s="896">
        <f>'Attachment 13b - PJM Billings'!L37</f>
        <v>21963788.399999995</v>
      </c>
      <c r="F15" s="271"/>
      <c r="G15" s="271"/>
      <c r="H15" s="272"/>
      <c r="I15" s="271"/>
      <c r="J15" s="271"/>
      <c r="K15" s="271"/>
      <c r="L15" s="271"/>
      <c r="M15" s="273"/>
      <c r="N15" s="816"/>
      <c r="V15" s="826"/>
      <c r="W15" s="826"/>
    </row>
    <row r="16" spans="1:23">
      <c r="A16" s="274"/>
      <c r="B16" s="160"/>
      <c r="C16" s="160"/>
      <c r="D16" s="160"/>
      <c r="E16" s="160"/>
      <c r="F16" s="160"/>
      <c r="G16" s="160"/>
      <c r="H16" s="160"/>
      <c r="I16" s="160"/>
      <c r="J16" s="160"/>
      <c r="K16" s="160"/>
      <c r="L16" s="160"/>
      <c r="M16" s="275"/>
    </row>
    <row r="17" spans="1:22">
      <c r="A17" s="297" t="s">
        <v>365</v>
      </c>
      <c r="B17" s="221"/>
      <c r="C17" s="308" t="s">
        <v>1081</v>
      </c>
      <c r="D17" s="250"/>
      <c r="E17" s="259"/>
      <c r="F17" s="954">
        <v>1155505.3357181477</v>
      </c>
      <c r="G17" s="259">
        <f>IF($F$34=0,0,F17/$F$34)</f>
        <v>5.5942529801483315E-2</v>
      </c>
      <c r="H17" s="282">
        <f>IF($E$15=0,0,$E$15*G17)</f>
        <v>1228709.8871204732</v>
      </c>
      <c r="I17" s="954">
        <v>1309754.9936252334</v>
      </c>
      <c r="J17" s="282">
        <f>H17-I17</f>
        <v>-81045.106504760217</v>
      </c>
      <c r="K17" s="964">
        <f>J17/$J$34*$L$36</f>
        <v>-14572.129259940166</v>
      </c>
      <c r="L17" s="282">
        <f>J17+K17</f>
        <v>-95617.235764700381</v>
      </c>
      <c r="M17" s="276"/>
    </row>
    <row r="18" spans="1:22" ht="15" customHeight="1">
      <c r="A18" s="297" t="s">
        <v>366</v>
      </c>
      <c r="B18" s="221"/>
      <c r="C18" s="308" t="s">
        <v>1082</v>
      </c>
      <c r="D18" s="250"/>
      <c r="E18" s="259"/>
      <c r="F18" s="954">
        <v>571387.80068705417</v>
      </c>
      <c r="G18" s="259">
        <f>IF($F$34=0,0,F18/$F$34)</f>
        <v>2.7663116802721929E-2</v>
      </c>
      <c r="H18" s="282">
        <f>IF($E$15=0,0,$E$15*G18)</f>
        <v>607586.84393946885</v>
      </c>
      <c r="I18" s="954">
        <v>645566.98973970057</v>
      </c>
      <c r="J18" s="282">
        <f t="shared" ref="J18" si="0">H18-I18</f>
        <v>-37980.145800231723</v>
      </c>
      <c r="K18" s="964">
        <f>J18/$J$34*$L$36</f>
        <v>-6828.9328965203231</v>
      </c>
      <c r="L18" s="282">
        <f t="shared" ref="L18:L19" si="1">J18+K18</f>
        <v>-44809.078696752047</v>
      </c>
      <c r="M18" s="276"/>
      <c r="N18" s="1014"/>
      <c r="O18" s="1015"/>
      <c r="P18" s="1015"/>
      <c r="Q18" s="1015"/>
      <c r="R18" s="1015"/>
      <c r="S18" s="1015"/>
      <c r="T18" s="1015"/>
      <c r="U18" s="1015"/>
      <c r="V18" s="1015"/>
    </row>
    <row r="19" spans="1:22" ht="15" customHeight="1">
      <c r="A19" s="297" t="s">
        <v>367</v>
      </c>
      <c r="B19" s="221"/>
      <c r="C19" s="308" t="s">
        <v>1083</v>
      </c>
      <c r="D19" s="250"/>
      <c r="E19" s="259"/>
      <c r="F19" s="954">
        <v>754135.86366982129</v>
      </c>
      <c r="G19" s="259">
        <f>IF($F$34=0,0,F19/$F$34)</f>
        <v>3.651066483522232E-2</v>
      </c>
      <c r="H19" s="282">
        <f>IF($E$15=0,0,$E$15*G19)</f>
        <v>801912.51678414375</v>
      </c>
      <c r="I19" s="954">
        <v>833453.07551076659</v>
      </c>
      <c r="J19" s="282">
        <f>H19-I19</f>
        <v>-31540.558726622839</v>
      </c>
      <c r="K19" s="964">
        <f>J19/$J$34*$L$36</f>
        <v>-5671.0777308693678</v>
      </c>
      <c r="L19" s="282">
        <f t="shared" si="1"/>
        <v>-37211.636457492204</v>
      </c>
      <c r="M19" s="276"/>
      <c r="N19" s="1014"/>
      <c r="O19" s="1015"/>
      <c r="P19" s="1015"/>
      <c r="Q19" s="1015"/>
      <c r="R19" s="1015"/>
      <c r="S19" s="1015"/>
      <c r="T19" s="1015"/>
      <c r="U19" s="1015"/>
      <c r="V19" s="1015"/>
    </row>
    <row r="20" spans="1:22" ht="15" customHeight="1">
      <c r="A20" s="297" t="s">
        <v>482</v>
      </c>
      <c r="C20" s="308" t="s">
        <v>1084</v>
      </c>
      <c r="D20" s="250"/>
      <c r="E20" s="259"/>
      <c r="F20" s="954">
        <v>18174192.346162871</v>
      </c>
      <c r="G20" s="259">
        <f>IF($F$34=0,0,F20/$F$34)</f>
        <v>0.87988368856057242</v>
      </c>
      <c r="H20" s="282">
        <f>IF($E$15=0,0,$E$15*G20)</f>
        <v>19325579.15215591</v>
      </c>
      <c r="I20" s="954">
        <v>19937383.136738643</v>
      </c>
      <c r="J20" s="282">
        <f>H20-I20</f>
        <v>-611803.98458273336</v>
      </c>
      <c r="K20" s="964">
        <f>J20/$J$34*$L$36</f>
        <v>-110004.01047733077</v>
      </c>
      <c r="L20" s="282">
        <f>J20+K20</f>
        <v>-721807.99506006413</v>
      </c>
      <c r="M20" s="276"/>
      <c r="N20" s="1014"/>
      <c r="O20" s="1015"/>
      <c r="P20" s="1015"/>
      <c r="Q20" s="1015"/>
      <c r="R20" s="1015"/>
      <c r="S20" s="1015"/>
      <c r="T20" s="1015"/>
      <c r="U20" s="1015"/>
      <c r="V20" s="1015"/>
    </row>
    <row r="21" spans="1:22" ht="15" customHeight="1">
      <c r="A21" s="203"/>
      <c r="E21" s="259"/>
      <c r="F21" s="259"/>
      <c r="G21" s="259"/>
      <c r="H21" s="259"/>
      <c r="I21" s="259"/>
      <c r="J21" s="259"/>
      <c r="K21" s="259"/>
      <c r="L21" s="259"/>
      <c r="M21" s="276"/>
      <c r="N21" s="1014"/>
      <c r="O21" s="1015"/>
      <c r="P21" s="1015"/>
      <c r="Q21" s="1015"/>
      <c r="R21" s="1015"/>
      <c r="S21" s="1015"/>
      <c r="T21" s="1015"/>
      <c r="U21" s="1015"/>
      <c r="V21" s="1015"/>
    </row>
    <row r="22" spans="1:22" ht="15" customHeight="1">
      <c r="A22" s="203"/>
      <c r="C22" s="145"/>
      <c r="D22" s="145"/>
      <c r="E22" s="148"/>
      <c r="F22" s="148"/>
      <c r="G22" s="148"/>
      <c r="H22" s="148"/>
      <c r="I22" s="148"/>
      <c r="J22" s="148"/>
      <c r="K22" s="148"/>
      <c r="L22" s="148"/>
      <c r="M22" s="277"/>
      <c r="N22" s="1014"/>
      <c r="O22" s="1015"/>
      <c r="P22" s="1015"/>
      <c r="Q22" s="1015"/>
      <c r="R22" s="1015"/>
      <c r="S22" s="1015"/>
      <c r="T22" s="1015"/>
      <c r="U22" s="1015"/>
      <c r="V22" s="1015"/>
    </row>
    <row r="23" spans="1:22" ht="15" customHeight="1">
      <c r="A23" s="203"/>
      <c r="C23" s="145"/>
      <c r="D23" s="145"/>
      <c r="E23" s="148"/>
      <c r="F23" s="148"/>
      <c r="G23" s="148"/>
      <c r="H23" s="148"/>
      <c r="I23" s="148"/>
      <c r="J23" s="148"/>
      <c r="K23" s="148"/>
      <c r="L23" s="148"/>
      <c r="M23" s="277"/>
      <c r="N23" s="1014"/>
      <c r="O23" s="1015"/>
      <c r="P23" s="1015"/>
      <c r="Q23" s="1015"/>
      <c r="R23" s="1015"/>
      <c r="S23" s="1015"/>
      <c r="T23" s="1015"/>
      <c r="U23" s="1015"/>
      <c r="V23" s="1015"/>
    </row>
    <row r="24" spans="1:22">
      <c r="A24" s="203"/>
      <c r="C24" s="145"/>
      <c r="D24" s="145"/>
      <c r="E24" s="148"/>
      <c r="F24" s="959"/>
      <c r="G24" s="959"/>
      <c r="H24" s="148"/>
      <c r="I24" s="148"/>
      <c r="J24" s="148"/>
      <c r="K24" s="148"/>
      <c r="L24" s="148"/>
      <c r="M24" s="277"/>
      <c r="N24" s="1014"/>
      <c r="O24" s="1015"/>
      <c r="P24" s="1015"/>
      <c r="Q24" s="1015"/>
      <c r="R24" s="1015"/>
      <c r="S24" s="1015"/>
      <c r="T24" s="1015"/>
      <c r="U24" s="1015"/>
      <c r="V24" s="1015"/>
    </row>
    <row r="25" spans="1:22">
      <c r="A25" s="203"/>
      <c r="C25" s="145"/>
      <c r="D25" s="145"/>
      <c r="E25" s="148"/>
      <c r="F25" s="959"/>
      <c r="G25" s="959"/>
      <c r="H25" s="148"/>
      <c r="I25" s="148"/>
      <c r="J25" s="148"/>
      <c r="K25" s="148"/>
      <c r="L25" s="148"/>
      <c r="M25" s="277"/>
    </row>
    <row r="26" spans="1:22">
      <c r="A26" s="203"/>
      <c r="C26" s="145"/>
      <c r="D26" s="145"/>
      <c r="E26" s="148"/>
      <c r="F26" s="959"/>
      <c r="G26" s="959"/>
      <c r="H26" s="148"/>
      <c r="I26" s="148"/>
      <c r="J26" s="148"/>
      <c r="K26" s="148"/>
      <c r="L26" s="148"/>
      <c r="M26" s="277"/>
    </row>
    <row r="27" spans="1:22">
      <c r="A27" s="203"/>
      <c r="C27" s="145"/>
      <c r="D27" s="145"/>
      <c r="E27" s="148"/>
      <c r="F27" s="959"/>
      <c r="G27" s="959"/>
      <c r="H27" s="148"/>
      <c r="I27" s="148"/>
      <c r="J27" s="148"/>
      <c r="K27" s="148"/>
      <c r="L27" s="148"/>
      <c r="M27" s="277"/>
    </row>
    <row r="28" spans="1:22">
      <c r="A28" s="203"/>
      <c r="C28" s="145"/>
      <c r="D28" s="145"/>
      <c r="E28" s="148"/>
      <c r="F28" s="959"/>
      <c r="G28" s="959"/>
      <c r="H28" s="148"/>
      <c r="I28" s="148"/>
      <c r="J28" s="148"/>
      <c r="K28" s="148"/>
      <c r="L28" s="148"/>
      <c r="M28" s="277"/>
    </row>
    <row r="29" spans="1:22">
      <c r="A29" s="203"/>
      <c r="C29" s="145"/>
      <c r="D29" s="145"/>
      <c r="E29" s="148"/>
      <c r="F29" s="148"/>
      <c r="G29" s="148"/>
      <c r="H29" s="148"/>
      <c r="I29" s="148"/>
      <c r="J29" s="148"/>
      <c r="K29" s="148"/>
      <c r="L29" s="148"/>
      <c r="M29" s="277"/>
    </row>
    <row r="30" spans="1:22">
      <c r="A30" s="203"/>
      <c r="C30" s="145"/>
      <c r="D30" s="145"/>
      <c r="E30" s="148"/>
      <c r="F30" s="148"/>
      <c r="G30" s="148"/>
      <c r="H30" s="148"/>
      <c r="I30" s="148"/>
      <c r="J30" s="148"/>
      <c r="K30" s="148"/>
      <c r="L30" s="148"/>
      <c r="M30" s="277"/>
    </row>
    <row r="31" spans="1:22">
      <c r="A31" s="203"/>
      <c r="C31" s="145"/>
      <c r="D31" s="145"/>
      <c r="E31" s="148"/>
      <c r="F31" s="148"/>
      <c r="G31" s="148"/>
      <c r="H31" s="148"/>
      <c r="I31" s="148"/>
      <c r="J31" s="148"/>
      <c r="K31" s="148"/>
      <c r="L31" s="148"/>
      <c r="M31" s="277"/>
    </row>
    <row r="32" spans="1:22">
      <c r="A32" s="203"/>
      <c r="C32" s="145"/>
      <c r="D32" s="145"/>
      <c r="E32" s="148"/>
      <c r="F32" s="148"/>
      <c r="G32" s="148"/>
      <c r="H32" s="148"/>
      <c r="I32" s="148"/>
      <c r="J32" s="148"/>
      <c r="K32" s="148"/>
      <c r="L32" s="148"/>
      <c r="M32" s="277"/>
    </row>
    <row r="33" spans="1:13">
      <c r="A33" s="256"/>
      <c r="B33" s="232"/>
      <c r="C33" s="257"/>
      <c r="D33" s="257"/>
      <c r="E33" s="278"/>
      <c r="F33" s="278"/>
      <c r="G33" s="278"/>
      <c r="H33" s="278"/>
      <c r="I33" s="278"/>
      <c r="J33" s="278"/>
      <c r="K33" s="278"/>
      <c r="L33" s="278"/>
      <c r="M33" s="279"/>
    </row>
    <row r="34" spans="1:13">
      <c r="A34" s="207" t="s">
        <v>168</v>
      </c>
      <c r="B34" s="280"/>
      <c r="C34" s="159" t="s">
        <v>201</v>
      </c>
      <c r="D34" s="160"/>
      <c r="E34" s="221"/>
      <c r="F34" s="955">
        <f>SUM(F17:F33)</f>
        <v>20655221.346237894</v>
      </c>
      <c r="G34" s="281"/>
      <c r="H34" s="281"/>
      <c r="I34" s="955">
        <f>SUM(I17:I33)</f>
        <v>22726158.195614345</v>
      </c>
      <c r="J34" s="955">
        <f>SUM(J17:J33)</f>
        <v>-762369.79561434814</v>
      </c>
      <c r="K34" s="259"/>
      <c r="L34" s="282">
        <f>SUM(L17:L33)</f>
        <v>-899445.94597900868</v>
      </c>
      <c r="M34" s="259"/>
    </row>
    <row r="35" spans="1:13">
      <c r="A35" s="145"/>
      <c r="B35" s="145"/>
      <c r="E35" s="145"/>
    </row>
    <row r="36" spans="1:13">
      <c r="A36" s="207" t="s">
        <v>169</v>
      </c>
      <c r="B36" s="145"/>
      <c r="C36" s="159" t="s">
        <v>796</v>
      </c>
      <c r="E36" s="145"/>
      <c r="J36" s="259"/>
      <c r="L36" s="282">
        <f>'Attachment 13a - TEC True-Up'!I64</f>
        <v>-137076.15036466063</v>
      </c>
      <c r="M36" s="259"/>
    </row>
    <row r="37" spans="1:13">
      <c r="A37" s="263"/>
      <c r="B37" s="145"/>
      <c r="E37" s="145"/>
    </row>
    <row r="38" spans="1:13">
      <c r="A38" s="221"/>
      <c r="J38" s="282"/>
    </row>
    <row r="39" spans="1:13">
      <c r="A39" s="221"/>
      <c r="J39" s="282"/>
    </row>
    <row r="40" spans="1:13">
      <c r="A40" s="207"/>
      <c r="J40" s="259"/>
    </row>
    <row r="41" spans="1:13">
      <c r="A41" s="207"/>
      <c r="J41" s="259"/>
    </row>
    <row r="42" spans="1:13">
      <c r="C42" s="283"/>
    </row>
    <row r="44" spans="1:13">
      <c r="A44" s="145" t="s">
        <v>212</v>
      </c>
      <c r="B44" s="145"/>
      <c r="C44" s="145"/>
      <c r="D44" s="145"/>
      <c r="E44" s="145"/>
      <c r="F44" s="145"/>
      <c r="G44" s="145"/>
      <c r="H44" s="145"/>
      <c r="I44" s="145"/>
      <c r="J44" s="145"/>
      <c r="K44" s="145"/>
      <c r="L44" s="145"/>
      <c r="M44" s="145"/>
    </row>
    <row r="45" spans="1:13">
      <c r="A45" s="261"/>
      <c r="B45" s="145" t="s">
        <v>182</v>
      </c>
      <c r="C45" s="145" t="s">
        <v>360</v>
      </c>
      <c r="D45" s="145"/>
      <c r="E45" s="145"/>
      <c r="F45" s="145"/>
      <c r="G45" s="145"/>
      <c r="H45" s="145"/>
      <c r="I45" s="145"/>
      <c r="J45" s="145"/>
      <c r="K45" s="145"/>
      <c r="L45" s="145"/>
      <c r="M45" s="145"/>
    </row>
    <row r="46" spans="1:13">
      <c r="A46" s="284"/>
      <c r="C46" s="207"/>
      <c r="D46" s="207"/>
      <c r="E46" s="221"/>
      <c r="F46" s="221"/>
      <c r="G46" s="204"/>
      <c r="J46" s="264"/>
    </row>
    <row r="47" spans="1:13">
      <c r="A47" s="284"/>
      <c r="C47" s="207"/>
      <c r="D47" s="207"/>
      <c r="E47" s="221"/>
      <c r="F47" s="221"/>
      <c r="G47" s="204"/>
      <c r="J47" s="264"/>
    </row>
    <row r="48" spans="1:13">
      <c r="C48" s="145"/>
      <c r="D48" s="145"/>
      <c r="E48" s="145"/>
      <c r="F48" s="145"/>
      <c r="G48" s="145"/>
      <c r="H48" s="145"/>
      <c r="I48" s="145"/>
      <c r="J48" s="145"/>
      <c r="K48" s="145"/>
      <c r="L48" s="145"/>
    </row>
    <row r="49" spans="3:12">
      <c r="C49" s="145"/>
      <c r="D49" s="145"/>
      <c r="E49" s="145"/>
      <c r="F49" s="145"/>
      <c r="G49" s="145"/>
      <c r="H49" s="145"/>
      <c r="I49" s="145"/>
      <c r="J49" s="145"/>
      <c r="K49" s="145"/>
      <c r="L49" s="145"/>
    </row>
    <row r="50" spans="3:12">
      <c r="C50" s="145"/>
      <c r="D50" s="145"/>
      <c r="E50" s="145"/>
      <c r="F50" s="145"/>
      <c r="G50" s="145"/>
      <c r="H50" s="145"/>
      <c r="I50" s="145"/>
      <c r="J50" s="145"/>
      <c r="K50" s="145"/>
      <c r="L50" s="145"/>
    </row>
    <row r="51" spans="3:12">
      <c r="C51" s="145"/>
      <c r="D51" s="145"/>
      <c r="E51" s="145"/>
      <c r="F51" s="145"/>
      <c r="G51" s="145"/>
      <c r="H51" s="145"/>
      <c r="I51" s="145"/>
      <c r="J51" s="145"/>
      <c r="K51" s="145"/>
      <c r="L51" s="145"/>
    </row>
    <row r="52" spans="3:12">
      <c r="C52" s="145"/>
      <c r="D52" s="145"/>
      <c r="E52" s="145"/>
      <c r="F52" s="145"/>
      <c r="G52" s="145"/>
      <c r="H52" s="145"/>
      <c r="I52" s="145"/>
      <c r="J52" s="145"/>
      <c r="K52" s="145"/>
      <c r="L52" s="145"/>
    </row>
    <row r="53" spans="3:12">
      <c r="C53" s="145"/>
      <c r="D53" s="145"/>
      <c r="E53" s="145"/>
      <c r="F53" s="145"/>
      <c r="G53" s="145"/>
      <c r="H53" s="145"/>
      <c r="I53" s="145"/>
      <c r="J53" s="145"/>
      <c r="K53" s="145"/>
      <c r="L53" s="145"/>
    </row>
    <row r="54" spans="3:12">
      <c r="C54" s="145"/>
      <c r="D54" s="145"/>
      <c r="E54" s="145"/>
      <c r="F54" s="145"/>
      <c r="G54" s="145"/>
      <c r="H54" s="145"/>
      <c r="I54" s="145"/>
      <c r="J54" s="145"/>
      <c r="K54" s="145"/>
      <c r="L54" s="145"/>
    </row>
    <row r="55" spans="3:12">
      <c r="C55" s="145"/>
      <c r="D55" s="145"/>
      <c r="E55" s="145"/>
      <c r="F55" s="145"/>
      <c r="G55" s="145"/>
      <c r="H55" s="145"/>
      <c r="I55" s="145"/>
      <c r="J55" s="145"/>
      <c r="K55" s="145"/>
      <c r="L55" s="145"/>
    </row>
    <row r="56" spans="3:12">
      <c r="C56" s="145"/>
      <c r="D56" s="145"/>
      <c r="E56" s="145"/>
      <c r="F56" s="145"/>
      <c r="G56" s="145"/>
      <c r="H56" s="145"/>
      <c r="I56" s="145"/>
      <c r="J56" s="145"/>
      <c r="K56" s="145"/>
      <c r="L56" s="145"/>
    </row>
    <row r="57" spans="3:12">
      <c r="C57" s="145"/>
      <c r="D57" s="145"/>
      <c r="E57" s="145"/>
      <c r="F57" s="145"/>
      <c r="G57" s="145"/>
      <c r="H57" s="145"/>
      <c r="I57" s="145"/>
      <c r="J57" s="145"/>
      <c r="K57" s="145"/>
      <c r="L57" s="145"/>
    </row>
    <row r="58" spans="3:12">
      <c r="C58" s="145"/>
      <c r="D58" s="145"/>
      <c r="E58" s="145"/>
      <c r="F58" s="145"/>
      <c r="G58" s="145"/>
      <c r="H58" s="145"/>
      <c r="I58" s="145"/>
      <c r="J58" s="145"/>
      <c r="K58" s="145"/>
      <c r="L58" s="145"/>
    </row>
    <row r="59" spans="3:12">
      <c r="C59" s="145"/>
      <c r="D59" s="145"/>
      <c r="E59" s="145"/>
      <c r="F59" s="145"/>
      <c r="G59" s="145"/>
      <c r="H59" s="145"/>
      <c r="I59" s="145"/>
      <c r="J59" s="145"/>
      <c r="K59" s="145"/>
      <c r="L59" s="145"/>
    </row>
    <row r="60" spans="3:12">
      <c r="C60" s="145"/>
      <c r="D60" s="145"/>
      <c r="E60" s="145"/>
      <c r="F60" s="145"/>
      <c r="G60" s="145"/>
      <c r="H60" s="145"/>
      <c r="I60" s="145"/>
      <c r="J60" s="145"/>
      <c r="K60" s="145"/>
      <c r="L60" s="145"/>
    </row>
    <row r="61" spans="3:12">
      <c r="C61" s="145"/>
      <c r="D61" s="145"/>
      <c r="E61" s="145"/>
      <c r="F61" s="145"/>
      <c r="G61" s="145"/>
      <c r="H61" s="145"/>
      <c r="I61" s="145"/>
      <c r="J61" s="145"/>
      <c r="K61" s="145"/>
      <c r="L61" s="145"/>
    </row>
    <row r="62" spans="3:12">
      <c r="C62" s="145"/>
      <c r="D62" s="145"/>
      <c r="E62" s="145"/>
      <c r="F62" s="145"/>
      <c r="G62" s="145"/>
      <c r="H62" s="145"/>
      <c r="I62" s="145"/>
      <c r="J62" s="145"/>
      <c r="K62" s="145"/>
      <c r="L62" s="145"/>
    </row>
    <row r="63" spans="3:12">
      <c r="C63" s="145"/>
      <c r="D63" s="145"/>
      <c r="E63" s="145"/>
      <c r="F63" s="145"/>
      <c r="G63" s="145"/>
      <c r="H63" s="145"/>
      <c r="I63" s="145"/>
      <c r="J63" s="145"/>
      <c r="K63" s="145"/>
      <c r="L63" s="145"/>
    </row>
    <row r="64" spans="3:12">
      <c r="C64" s="145"/>
      <c r="D64" s="145"/>
      <c r="E64" s="145"/>
      <c r="F64" s="145"/>
      <c r="G64" s="145"/>
      <c r="H64" s="145"/>
      <c r="I64" s="145"/>
      <c r="J64" s="145"/>
      <c r="K64" s="145"/>
      <c r="L64" s="145"/>
    </row>
    <row r="65" spans="3:12">
      <c r="C65" s="145"/>
      <c r="D65" s="145"/>
      <c r="E65" s="145"/>
      <c r="F65" s="145"/>
      <c r="G65" s="145"/>
      <c r="H65" s="145"/>
      <c r="I65" s="145"/>
      <c r="J65" s="145"/>
      <c r="K65" s="145"/>
      <c r="L65" s="145"/>
    </row>
    <row r="66" spans="3:12">
      <c r="C66" s="145"/>
      <c r="D66" s="145"/>
      <c r="E66" s="145"/>
      <c r="F66" s="145"/>
      <c r="G66" s="145"/>
      <c r="H66" s="145"/>
      <c r="I66" s="145"/>
      <c r="J66" s="145"/>
      <c r="K66" s="145"/>
      <c r="L66" s="145"/>
    </row>
    <row r="67" spans="3:12">
      <c r="C67" s="145"/>
      <c r="D67" s="145"/>
      <c r="E67" s="145"/>
      <c r="F67" s="145"/>
      <c r="G67" s="145"/>
      <c r="H67" s="145"/>
      <c r="I67" s="145"/>
      <c r="J67" s="145"/>
      <c r="K67" s="145"/>
      <c r="L67" s="145"/>
    </row>
    <row r="68" spans="3:12">
      <c r="C68" s="145"/>
      <c r="D68" s="145"/>
      <c r="E68" s="145"/>
      <c r="F68" s="145"/>
      <c r="G68" s="145"/>
      <c r="H68" s="145"/>
      <c r="I68" s="145"/>
      <c r="J68" s="145"/>
      <c r="K68" s="145"/>
      <c r="L68" s="145"/>
    </row>
    <row r="69" spans="3:12">
      <c r="C69" s="145"/>
      <c r="D69" s="145"/>
      <c r="E69" s="145"/>
      <c r="F69" s="145"/>
      <c r="G69" s="145"/>
      <c r="H69" s="145"/>
      <c r="I69" s="145"/>
      <c r="J69" s="145"/>
      <c r="K69" s="145"/>
      <c r="L69" s="145"/>
    </row>
    <row r="70" spans="3:12">
      <c r="C70" s="145"/>
      <c r="D70" s="145"/>
      <c r="E70" s="145"/>
      <c r="F70" s="145"/>
      <c r="G70" s="145"/>
      <c r="H70" s="145"/>
      <c r="I70" s="145"/>
      <c r="J70" s="145"/>
      <c r="K70" s="145"/>
      <c r="L70" s="145"/>
    </row>
    <row r="71" spans="3:12">
      <c r="C71" s="145"/>
      <c r="D71" s="145"/>
      <c r="E71" s="145"/>
      <c r="F71" s="145"/>
      <c r="G71" s="145"/>
      <c r="H71" s="145"/>
      <c r="I71" s="145"/>
      <c r="J71" s="145"/>
      <c r="K71" s="145"/>
      <c r="L71" s="145"/>
    </row>
    <row r="72" spans="3:12">
      <c r="C72" s="145"/>
      <c r="D72" s="145"/>
      <c r="E72" s="145"/>
      <c r="F72" s="145"/>
      <c r="G72" s="145"/>
      <c r="H72" s="145"/>
      <c r="I72" s="145"/>
      <c r="J72" s="145"/>
      <c r="K72" s="145"/>
      <c r="L72" s="145"/>
    </row>
    <row r="73" spans="3:12">
      <c r="C73" s="145"/>
      <c r="D73" s="145"/>
      <c r="E73" s="145"/>
      <c r="F73" s="145"/>
      <c r="G73" s="145"/>
      <c r="H73" s="145"/>
      <c r="I73" s="145"/>
      <c r="J73" s="145"/>
      <c r="K73" s="145"/>
      <c r="L73" s="145"/>
    </row>
    <row r="74" spans="3:12">
      <c r="C74" s="145"/>
      <c r="D74" s="145"/>
      <c r="E74" s="145"/>
      <c r="F74" s="145"/>
      <c r="G74" s="145"/>
      <c r="H74" s="145"/>
      <c r="I74" s="145"/>
      <c r="J74" s="145"/>
      <c r="K74" s="145"/>
      <c r="L74" s="145"/>
    </row>
    <row r="75" spans="3:12">
      <c r="C75" s="145"/>
      <c r="D75" s="145"/>
      <c r="E75" s="145"/>
      <c r="F75" s="145"/>
      <c r="G75" s="145"/>
      <c r="H75" s="145"/>
      <c r="I75" s="145"/>
      <c r="J75" s="145"/>
      <c r="K75" s="145"/>
      <c r="L75" s="145"/>
    </row>
    <row r="76" spans="3:12">
      <c r="C76" s="145"/>
      <c r="D76" s="145"/>
      <c r="E76" s="145"/>
      <c r="F76" s="145"/>
      <c r="G76" s="145"/>
      <c r="H76" s="145"/>
      <c r="I76" s="145"/>
      <c r="J76" s="145"/>
      <c r="K76" s="145"/>
      <c r="L76" s="145"/>
    </row>
    <row r="77" spans="3:12">
      <c r="C77" s="145"/>
      <c r="D77" s="145"/>
      <c r="E77" s="145"/>
      <c r="F77" s="145"/>
      <c r="G77" s="145"/>
      <c r="H77" s="145"/>
      <c r="I77" s="145"/>
      <c r="J77" s="145"/>
      <c r="K77" s="145"/>
      <c r="L77" s="145"/>
    </row>
    <row r="78" spans="3:12">
      <c r="C78" s="145"/>
      <c r="D78" s="145"/>
      <c r="E78" s="145"/>
      <c r="F78" s="145"/>
      <c r="G78" s="145"/>
      <c r="H78" s="145"/>
      <c r="I78" s="145"/>
      <c r="J78" s="145"/>
      <c r="K78" s="145"/>
      <c r="L78" s="145"/>
    </row>
    <row r="79" spans="3:12">
      <c r="C79" s="145"/>
      <c r="D79" s="145"/>
      <c r="E79" s="145"/>
      <c r="F79" s="145"/>
      <c r="G79" s="145"/>
      <c r="H79" s="145"/>
      <c r="I79" s="145"/>
      <c r="J79" s="145"/>
      <c r="K79" s="145"/>
      <c r="L79" s="145"/>
    </row>
    <row r="80" spans="3:12">
      <c r="C80" s="145"/>
      <c r="D80" s="145"/>
      <c r="E80" s="145"/>
      <c r="F80" s="145"/>
      <c r="G80" s="145"/>
      <c r="H80" s="145"/>
      <c r="I80" s="145"/>
      <c r="J80" s="145"/>
      <c r="K80" s="145"/>
      <c r="L80" s="145"/>
    </row>
    <row r="81" spans="3:12">
      <c r="C81" s="145"/>
      <c r="D81" s="145"/>
      <c r="E81" s="145"/>
      <c r="F81" s="145"/>
      <c r="G81" s="145"/>
      <c r="H81" s="145"/>
      <c r="I81" s="145"/>
      <c r="J81" s="145"/>
      <c r="K81" s="145"/>
      <c r="L81" s="145"/>
    </row>
    <row r="82" spans="3:12">
      <c r="C82" s="145"/>
      <c r="D82" s="145"/>
      <c r="E82" s="145"/>
      <c r="F82" s="145"/>
      <c r="G82" s="145"/>
      <c r="H82" s="145"/>
      <c r="I82" s="145"/>
      <c r="J82" s="145"/>
      <c r="K82" s="145"/>
      <c r="L82" s="145"/>
    </row>
    <row r="83" spans="3:12">
      <c r="C83" s="145"/>
      <c r="D83" s="145"/>
      <c r="E83" s="145"/>
      <c r="F83" s="145"/>
      <c r="G83" s="145"/>
      <c r="H83" s="145"/>
      <c r="I83" s="145"/>
      <c r="J83" s="145"/>
      <c r="K83" s="145"/>
      <c r="L83" s="145"/>
    </row>
    <row r="84" spans="3:12">
      <c r="C84" s="145"/>
      <c r="D84" s="145"/>
      <c r="E84" s="145"/>
      <c r="F84" s="145"/>
      <c r="G84" s="145"/>
      <c r="H84" s="145"/>
      <c r="I84" s="145"/>
      <c r="J84" s="145"/>
      <c r="K84" s="145"/>
      <c r="L84" s="145"/>
    </row>
    <row r="85" spans="3:12">
      <c r="C85" s="145"/>
      <c r="D85" s="145"/>
      <c r="E85" s="145"/>
      <c r="F85" s="145"/>
      <c r="G85" s="145"/>
      <c r="H85" s="145"/>
      <c r="I85" s="145"/>
      <c r="J85" s="145"/>
      <c r="K85" s="145"/>
      <c r="L85" s="145"/>
    </row>
    <row r="86" spans="3:12">
      <c r="C86" s="145"/>
      <c r="D86" s="145"/>
      <c r="E86" s="145"/>
      <c r="F86" s="145"/>
      <c r="G86" s="145"/>
      <c r="H86" s="145"/>
      <c r="I86" s="145"/>
      <c r="J86" s="145"/>
      <c r="K86" s="145"/>
      <c r="L86" s="145"/>
    </row>
    <row r="87" spans="3:12">
      <c r="C87" s="145"/>
      <c r="D87" s="145"/>
      <c r="E87" s="145"/>
      <c r="F87" s="145"/>
      <c r="G87" s="145"/>
      <c r="H87" s="145"/>
      <c r="I87" s="145"/>
      <c r="J87" s="145"/>
      <c r="K87" s="145"/>
      <c r="L87" s="145"/>
    </row>
    <row r="88" spans="3:12">
      <c r="C88" s="145"/>
      <c r="D88" s="145"/>
      <c r="E88" s="145"/>
      <c r="F88" s="145"/>
      <c r="G88" s="145"/>
      <c r="H88" s="145"/>
      <c r="I88" s="145"/>
      <c r="J88" s="145"/>
      <c r="K88" s="145"/>
      <c r="L88" s="145"/>
    </row>
    <row r="89" spans="3:12">
      <c r="C89" s="145"/>
      <c r="D89" s="145"/>
      <c r="E89" s="145"/>
      <c r="F89" s="145"/>
      <c r="G89" s="145"/>
      <c r="H89" s="145"/>
      <c r="I89" s="145"/>
      <c r="J89" s="145"/>
      <c r="K89" s="145"/>
      <c r="L89" s="145"/>
    </row>
    <row r="90" spans="3:12">
      <c r="C90" s="145"/>
      <c r="D90" s="145"/>
      <c r="E90" s="145"/>
      <c r="F90" s="145"/>
      <c r="G90" s="145"/>
      <c r="H90" s="145"/>
      <c r="I90" s="145"/>
      <c r="J90" s="145"/>
      <c r="K90" s="145"/>
      <c r="L90" s="145"/>
    </row>
    <row r="91" spans="3:12">
      <c r="C91" s="145"/>
      <c r="D91" s="145"/>
      <c r="E91" s="145"/>
      <c r="F91" s="145"/>
      <c r="G91" s="145"/>
      <c r="H91" s="145"/>
      <c r="I91" s="145"/>
      <c r="J91" s="145"/>
      <c r="K91" s="145"/>
      <c r="L91" s="145"/>
    </row>
    <row r="92" spans="3:12">
      <c r="C92" s="145"/>
      <c r="D92" s="145"/>
      <c r="E92" s="145"/>
      <c r="F92" s="145"/>
      <c r="G92" s="145"/>
      <c r="H92" s="145"/>
      <c r="I92" s="145"/>
      <c r="J92" s="145"/>
      <c r="K92" s="145"/>
      <c r="L92" s="145"/>
    </row>
    <row r="93" spans="3:12">
      <c r="C93" s="145"/>
      <c r="D93" s="145"/>
      <c r="E93" s="145"/>
      <c r="F93" s="145"/>
      <c r="G93" s="145"/>
      <c r="H93" s="145"/>
      <c r="I93" s="145"/>
      <c r="J93" s="145"/>
      <c r="K93" s="145"/>
      <c r="L93" s="145"/>
    </row>
    <row r="94" spans="3:12">
      <c r="C94" s="145"/>
      <c r="D94" s="145"/>
      <c r="E94" s="145"/>
      <c r="F94" s="145"/>
      <c r="G94" s="145"/>
      <c r="H94" s="145"/>
      <c r="I94" s="145"/>
      <c r="J94" s="145"/>
      <c r="K94" s="145"/>
      <c r="L94" s="145"/>
    </row>
    <row r="95" spans="3:12">
      <c r="C95" s="145"/>
      <c r="D95" s="145"/>
      <c r="E95" s="145"/>
      <c r="F95" s="145"/>
      <c r="G95" s="145"/>
      <c r="H95" s="145"/>
      <c r="I95" s="145"/>
      <c r="J95" s="145"/>
      <c r="K95" s="145"/>
      <c r="L95" s="145"/>
    </row>
    <row r="96" spans="3:12">
      <c r="C96" s="145"/>
      <c r="D96" s="145"/>
      <c r="E96" s="145"/>
      <c r="F96" s="145"/>
      <c r="G96" s="145"/>
      <c r="H96" s="145"/>
      <c r="I96" s="145"/>
      <c r="J96" s="145"/>
      <c r="K96" s="145"/>
      <c r="L96" s="145"/>
    </row>
    <row r="97" spans="3:12">
      <c r="C97" s="145"/>
      <c r="D97" s="145"/>
      <c r="E97" s="145"/>
      <c r="F97" s="145"/>
      <c r="G97" s="145"/>
      <c r="H97" s="145"/>
      <c r="I97" s="145"/>
      <c r="J97" s="145"/>
      <c r="K97" s="145"/>
      <c r="L97" s="145"/>
    </row>
    <row r="98" spans="3:12">
      <c r="C98" s="145"/>
      <c r="D98" s="145"/>
      <c r="E98" s="145"/>
      <c r="F98" s="145"/>
      <c r="G98" s="145"/>
      <c r="H98" s="145"/>
      <c r="I98" s="145"/>
      <c r="J98" s="145"/>
      <c r="K98" s="145"/>
      <c r="L98" s="145"/>
    </row>
    <row r="99" spans="3:12">
      <c r="C99" s="145"/>
      <c r="D99" s="145"/>
      <c r="E99" s="145"/>
      <c r="F99" s="145"/>
      <c r="G99" s="145"/>
      <c r="H99" s="145"/>
      <c r="I99" s="145"/>
      <c r="J99" s="145"/>
      <c r="K99" s="145"/>
      <c r="L99" s="145"/>
    </row>
    <row r="100" spans="3:12">
      <c r="C100" s="145"/>
      <c r="D100" s="145"/>
      <c r="E100" s="145"/>
      <c r="F100" s="145"/>
      <c r="G100" s="145"/>
      <c r="H100" s="145"/>
      <c r="I100" s="145"/>
      <c r="J100" s="145"/>
      <c r="K100" s="145"/>
      <c r="L100" s="145"/>
    </row>
    <row r="101" spans="3:12">
      <c r="C101" s="145"/>
      <c r="D101" s="145"/>
      <c r="E101" s="145"/>
      <c r="F101" s="145"/>
      <c r="G101" s="145"/>
      <c r="H101" s="145"/>
      <c r="I101" s="145"/>
      <c r="J101" s="145"/>
      <c r="K101" s="145"/>
      <c r="L101" s="145"/>
    </row>
    <row r="102" spans="3:12">
      <c r="C102" s="145"/>
      <c r="D102" s="145"/>
      <c r="E102" s="145"/>
      <c r="F102" s="145"/>
      <c r="G102" s="145"/>
      <c r="H102" s="145"/>
      <c r="I102" s="145"/>
      <c r="J102" s="145"/>
      <c r="K102" s="145"/>
      <c r="L102" s="145"/>
    </row>
    <row r="103" spans="3:12">
      <c r="C103" s="145"/>
      <c r="D103" s="145"/>
      <c r="E103" s="145"/>
      <c r="F103" s="145"/>
      <c r="G103" s="145"/>
      <c r="H103" s="145"/>
      <c r="I103" s="145"/>
      <c r="J103" s="145"/>
      <c r="K103" s="145"/>
      <c r="L103" s="145"/>
    </row>
    <row r="104" spans="3:12">
      <c r="C104" s="145"/>
      <c r="D104" s="145"/>
      <c r="E104" s="145"/>
      <c r="F104" s="145"/>
      <c r="G104" s="145"/>
      <c r="H104" s="145"/>
      <c r="I104" s="145"/>
      <c r="J104" s="145"/>
      <c r="K104" s="145"/>
      <c r="L104" s="145"/>
    </row>
    <row r="105" spans="3:12">
      <c r="C105" s="145"/>
      <c r="D105" s="145"/>
      <c r="E105" s="145"/>
      <c r="F105" s="145"/>
      <c r="G105" s="145"/>
      <c r="H105" s="145"/>
      <c r="I105" s="145"/>
      <c r="J105" s="145"/>
      <c r="K105" s="145"/>
      <c r="L105" s="145"/>
    </row>
    <row r="106" spans="3:12">
      <c r="C106" s="145"/>
      <c r="D106" s="145"/>
      <c r="E106" s="145"/>
      <c r="F106" s="145"/>
      <c r="G106" s="145"/>
      <c r="H106" s="145"/>
      <c r="I106" s="145"/>
      <c r="J106" s="145"/>
      <c r="K106" s="145"/>
      <c r="L106" s="145"/>
    </row>
    <row r="107" spans="3:12">
      <c r="C107" s="145"/>
      <c r="D107" s="145"/>
      <c r="E107" s="145"/>
      <c r="F107" s="145"/>
      <c r="G107" s="145"/>
      <c r="H107" s="145"/>
      <c r="I107" s="145"/>
      <c r="J107" s="145"/>
      <c r="K107" s="145"/>
      <c r="L107" s="145"/>
    </row>
    <row r="108" spans="3:12">
      <c r="C108" s="145"/>
      <c r="D108" s="145"/>
      <c r="E108" s="145"/>
      <c r="F108" s="145"/>
      <c r="G108" s="145"/>
      <c r="H108" s="145"/>
      <c r="I108" s="145"/>
      <c r="J108" s="145"/>
      <c r="K108" s="145"/>
      <c r="L108" s="145"/>
    </row>
    <row r="109" spans="3:12">
      <c r="C109" s="145"/>
      <c r="D109" s="145"/>
      <c r="E109" s="145"/>
      <c r="F109" s="145"/>
      <c r="G109" s="145"/>
      <c r="H109" s="145"/>
      <c r="I109" s="145"/>
      <c r="J109" s="145"/>
      <c r="K109" s="145"/>
      <c r="L109" s="145"/>
    </row>
    <row r="110" spans="3:12">
      <c r="C110" s="145"/>
      <c r="D110" s="145"/>
      <c r="E110" s="145"/>
      <c r="F110" s="145"/>
      <c r="G110" s="145"/>
      <c r="H110" s="145"/>
      <c r="I110" s="145"/>
      <c r="J110" s="145"/>
      <c r="K110" s="145"/>
      <c r="L110" s="145"/>
    </row>
    <row r="111" spans="3:12">
      <c r="C111" s="145"/>
      <c r="D111" s="145"/>
      <c r="E111" s="145"/>
      <c r="F111" s="145"/>
      <c r="G111" s="145"/>
      <c r="H111" s="145"/>
      <c r="I111" s="145"/>
      <c r="J111" s="145"/>
      <c r="K111" s="145"/>
      <c r="L111" s="145"/>
    </row>
    <row r="112" spans="3:12">
      <c r="C112" s="145"/>
      <c r="D112" s="145"/>
      <c r="E112" s="145"/>
      <c r="F112" s="145"/>
      <c r="G112" s="145"/>
      <c r="H112" s="145"/>
      <c r="I112" s="145"/>
      <c r="J112" s="145"/>
      <c r="K112" s="145"/>
      <c r="L112" s="145"/>
    </row>
    <row r="113" spans="3:12">
      <c r="C113" s="145"/>
      <c r="D113" s="145"/>
      <c r="E113" s="145"/>
      <c r="F113" s="145"/>
      <c r="G113" s="145"/>
      <c r="H113" s="145"/>
      <c r="I113" s="145"/>
      <c r="J113" s="145"/>
      <c r="K113" s="145"/>
      <c r="L113" s="145"/>
    </row>
    <row r="114" spans="3:12">
      <c r="C114" s="145"/>
      <c r="D114" s="145"/>
      <c r="E114" s="145"/>
      <c r="F114" s="145"/>
      <c r="G114" s="145"/>
      <c r="H114" s="145"/>
      <c r="I114" s="145"/>
      <c r="J114" s="145"/>
      <c r="K114" s="145"/>
      <c r="L114" s="145"/>
    </row>
    <row r="115" spans="3:12">
      <c r="C115" s="145"/>
      <c r="D115" s="145"/>
      <c r="E115" s="145"/>
      <c r="F115" s="145"/>
      <c r="G115" s="145"/>
      <c r="H115" s="145"/>
      <c r="I115" s="145"/>
      <c r="J115" s="145"/>
      <c r="K115" s="145"/>
      <c r="L115" s="145"/>
    </row>
    <row r="116" spans="3:12">
      <c r="C116" s="145"/>
      <c r="D116" s="145"/>
      <c r="E116" s="145"/>
      <c r="F116" s="145"/>
      <c r="G116" s="145"/>
      <c r="H116" s="145"/>
      <c r="I116" s="145"/>
      <c r="J116" s="145"/>
      <c r="K116" s="145"/>
      <c r="L116" s="145"/>
    </row>
    <row r="117" spans="3:12">
      <c r="C117" s="145"/>
      <c r="D117" s="145"/>
      <c r="E117" s="145"/>
      <c r="F117" s="145"/>
      <c r="G117" s="145"/>
      <c r="H117" s="145"/>
      <c r="I117" s="145"/>
      <c r="J117" s="145"/>
      <c r="K117" s="145"/>
      <c r="L117" s="145"/>
    </row>
    <row r="118" spans="3:12">
      <c r="C118" s="145"/>
      <c r="D118" s="145"/>
      <c r="E118" s="145"/>
      <c r="F118" s="145"/>
      <c r="G118" s="145"/>
      <c r="H118" s="145"/>
      <c r="I118" s="145"/>
      <c r="J118" s="145"/>
      <c r="K118" s="145"/>
      <c r="L118" s="145"/>
    </row>
    <row r="119" spans="3:12">
      <c r="C119" s="145"/>
      <c r="D119" s="145"/>
      <c r="E119" s="145"/>
      <c r="F119" s="145"/>
      <c r="G119" s="145"/>
      <c r="H119" s="145"/>
      <c r="I119" s="145"/>
      <c r="J119" s="145"/>
      <c r="K119" s="145"/>
      <c r="L119" s="145"/>
    </row>
    <row r="120" spans="3:12">
      <c r="C120" s="145"/>
      <c r="D120" s="145"/>
      <c r="E120" s="145"/>
      <c r="F120" s="145"/>
      <c r="G120" s="145"/>
      <c r="H120" s="145"/>
      <c r="I120" s="145"/>
      <c r="J120" s="145"/>
      <c r="K120" s="145"/>
      <c r="L120" s="145"/>
    </row>
    <row r="121" spans="3:12">
      <c r="C121" s="145"/>
      <c r="D121" s="145"/>
      <c r="E121" s="145"/>
      <c r="F121" s="145"/>
      <c r="G121" s="145"/>
      <c r="H121" s="145"/>
      <c r="I121" s="145"/>
      <c r="J121" s="145"/>
      <c r="K121" s="145"/>
      <c r="L121" s="145"/>
    </row>
    <row r="122" spans="3:12">
      <c r="C122" s="145"/>
      <c r="D122" s="145"/>
      <c r="E122" s="145"/>
      <c r="F122" s="145"/>
      <c r="G122" s="145"/>
      <c r="H122" s="145"/>
      <c r="I122" s="145"/>
      <c r="J122" s="145"/>
      <c r="K122" s="145"/>
      <c r="L122" s="145"/>
    </row>
    <row r="123" spans="3:12">
      <c r="C123" s="145"/>
      <c r="D123" s="145"/>
      <c r="E123" s="145"/>
      <c r="F123" s="145"/>
      <c r="G123" s="145"/>
      <c r="H123" s="145"/>
      <c r="I123" s="145"/>
      <c r="J123" s="145"/>
      <c r="K123" s="145"/>
      <c r="L123" s="145"/>
    </row>
    <row r="124" spans="3:12">
      <c r="C124" s="145"/>
      <c r="D124" s="145"/>
      <c r="E124" s="145"/>
      <c r="F124" s="145"/>
      <c r="G124" s="145"/>
      <c r="H124" s="145"/>
      <c r="I124" s="145"/>
      <c r="J124" s="145"/>
      <c r="K124" s="145"/>
      <c r="L124" s="145"/>
    </row>
    <row r="125" spans="3:12">
      <c r="C125" s="145"/>
      <c r="D125" s="145"/>
      <c r="E125" s="145"/>
      <c r="F125" s="145"/>
      <c r="G125" s="145"/>
      <c r="H125" s="145"/>
      <c r="I125" s="145"/>
      <c r="J125" s="145"/>
      <c r="K125" s="145"/>
      <c r="L125" s="145"/>
    </row>
    <row r="126" spans="3:12">
      <c r="C126" s="145"/>
      <c r="D126" s="145"/>
      <c r="E126" s="145"/>
      <c r="F126" s="145"/>
      <c r="G126" s="145"/>
      <c r="H126" s="145"/>
      <c r="I126" s="145"/>
      <c r="J126" s="145"/>
      <c r="K126" s="145"/>
      <c r="L126" s="145"/>
    </row>
    <row r="127" spans="3:12">
      <c r="C127" s="145"/>
      <c r="D127" s="145"/>
      <c r="E127" s="145"/>
      <c r="F127" s="145"/>
      <c r="G127" s="145"/>
      <c r="H127" s="145"/>
      <c r="I127" s="145"/>
      <c r="J127" s="145"/>
      <c r="K127" s="145"/>
      <c r="L127" s="145"/>
    </row>
    <row r="128" spans="3:12">
      <c r="C128" s="145"/>
      <c r="D128" s="145"/>
      <c r="E128" s="145"/>
      <c r="F128" s="145"/>
      <c r="G128" s="145"/>
      <c r="H128" s="145"/>
      <c r="I128" s="145"/>
      <c r="J128" s="145"/>
      <c r="K128" s="145"/>
      <c r="L128" s="145"/>
    </row>
    <row r="129" spans="3:12">
      <c r="C129" s="145"/>
      <c r="D129" s="145"/>
      <c r="E129" s="145"/>
      <c r="F129" s="145"/>
      <c r="G129" s="145"/>
      <c r="H129" s="145"/>
      <c r="I129" s="145"/>
      <c r="J129" s="145"/>
      <c r="K129" s="145"/>
      <c r="L129" s="145"/>
    </row>
    <row r="130" spans="3:12">
      <c r="C130" s="145"/>
      <c r="D130" s="145"/>
      <c r="E130" s="145"/>
      <c r="F130" s="145"/>
      <c r="G130" s="145"/>
      <c r="H130" s="145"/>
      <c r="I130" s="145"/>
      <c r="J130" s="145"/>
      <c r="K130" s="145"/>
      <c r="L130" s="145"/>
    </row>
    <row r="131" spans="3:12">
      <c r="C131" s="145"/>
      <c r="D131" s="145"/>
      <c r="E131" s="145"/>
      <c r="F131" s="145"/>
      <c r="G131" s="145"/>
      <c r="H131" s="145"/>
      <c r="I131" s="145"/>
      <c r="J131" s="145"/>
      <c r="K131" s="145"/>
      <c r="L131" s="145"/>
    </row>
    <row r="132" spans="3:12">
      <c r="C132" s="145"/>
      <c r="D132" s="145"/>
      <c r="E132" s="145"/>
      <c r="F132" s="145"/>
      <c r="G132" s="145"/>
      <c r="H132" s="145"/>
      <c r="I132" s="145"/>
      <c r="J132" s="145"/>
      <c r="K132" s="145"/>
      <c r="L132" s="145"/>
    </row>
    <row r="133" spans="3:12">
      <c r="C133" s="145"/>
      <c r="D133" s="145"/>
      <c r="E133" s="145"/>
      <c r="F133" s="145"/>
      <c r="G133" s="145"/>
      <c r="H133" s="145"/>
      <c r="I133" s="145"/>
      <c r="J133" s="145"/>
      <c r="K133" s="145"/>
      <c r="L133" s="145"/>
    </row>
    <row r="134" spans="3:12">
      <c r="C134" s="145"/>
      <c r="D134" s="145"/>
      <c r="E134" s="145"/>
      <c r="F134" s="145"/>
      <c r="G134" s="145"/>
      <c r="H134" s="145"/>
      <c r="I134" s="145"/>
      <c r="J134" s="145"/>
      <c r="K134" s="145"/>
      <c r="L134" s="145"/>
    </row>
    <row r="135" spans="3:12">
      <c r="C135" s="145"/>
      <c r="D135" s="145"/>
      <c r="E135" s="145"/>
      <c r="F135" s="145"/>
      <c r="G135" s="145"/>
      <c r="H135" s="145"/>
      <c r="I135" s="145"/>
      <c r="J135" s="145"/>
      <c r="K135" s="145"/>
      <c r="L135" s="145"/>
    </row>
    <row r="136" spans="3:12">
      <c r="C136" s="145"/>
      <c r="D136" s="145"/>
      <c r="E136" s="145"/>
      <c r="F136" s="145"/>
      <c r="G136" s="145"/>
      <c r="H136" s="145"/>
      <c r="I136" s="145"/>
      <c r="J136" s="145"/>
      <c r="K136" s="145"/>
      <c r="L136" s="145"/>
    </row>
    <row r="137" spans="3:12">
      <c r="C137" s="145"/>
      <c r="D137" s="145"/>
      <c r="E137" s="145"/>
      <c r="F137" s="145"/>
      <c r="G137" s="145"/>
      <c r="H137" s="145"/>
      <c r="I137" s="145"/>
      <c r="J137" s="145"/>
      <c r="K137" s="145"/>
      <c r="L137" s="145"/>
    </row>
    <row r="138" spans="3:12">
      <c r="C138" s="145"/>
      <c r="D138" s="145"/>
      <c r="E138" s="145"/>
      <c r="F138" s="145"/>
      <c r="G138" s="145"/>
      <c r="H138" s="145"/>
      <c r="I138" s="145"/>
      <c r="J138" s="145"/>
      <c r="K138" s="145"/>
      <c r="L138" s="145"/>
    </row>
    <row r="139" spans="3:12">
      <c r="C139" s="145"/>
      <c r="D139" s="145"/>
      <c r="E139" s="145"/>
      <c r="F139" s="145"/>
      <c r="G139" s="145"/>
      <c r="H139" s="145"/>
      <c r="I139" s="145"/>
      <c r="J139" s="145"/>
      <c r="K139" s="145"/>
      <c r="L139" s="145"/>
    </row>
    <row r="140" spans="3:12">
      <c r="C140" s="145"/>
      <c r="D140" s="145"/>
      <c r="E140" s="145"/>
      <c r="F140" s="145"/>
      <c r="G140" s="145"/>
      <c r="H140" s="145"/>
      <c r="I140" s="145"/>
      <c r="J140" s="145"/>
      <c r="K140" s="145"/>
      <c r="L140" s="145"/>
    </row>
    <row r="141" spans="3:12">
      <c r="C141" s="145"/>
      <c r="D141" s="145"/>
      <c r="E141" s="145"/>
      <c r="F141" s="145"/>
      <c r="G141" s="145"/>
      <c r="H141" s="145"/>
      <c r="I141" s="145"/>
      <c r="J141" s="145"/>
      <c r="K141" s="145"/>
      <c r="L141" s="145"/>
    </row>
    <row r="142" spans="3:12">
      <c r="C142" s="145"/>
      <c r="D142" s="145"/>
      <c r="E142" s="145"/>
      <c r="F142" s="145"/>
      <c r="G142" s="145"/>
      <c r="H142" s="145"/>
      <c r="I142" s="145"/>
      <c r="J142" s="145"/>
      <c r="K142" s="145"/>
      <c r="L142" s="145"/>
    </row>
    <row r="143" spans="3:12">
      <c r="C143" s="145"/>
      <c r="D143" s="145"/>
      <c r="E143" s="145"/>
      <c r="F143" s="145"/>
      <c r="G143" s="145"/>
      <c r="H143" s="145"/>
      <c r="I143" s="145"/>
      <c r="J143" s="145"/>
      <c r="K143" s="145"/>
      <c r="L143" s="145"/>
    </row>
    <row r="144" spans="3:12">
      <c r="C144" s="145"/>
      <c r="D144" s="145"/>
      <c r="E144" s="145"/>
      <c r="F144" s="145"/>
      <c r="G144" s="145"/>
      <c r="H144" s="145"/>
      <c r="I144" s="145"/>
      <c r="J144" s="145"/>
      <c r="K144" s="145"/>
      <c r="L144" s="145"/>
    </row>
    <row r="145" spans="3:12">
      <c r="C145" s="145"/>
      <c r="D145" s="145"/>
      <c r="E145" s="145"/>
      <c r="F145" s="145"/>
      <c r="G145" s="145"/>
      <c r="H145" s="145"/>
      <c r="I145" s="145"/>
      <c r="J145" s="145"/>
      <c r="K145" s="145"/>
      <c r="L145" s="145"/>
    </row>
    <row r="146" spans="3:12">
      <c r="C146" s="145"/>
      <c r="D146" s="145"/>
      <c r="E146" s="145"/>
      <c r="F146" s="145"/>
      <c r="G146" s="145"/>
      <c r="H146" s="145"/>
      <c r="I146" s="145"/>
      <c r="J146" s="145"/>
      <c r="K146" s="145"/>
      <c r="L146" s="145"/>
    </row>
    <row r="147" spans="3:12">
      <c r="C147" s="145"/>
      <c r="D147" s="145"/>
      <c r="E147" s="145"/>
      <c r="F147" s="145"/>
      <c r="G147" s="145"/>
      <c r="H147" s="145"/>
      <c r="I147" s="145"/>
      <c r="J147" s="145"/>
      <c r="K147" s="145"/>
      <c r="L147" s="145"/>
    </row>
    <row r="148" spans="3:12">
      <c r="C148" s="145"/>
      <c r="D148" s="145"/>
      <c r="E148" s="145"/>
      <c r="F148" s="145"/>
      <c r="G148" s="145"/>
      <c r="H148" s="145"/>
      <c r="I148" s="145"/>
      <c r="J148" s="145"/>
      <c r="K148" s="145"/>
      <c r="L148" s="145"/>
    </row>
    <row r="149" spans="3:12">
      <c r="C149" s="145"/>
      <c r="D149" s="145"/>
      <c r="E149" s="145"/>
      <c r="F149" s="145"/>
      <c r="G149" s="145"/>
      <c r="H149" s="145"/>
      <c r="I149" s="145"/>
      <c r="J149" s="145"/>
      <c r="K149" s="145"/>
      <c r="L149" s="145"/>
    </row>
    <row r="150" spans="3:12">
      <c r="C150" s="145"/>
      <c r="D150" s="145"/>
      <c r="E150" s="145"/>
      <c r="F150" s="145"/>
      <c r="G150" s="145"/>
      <c r="H150" s="145"/>
      <c r="I150" s="145"/>
      <c r="J150" s="145"/>
      <c r="K150" s="145"/>
      <c r="L150" s="145"/>
    </row>
    <row r="151" spans="3:12">
      <c r="C151" s="145"/>
      <c r="D151" s="145"/>
      <c r="E151" s="145"/>
      <c r="F151" s="145"/>
      <c r="G151" s="145"/>
      <c r="H151" s="145"/>
      <c r="I151" s="145"/>
      <c r="J151" s="145"/>
      <c r="K151" s="145"/>
      <c r="L151" s="145"/>
    </row>
    <row r="152" spans="3:12">
      <c r="C152" s="145"/>
      <c r="D152" s="145"/>
      <c r="E152" s="145"/>
      <c r="F152" s="145"/>
      <c r="G152" s="145"/>
      <c r="H152" s="145"/>
      <c r="I152" s="145"/>
      <c r="J152" s="145"/>
      <c r="K152" s="145"/>
      <c r="L152" s="145"/>
    </row>
    <row r="153" spans="3:12">
      <c r="C153" s="145"/>
      <c r="D153" s="145"/>
      <c r="E153" s="145"/>
      <c r="F153" s="145"/>
      <c r="G153" s="145"/>
      <c r="H153" s="145"/>
      <c r="I153" s="145"/>
      <c r="J153" s="145"/>
      <c r="K153" s="145"/>
      <c r="L153" s="145"/>
    </row>
    <row r="154" spans="3:12">
      <c r="C154" s="145"/>
      <c r="D154" s="145"/>
      <c r="E154" s="145"/>
      <c r="F154" s="145"/>
      <c r="G154" s="145"/>
      <c r="H154" s="145"/>
      <c r="I154" s="145"/>
      <c r="J154" s="145"/>
      <c r="K154" s="145"/>
      <c r="L154" s="145"/>
    </row>
    <row r="155" spans="3:12">
      <c r="C155" s="145"/>
      <c r="D155" s="145"/>
      <c r="E155" s="145"/>
      <c r="F155" s="145"/>
      <c r="G155" s="145"/>
      <c r="H155" s="145"/>
      <c r="I155" s="145"/>
      <c r="J155" s="145"/>
      <c r="K155" s="145"/>
      <c r="L155" s="145"/>
    </row>
    <row r="156" spans="3:12">
      <c r="C156" s="145"/>
      <c r="D156" s="145"/>
      <c r="E156" s="145"/>
      <c r="F156" s="145"/>
      <c r="G156" s="145"/>
      <c r="H156" s="145"/>
      <c r="I156" s="145"/>
      <c r="J156" s="145"/>
      <c r="K156" s="145"/>
      <c r="L156" s="145"/>
    </row>
    <row r="157" spans="3:12">
      <c r="C157" s="145"/>
      <c r="D157" s="145"/>
      <c r="E157" s="145"/>
      <c r="F157" s="145"/>
      <c r="G157" s="145"/>
      <c r="H157" s="145"/>
      <c r="I157" s="145"/>
      <c r="J157" s="145"/>
      <c r="K157" s="145"/>
      <c r="L157" s="145"/>
    </row>
    <row r="158" spans="3:12">
      <c r="C158" s="145"/>
      <c r="D158" s="145"/>
      <c r="E158" s="145"/>
      <c r="F158" s="145"/>
      <c r="G158" s="145"/>
      <c r="H158" s="145"/>
      <c r="I158" s="145"/>
      <c r="J158" s="145"/>
      <c r="K158" s="145"/>
      <c r="L158" s="145"/>
    </row>
    <row r="159" spans="3:12">
      <c r="C159" s="145"/>
      <c r="D159" s="145"/>
      <c r="E159" s="145"/>
      <c r="F159" s="145"/>
      <c r="G159" s="145"/>
      <c r="H159" s="145"/>
      <c r="I159" s="145"/>
      <c r="J159" s="145"/>
      <c r="K159" s="145"/>
      <c r="L159" s="145"/>
    </row>
    <row r="160" spans="3:12">
      <c r="C160" s="145"/>
      <c r="D160" s="145"/>
      <c r="E160" s="145"/>
      <c r="F160" s="145"/>
      <c r="G160" s="145"/>
      <c r="H160" s="145"/>
      <c r="I160" s="145"/>
      <c r="J160" s="145"/>
      <c r="K160" s="145"/>
      <c r="L160" s="145"/>
    </row>
    <row r="161" spans="3:12">
      <c r="C161" s="145"/>
      <c r="D161" s="145"/>
      <c r="E161" s="145"/>
      <c r="F161" s="145"/>
      <c r="G161" s="145"/>
      <c r="H161" s="145"/>
      <c r="I161" s="145"/>
      <c r="J161" s="145"/>
      <c r="K161" s="145"/>
      <c r="L161" s="145"/>
    </row>
    <row r="162" spans="3:12">
      <c r="C162" s="145"/>
      <c r="D162" s="145"/>
      <c r="E162" s="145"/>
      <c r="F162" s="145"/>
      <c r="G162" s="145"/>
      <c r="H162" s="145"/>
      <c r="I162" s="145"/>
      <c r="J162" s="145"/>
      <c r="K162" s="145"/>
      <c r="L162" s="145"/>
    </row>
    <row r="163" spans="3:12">
      <c r="C163" s="145"/>
      <c r="D163" s="145"/>
      <c r="E163" s="145"/>
      <c r="F163" s="145"/>
      <c r="G163" s="145"/>
      <c r="H163" s="145"/>
      <c r="I163" s="145"/>
      <c r="J163" s="145"/>
      <c r="K163" s="145"/>
      <c r="L163" s="145"/>
    </row>
    <row r="164" spans="3:12">
      <c r="C164" s="145"/>
      <c r="D164" s="145"/>
      <c r="E164" s="145"/>
      <c r="F164" s="145"/>
      <c r="G164" s="145"/>
      <c r="H164" s="145"/>
      <c r="I164" s="145"/>
      <c r="J164" s="145"/>
      <c r="K164" s="145"/>
      <c r="L164" s="145"/>
    </row>
    <row r="165" spans="3:12">
      <c r="C165" s="145"/>
      <c r="D165" s="145"/>
      <c r="E165" s="145"/>
      <c r="F165" s="145"/>
      <c r="G165" s="145"/>
      <c r="H165" s="145"/>
      <c r="I165" s="145"/>
      <c r="J165" s="145"/>
      <c r="K165" s="145"/>
      <c r="L165" s="145"/>
    </row>
    <row r="166" spans="3:12">
      <c r="C166" s="145"/>
      <c r="D166" s="145"/>
      <c r="E166" s="145"/>
      <c r="F166" s="145"/>
      <c r="G166" s="145"/>
      <c r="H166" s="145"/>
      <c r="I166" s="145"/>
      <c r="J166" s="145"/>
      <c r="K166" s="145"/>
      <c r="L166" s="145"/>
    </row>
    <row r="167" spans="3:12">
      <c r="C167" s="145"/>
      <c r="D167" s="145"/>
      <c r="E167" s="145"/>
      <c r="F167" s="145"/>
      <c r="G167" s="145"/>
      <c r="H167" s="145"/>
      <c r="I167" s="145"/>
      <c r="J167" s="145"/>
      <c r="K167" s="145"/>
      <c r="L167" s="145"/>
    </row>
    <row r="168" spans="3:12">
      <c r="C168" s="145"/>
      <c r="D168" s="145"/>
      <c r="E168" s="145"/>
      <c r="F168" s="145"/>
      <c r="G168" s="145"/>
      <c r="H168" s="145"/>
      <c r="I168" s="145"/>
      <c r="J168" s="145"/>
      <c r="K168" s="145"/>
      <c r="L168" s="145"/>
    </row>
    <row r="169" spans="3:12">
      <c r="C169" s="145"/>
      <c r="D169" s="145"/>
      <c r="E169" s="145"/>
      <c r="F169" s="145"/>
      <c r="G169" s="145"/>
      <c r="H169" s="145"/>
      <c r="I169" s="145"/>
      <c r="J169" s="145"/>
      <c r="K169" s="145"/>
      <c r="L169" s="145"/>
    </row>
    <row r="170" spans="3:12">
      <c r="C170" s="145"/>
      <c r="D170" s="145"/>
      <c r="E170" s="145"/>
      <c r="F170" s="145"/>
      <c r="G170" s="145"/>
      <c r="H170" s="145"/>
      <c r="I170" s="145"/>
      <c r="J170" s="145"/>
      <c r="K170" s="145"/>
      <c r="L170" s="145"/>
    </row>
    <row r="171" spans="3:12">
      <c r="C171" s="145"/>
      <c r="D171" s="145"/>
      <c r="E171" s="145"/>
      <c r="F171" s="145"/>
      <c r="G171" s="145"/>
      <c r="H171" s="145"/>
      <c r="I171" s="145"/>
      <c r="J171" s="145"/>
      <c r="K171" s="145"/>
      <c r="L171" s="145"/>
    </row>
    <row r="172" spans="3:12">
      <c r="C172" s="145"/>
      <c r="D172" s="145"/>
      <c r="E172" s="145"/>
      <c r="F172" s="145"/>
      <c r="G172" s="145"/>
      <c r="H172" s="145"/>
      <c r="I172" s="145"/>
      <c r="J172" s="145"/>
      <c r="K172" s="145"/>
      <c r="L172" s="145"/>
    </row>
    <row r="173" spans="3:12">
      <c r="C173" s="145"/>
      <c r="D173" s="145"/>
      <c r="E173" s="145"/>
      <c r="F173" s="145"/>
      <c r="G173" s="145"/>
      <c r="H173" s="145"/>
      <c r="I173" s="145"/>
      <c r="J173" s="145"/>
      <c r="K173" s="145"/>
      <c r="L173" s="145"/>
    </row>
    <row r="174" spans="3:12">
      <c r="C174" s="145"/>
      <c r="D174" s="145"/>
      <c r="E174" s="145"/>
      <c r="F174" s="145"/>
      <c r="G174" s="145"/>
      <c r="H174" s="145"/>
      <c r="I174" s="145"/>
      <c r="J174" s="145"/>
      <c r="K174" s="145"/>
      <c r="L174" s="145"/>
    </row>
    <row r="175" spans="3:12">
      <c r="C175" s="145"/>
      <c r="D175" s="145"/>
      <c r="E175" s="145"/>
      <c r="F175" s="145"/>
      <c r="G175" s="145"/>
      <c r="H175" s="145"/>
      <c r="I175" s="145"/>
      <c r="J175" s="145"/>
      <c r="K175" s="145"/>
      <c r="L175" s="145"/>
    </row>
    <row r="176" spans="3:12">
      <c r="C176" s="145"/>
      <c r="D176" s="145"/>
      <c r="E176" s="145"/>
      <c r="F176" s="145"/>
      <c r="G176" s="145"/>
      <c r="H176" s="145"/>
      <c r="I176" s="145"/>
      <c r="J176" s="145"/>
      <c r="K176" s="145"/>
      <c r="L176" s="145"/>
    </row>
    <row r="177" spans="3:12">
      <c r="C177" s="145"/>
      <c r="D177" s="145"/>
      <c r="E177" s="145"/>
      <c r="F177" s="145"/>
      <c r="G177" s="145"/>
      <c r="H177" s="145"/>
      <c r="I177" s="145"/>
      <c r="J177" s="145"/>
      <c r="K177" s="145"/>
      <c r="L177" s="145"/>
    </row>
    <row r="178" spans="3:12">
      <c r="C178" s="145"/>
      <c r="D178" s="145"/>
      <c r="E178" s="145"/>
      <c r="F178" s="145"/>
      <c r="G178" s="145"/>
      <c r="H178" s="145"/>
      <c r="I178" s="145"/>
      <c r="J178" s="145"/>
      <c r="K178" s="145"/>
      <c r="L178" s="145"/>
    </row>
    <row r="179" spans="3:12">
      <c r="C179" s="145"/>
      <c r="D179" s="145"/>
      <c r="E179" s="145"/>
      <c r="F179" s="145"/>
      <c r="G179" s="145"/>
      <c r="H179" s="145"/>
      <c r="I179" s="145"/>
      <c r="J179" s="145"/>
      <c r="K179" s="145"/>
      <c r="L179" s="145"/>
    </row>
    <row r="180" spans="3:12">
      <c r="C180" s="145"/>
      <c r="D180" s="145"/>
      <c r="E180" s="145"/>
      <c r="F180" s="145"/>
      <c r="G180" s="145"/>
      <c r="H180" s="145"/>
      <c r="I180" s="145"/>
      <c r="J180" s="145"/>
      <c r="K180" s="145"/>
      <c r="L180" s="145"/>
    </row>
    <row r="181" spans="3:12">
      <c r="C181" s="145"/>
      <c r="D181" s="145"/>
      <c r="E181" s="145"/>
      <c r="F181" s="145"/>
      <c r="G181" s="145"/>
      <c r="H181" s="145"/>
      <c r="I181" s="145"/>
      <c r="J181" s="145"/>
      <c r="K181" s="145"/>
      <c r="L181" s="145"/>
    </row>
    <row r="182" spans="3:12">
      <c r="C182" s="145"/>
      <c r="D182" s="145"/>
      <c r="E182" s="145"/>
      <c r="F182" s="145"/>
      <c r="G182" s="145"/>
      <c r="H182" s="145"/>
      <c r="I182" s="145"/>
      <c r="J182" s="145"/>
      <c r="K182" s="145"/>
      <c r="L182" s="145"/>
    </row>
    <row r="183" spans="3:12">
      <c r="C183" s="145"/>
      <c r="D183" s="145"/>
      <c r="E183" s="145"/>
      <c r="F183" s="145"/>
      <c r="G183" s="145"/>
      <c r="H183" s="145"/>
      <c r="I183" s="145"/>
      <c r="J183" s="145"/>
      <c r="K183" s="145"/>
      <c r="L183" s="145"/>
    </row>
    <row r="184" spans="3:12">
      <c r="C184" s="145"/>
      <c r="D184" s="145"/>
      <c r="E184" s="145"/>
      <c r="F184" s="145"/>
      <c r="G184" s="145"/>
      <c r="H184" s="145"/>
      <c r="I184" s="145"/>
      <c r="J184" s="145"/>
      <c r="K184" s="145"/>
      <c r="L184" s="145"/>
    </row>
    <row r="185" spans="3:12">
      <c r="C185" s="145"/>
      <c r="D185" s="145"/>
      <c r="E185" s="145"/>
      <c r="F185" s="145"/>
      <c r="G185" s="145"/>
      <c r="H185" s="145"/>
      <c r="I185" s="145"/>
      <c r="J185" s="145"/>
      <c r="K185" s="145"/>
      <c r="L185" s="145"/>
    </row>
    <row r="186" spans="3:12">
      <c r="C186" s="145"/>
      <c r="D186" s="145"/>
      <c r="E186" s="145"/>
      <c r="F186" s="145"/>
      <c r="G186" s="145"/>
      <c r="H186" s="145"/>
      <c r="I186" s="145"/>
      <c r="J186" s="145"/>
      <c r="K186" s="145"/>
      <c r="L186" s="145"/>
    </row>
    <row r="187" spans="3:12">
      <c r="C187" s="145"/>
      <c r="D187" s="145"/>
      <c r="E187" s="145"/>
      <c r="F187" s="145"/>
      <c r="G187" s="145"/>
      <c r="H187" s="145"/>
      <c r="I187" s="145"/>
      <c r="J187" s="145"/>
      <c r="K187" s="145"/>
      <c r="L187" s="145"/>
    </row>
    <row r="188" spans="3:12">
      <c r="C188" s="145"/>
      <c r="D188" s="145"/>
      <c r="E188" s="145"/>
      <c r="F188" s="145"/>
      <c r="G188" s="145"/>
      <c r="H188" s="145"/>
      <c r="I188" s="145"/>
      <c r="J188" s="145"/>
      <c r="K188" s="145"/>
      <c r="L188" s="145"/>
    </row>
    <row r="189" spans="3:12">
      <c r="C189" s="145"/>
      <c r="D189" s="145"/>
      <c r="E189" s="145"/>
      <c r="F189" s="145"/>
      <c r="G189" s="145"/>
      <c r="H189" s="145"/>
      <c r="I189" s="145"/>
      <c r="J189" s="145"/>
      <c r="K189" s="145"/>
      <c r="L189" s="145"/>
    </row>
    <row r="190" spans="3:12">
      <c r="C190" s="145"/>
      <c r="D190" s="145"/>
      <c r="E190" s="145"/>
      <c r="F190" s="145"/>
      <c r="G190" s="145"/>
      <c r="H190" s="145"/>
      <c r="I190" s="145"/>
      <c r="J190" s="145"/>
      <c r="K190" s="145"/>
      <c r="L190" s="145"/>
    </row>
    <row r="191" spans="3:12">
      <c r="C191" s="145"/>
      <c r="D191" s="145"/>
      <c r="E191" s="145"/>
      <c r="F191" s="145"/>
      <c r="G191" s="145"/>
      <c r="H191" s="145"/>
      <c r="I191" s="145"/>
      <c r="J191" s="145"/>
      <c r="K191" s="145"/>
      <c r="L191" s="145"/>
    </row>
    <row r="192" spans="3:12">
      <c r="C192" s="145"/>
      <c r="D192" s="145"/>
      <c r="E192" s="145"/>
      <c r="F192" s="145"/>
      <c r="G192" s="145"/>
      <c r="H192" s="145"/>
      <c r="I192" s="145"/>
      <c r="J192" s="145"/>
      <c r="K192" s="145"/>
      <c r="L192" s="145"/>
    </row>
    <row r="193" spans="3:12">
      <c r="C193" s="145"/>
      <c r="D193" s="145"/>
      <c r="E193" s="145"/>
      <c r="F193" s="145"/>
      <c r="G193" s="145"/>
      <c r="H193" s="145"/>
      <c r="I193" s="145"/>
      <c r="J193" s="145"/>
      <c r="K193" s="145"/>
      <c r="L193" s="145"/>
    </row>
    <row r="194" spans="3:12">
      <c r="C194" s="145"/>
      <c r="D194" s="145"/>
      <c r="E194" s="145"/>
      <c r="F194" s="145"/>
      <c r="G194" s="145"/>
      <c r="H194" s="145"/>
      <c r="I194" s="145"/>
      <c r="J194" s="145"/>
      <c r="K194" s="145"/>
      <c r="L194" s="145"/>
    </row>
    <row r="195" spans="3:12">
      <c r="C195" s="145"/>
      <c r="D195" s="145"/>
      <c r="E195" s="145"/>
      <c r="F195" s="145"/>
      <c r="G195" s="145"/>
      <c r="H195" s="145"/>
      <c r="I195" s="145"/>
      <c r="J195" s="145"/>
      <c r="K195" s="145"/>
      <c r="L195" s="145"/>
    </row>
    <row r="196" spans="3:12">
      <c r="C196" s="145"/>
      <c r="D196" s="145"/>
      <c r="E196" s="145"/>
      <c r="F196" s="145"/>
      <c r="G196" s="145"/>
      <c r="H196" s="145"/>
      <c r="I196" s="145"/>
      <c r="J196" s="145"/>
      <c r="K196" s="145"/>
      <c r="L196" s="145"/>
    </row>
    <row r="197" spans="3:12">
      <c r="C197" s="145"/>
      <c r="D197" s="145"/>
      <c r="E197" s="145"/>
      <c r="F197" s="145"/>
      <c r="G197" s="145"/>
      <c r="H197" s="145"/>
      <c r="I197" s="145"/>
      <c r="J197" s="145"/>
      <c r="K197" s="145"/>
      <c r="L197" s="145"/>
    </row>
    <row r="198" spans="3:12">
      <c r="C198" s="145"/>
      <c r="D198" s="145"/>
      <c r="E198" s="145"/>
      <c r="F198" s="145"/>
      <c r="G198" s="145"/>
      <c r="H198" s="145"/>
      <c r="I198" s="145"/>
      <c r="J198" s="145"/>
      <c r="K198" s="145"/>
      <c r="L198" s="145"/>
    </row>
    <row r="199" spans="3:12">
      <c r="C199" s="145"/>
      <c r="D199" s="145"/>
      <c r="E199" s="145"/>
      <c r="F199" s="145"/>
      <c r="G199" s="145"/>
      <c r="H199" s="145"/>
      <c r="I199" s="145"/>
      <c r="J199" s="145"/>
      <c r="K199" s="145"/>
      <c r="L199" s="145"/>
    </row>
    <row r="200" spans="3:12">
      <c r="C200" s="145"/>
      <c r="D200" s="145"/>
      <c r="E200" s="145"/>
      <c r="F200" s="145"/>
      <c r="G200" s="145"/>
      <c r="H200" s="145"/>
      <c r="I200" s="145"/>
      <c r="J200" s="145"/>
      <c r="K200" s="145"/>
      <c r="L200" s="145"/>
    </row>
    <row r="201" spans="3:12">
      <c r="C201" s="145"/>
      <c r="D201" s="145"/>
      <c r="E201" s="145"/>
      <c r="F201" s="145"/>
      <c r="G201" s="145"/>
      <c r="H201" s="145"/>
      <c r="I201" s="145"/>
      <c r="J201" s="145"/>
      <c r="K201" s="145"/>
      <c r="L201" s="145"/>
    </row>
    <row r="202" spans="3:12">
      <c r="C202" s="145"/>
      <c r="D202" s="145"/>
      <c r="E202" s="145"/>
      <c r="F202" s="145"/>
      <c r="G202" s="145"/>
      <c r="H202" s="145"/>
      <c r="I202" s="145"/>
      <c r="J202" s="145"/>
      <c r="K202" s="145"/>
      <c r="L202" s="145"/>
    </row>
    <row r="203" spans="3:12">
      <c r="C203" s="145"/>
      <c r="D203" s="145"/>
      <c r="E203" s="145"/>
      <c r="F203" s="145"/>
      <c r="G203" s="145"/>
      <c r="H203" s="145"/>
      <c r="I203" s="145"/>
      <c r="J203" s="145"/>
      <c r="K203" s="145"/>
      <c r="L203" s="145"/>
    </row>
    <row r="204" spans="3:12">
      <c r="C204" s="145"/>
      <c r="D204" s="145"/>
      <c r="E204" s="145"/>
      <c r="F204" s="145"/>
      <c r="G204" s="145"/>
      <c r="H204" s="145"/>
      <c r="I204" s="145"/>
      <c r="J204" s="145"/>
      <c r="K204" s="145"/>
      <c r="L204" s="145"/>
    </row>
    <row r="205" spans="3:12">
      <c r="C205" s="145"/>
      <c r="D205" s="145"/>
      <c r="E205" s="145"/>
      <c r="F205" s="145"/>
      <c r="G205" s="145"/>
      <c r="H205" s="145"/>
      <c r="I205" s="145"/>
      <c r="J205" s="145"/>
      <c r="K205" s="145"/>
      <c r="L205" s="145"/>
    </row>
    <row r="206" spans="3:12">
      <c r="C206" s="145"/>
      <c r="D206" s="145"/>
      <c r="E206" s="145"/>
      <c r="F206" s="145"/>
      <c r="G206" s="145"/>
      <c r="H206" s="145"/>
      <c r="I206" s="145"/>
      <c r="J206" s="145"/>
      <c r="K206" s="145"/>
      <c r="L206" s="145"/>
    </row>
    <row r="207" spans="3:12">
      <c r="C207" s="145"/>
      <c r="D207" s="145"/>
      <c r="E207" s="145"/>
      <c r="F207" s="145"/>
      <c r="G207" s="145"/>
      <c r="H207" s="145"/>
      <c r="I207" s="145"/>
      <c r="J207" s="145"/>
      <c r="K207" s="145"/>
      <c r="L207" s="145"/>
    </row>
    <row r="208" spans="3:12">
      <c r="C208" s="145"/>
      <c r="D208" s="145"/>
      <c r="E208" s="145"/>
      <c r="F208" s="145"/>
      <c r="G208" s="145"/>
      <c r="H208" s="145"/>
      <c r="I208" s="145"/>
      <c r="J208" s="145"/>
      <c r="K208" s="145"/>
      <c r="L208" s="145"/>
    </row>
    <row r="209" spans="3:12">
      <c r="C209" s="145"/>
      <c r="D209" s="145"/>
      <c r="E209" s="145"/>
      <c r="F209" s="145"/>
      <c r="G209" s="145"/>
      <c r="H209" s="145"/>
      <c r="I209" s="145"/>
      <c r="J209" s="145"/>
      <c r="K209" s="145"/>
      <c r="L209" s="145"/>
    </row>
    <row r="210" spans="3:12">
      <c r="C210" s="145"/>
      <c r="D210" s="145"/>
      <c r="E210" s="145"/>
      <c r="F210" s="145"/>
      <c r="G210" s="145"/>
      <c r="H210" s="145"/>
      <c r="I210" s="145"/>
      <c r="J210" s="145"/>
      <c r="K210" s="145"/>
      <c r="L210" s="145"/>
    </row>
    <row r="211" spans="3:12">
      <c r="C211" s="145"/>
      <c r="D211" s="145"/>
      <c r="E211" s="145"/>
      <c r="F211" s="145"/>
      <c r="G211" s="145"/>
      <c r="H211" s="145"/>
      <c r="I211" s="145"/>
      <c r="J211" s="145"/>
      <c r="K211" s="145"/>
      <c r="L211" s="145"/>
    </row>
    <row r="212" spans="3:12">
      <c r="C212" s="145"/>
      <c r="D212" s="145"/>
      <c r="E212" s="145"/>
      <c r="F212" s="145"/>
      <c r="G212" s="145"/>
      <c r="H212" s="145"/>
      <c r="I212" s="145"/>
      <c r="J212" s="145"/>
      <c r="K212" s="145"/>
      <c r="L212" s="145"/>
    </row>
    <row r="213" spans="3:12">
      <c r="C213" s="145"/>
      <c r="D213" s="145"/>
      <c r="E213" s="145"/>
      <c r="F213" s="145"/>
      <c r="G213" s="145"/>
      <c r="H213" s="145"/>
      <c r="I213" s="145"/>
      <c r="J213" s="145"/>
      <c r="K213" s="145"/>
      <c r="L213" s="145"/>
    </row>
    <row r="214" spans="3:12">
      <c r="C214" s="145"/>
      <c r="D214" s="145"/>
      <c r="E214" s="145"/>
      <c r="F214" s="145"/>
      <c r="G214" s="145"/>
      <c r="H214" s="145"/>
      <c r="I214" s="145"/>
      <c r="J214" s="145"/>
      <c r="K214" s="145"/>
      <c r="L214" s="145"/>
    </row>
    <row r="215" spans="3:12">
      <c r="C215" s="145"/>
      <c r="D215" s="145"/>
      <c r="E215" s="145"/>
      <c r="F215" s="145"/>
      <c r="G215" s="145"/>
      <c r="H215" s="145"/>
      <c r="I215" s="145"/>
      <c r="J215" s="145"/>
      <c r="K215" s="145"/>
      <c r="L215" s="145"/>
    </row>
    <row r="216" spans="3:12">
      <c r="C216" s="145"/>
      <c r="D216" s="145"/>
      <c r="E216" s="145"/>
      <c r="F216" s="145"/>
      <c r="G216" s="145"/>
      <c r="H216" s="145"/>
      <c r="I216" s="145"/>
      <c r="J216" s="145"/>
      <c r="K216" s="145"/>
      <c r="L216" s="145"/>
    </row>
    <row r="217" spans="3:12">
      <c r="C217" s="145"/>
      <c r="D217" s="145"/>
      <c r="E217" s="145"/>
      <c r="F217" s="145"/>
      <c r="G217" s="145"/>
      <c r="H217" s="145"/>
      <c r="I217" s="145"/>
      <c r="J217" s="145"/>
      <c r="K217" s="145"/>
      <c r="L217" s="145"/>
    </row>
    <row r="218" spans="3:12">
      <c r="C218" s="145"/>
      <c r="D218" s="145"/>
      <c r="E218" s="145"/>
      <c r="F218" s="145"/>
      <c r="G218" s="145"/>
      <c r="H218" s="145"/>
      <c r="I218" s="145"/>
      <c r="J218" s="145"/>
      <c r="K218" s="145"/>
      <c r="L218" s="145"/>
    </row>
    <row r="219" spans="3:12">
      <c r="C219" s="145"/>
      <c r="D219" s="145"/>
      <c r="E219" s="145"/>
      <c r="F219" s="145"/>
      <c r="G219" s="145"/>
      <c r="H219" s="145"/>
      <c r="I219" s="145"/>
      <c r="J219" s="145"/>
      <c r="K219" s="145"/>
      <c r="L219" s="145"/>
    </row>
    <row r="220" spans="3:12">
      <c r="C220" s="145"/>
      <c r="D220" s="145"/>
      <c r="E220" s="145"/>
      <c r="F220" s="145"/>
      <c r="G220" s="145"/>
      <c r="H220" s="145"/>
      <c r="I220" s="145"/>
      <c r="J220" s="145"/>
      <c r="K220" s="145"/>
      <c r="L220" s="145"/>
    </row>
    <row r="221" spans="3:12">
      <c r="C221" s="145"/>
      <c r="D221" s="145"/>
      <c r="E221" s="145"/>
      <c r="F221" s="145"/>
      <c r="G221" s="145"/>
      <c r="H221" s="145"/>
      <c r="I221" s="145"/>
      <c r="J221" s="145"/>
      <c r="K221" s="145"/>
      <c r="L221" s="145"/>
    </row>
    <row r="222" spans="3:12">
      <c r="C222" s="145"/>
      <c r="D222" s="145"/>
      <c r="E222" s="145"/>
      <c r="F222" s="145"/>
      <c r="G222" s="145"/>
      <c r="H222" s="145"/>
      <c r="I222" s="145"/>
      <c r="J222" s="145"/>
      <c r="K222" s="145"/>
      <c r="L222" s="145"/>
    </row>
    <row r="223" spans="3:12">
      <c r="C223" s="145"/>
      <c r="D223" s="145"/>
      <c r="E223" s="145"/>
      <c r="F223" s="145"/>
      <c r="G223" s="145"/>
      <c r="H223" s="145"/>
      <c r="I223" s="145"/>
      <c r="J223" s="145"/>
      <c r="K223" s="145"/>
      <c r="L223" s="145"/>
    </row>
    <row r="224" spans="3:12">
      <c r="C224" s="145"/>
      <c r="D224" s="145"/>
      <c r="E224" s="145"/>
      <c r="F224" s="145"/>
      <c r="G224" s="145"/>
      <c r="H224" s="145"/>
      <c r="I224" s="145"/>
      <c r="J224" s="145"/>
      <c r="K224" s="145"/>
      <c r="L224" s="145"/>
    </row>
    <row r="225" spans="3:12">
      <c r="C225" s="145"/>
      <c r="D225" s="145"/>
      <c r="E225" s="145"/>
      <c r="F225" s="145"/>
      <c r="G225" s="145"/>
      <c r="H225" s="145"/>
      <c r="I225" s="145"/>
      <c r="J225" s="145"/>
      <c r="K225" s="145"/>
      <c r="L225" s="145"/>
    </row>
    <row r="226" spans="3:12">
      <c r="C226" s="145"/>
      <c r="D226" s="145"/>
      <c r="E226" s="145"/>
      <c r="F226" s="145"/>
      <c r="G226" s="145"/>
      <c r="H226" s="145"/>
      <c r="I226" s="145"/>
      <c r="J226" s="145"/>
      <c r="K226" s="145"/>
      <c r="L226" s="145"/>
    </row>
    <row r="227" spans="3:12">
      <c r="C227" s="145"/>
      <c r="D227" s="145"/>
      <c r="E227" s="145"/>
      <c r="F227" s="145"/>
      <c r="G227" s="145"/>
      <c r="H227" s="145"/>
      <c r="I227" s="145"/>
      <c r="J227" s="145"/>
      <c r="K227" s="145"/>
      <c r="L227" s="145"/>
    </row>
    <row r="228" spans="3:12">
      <c r="C228" s="145"/>
      <c r="D228" s="145"/>
      <c r="E228" s="145"/>
      <c r="F228" s="145"/>
      <c r="G228" s="145"/>
      <c r="H228" s="145"/>
      <c r="I228" s="145"/>
      <c r="J228" s="145"/>
      <c r="K228" s="145"/>
      <c r="L228" s="145"/>
    </row>
    <row r="229" spans="3:12">
      <c r="C229" s="145"/>
      <c r="D229" s="145"/>
      <c r="E229" s="145"/>
      <c r="F229" s="145"/>
      <c r="G229" s="145"/>
      <c r="H229" s="145"/>
      <c r="I229" s="145"/>
      <c r="J229" s="145"/>
      <c r="K229" s="145"/>
      <c r="L229" s="145"/>
    </row>
    <row r="230" spans="3:12">
      <c r="C230" s="145"/>
      <c r="D230" s="145"/>
      <c r="E230" s="145"/>
      <c r="F230" s="145"/>
      <c r="G230" s="145"/>
      <c r="H230" s="145"/>
      <c r="I230" s="145"/>
      <c r="J230" s="145"/>
      <c r="K230" s="145"/>
      <c r="L230" s="145"/>
    </row>
    <row r="231" spans="3:12">
      <c r="C231" s="145"/>
      <c r="D231" s="145"/>
      <c r="E231" s="145"/>
      <c r="F231" s="145"/>
      <c r="G231" s="145"/>
      <c r="H231" s="145"/>
      <c r="I231" s="145"/>
      <c r="J231" s="145"/>
      <c r="K231" s="145"/>
      <c r="L231" s="145"/>
    </row>
    <row r="232" spans="3:12">
      <c r="C232" s="145"/>
      <c r="D232" s="145"/>
      <c r="E232" s="145"/>
      <c r="F232" s="145"/>
      <c r="G232" s="145"/>
      <c r="H232" s="145"/>
      <c r="I232" s="145"/>
      <c r="J232" s="145"/>
      <c r="K232" s="145"/>
      <c r="L232" s="145"/>
    </row>
    <row r="233" spans="3:12">
      <c r="C233" s="145"/>
      <c r="D233" s="145"/>
      <c r="E233" s="145"/>
      <c r="F233" s="145"/>
      <c r="G233" s="145"/>
      <c r="H233" s="145"/>
      <c r="I233" s="145"/>
      <c r="J233" s="145"/>
      <c r="K233" s="145"/>
      <c r="L233" s="145"/>
    </row>
    <row r="234" spans="3:12">
      <c r="C234" s="145"/>
      <c r="D234" s="145"/>
      <c r="E234" s="145"/>
      <c r="F234" s="145"/>
      <c r="G234" s="145"/>
      <c r="H234" s="145"/>
      <c r="I234" s="145"/>
      <c r="J234" s="145"/>
      <c r="K234" s="145"/>
      <c r="L234" s="145"/>
    </row>
    <row r="235" spans="3:12">
      <c r="C235" s="145"/>
      <c r="D235" s="145"/>
      <c r="E235" s="145"/>
      <c r="F235" s="145"/>
      <c r="G235" s="145"/>
      <c r="H235" s="145"/>
      <c r="I235" s="145"/>
      <c r="J235" s="145"/>
      <c r="K235" s="145"/>
      <c r="L235" s="145"/>
    </row>
    <row r="236" spans="3:12">
      <c r="C236" s="145"/>
      <c r="D236" s="145"/>
      <c r="E236" s="145"/>
      <c r="F236" s="145"/>
      <c r="G236" s="145"/>
      <c r="H236" s="145"/>
      <c r="I236" s="145"/>
      <c r="J236" s="145"/>
      <c r="K236" s="145"/>
      <c r="L236" s="145"/>
    </row>
    <row r="237" spans="3:12">
      <c r="C237" s="145"/>
      <c r="D237" s="145"/>
      <c r="E237" s="145"/>
      <c r="F237" s="145"/>
      <c r="G237" s="145"/>
      <c r="H237" s="145"/>
      <c r="I237" s="145"/>
      <c r="J237" s="145"/>
      <c r="K237" s="145"/>
      <c r="L237" s="145"/>
    </row>
    <row r="238" spans="3:12">
      <c r="C238" s="145"/>
      <c r="D238" s="145"/>
      <c r="E238" s="145"/>
      <c r="F238" s="145"/>
      <c r="G238" s="145"/>
      <c r="H238" s="145"/>
      <c r="I238" s="145"/>
      <c r="J238" s="145"/>
      <c r="K238" s="145"/>
      <c r="L238" s="145"/>
    </row>
    <row r="239" spans="3:12">
      <c r="C239" s="145"/>
      <c r="D239" s="145"/>
      <c r="E239" s="145"/>
      <c r="F239" s="145"/>
      <c r="G239" s="145"/>
      <c r="H239" s="145"/>
      <c r="I239" s="145"/>
      <c r="J239" s="145"/>
      <c r="K239" s="145"/>
      <c r="L239" s="145"/>
    </row>
    <row r="240" spans="3:12">
      <c r="C240" s="145"/>
      <c r="D240" s="145"/>
      <c r="E240" s="145"/>
      <c r="F240" s="145"/>
      <c r="G240" s="145"/>
      <c r="H240" s="145"/>
      <c r="I240" s="145"/>
      <c r="J240" s="145"/>
      <c r="K240" s="145"/>
      <c r="L240" s="145"/>
    </row>
    <row r="241" spans="3:12">
      <c r="C241" s="145"/>
      <c r="D241" s="145"/>
      <c r="E241" s="145"/>
      <c r="F241" s="145"/>
      <c r="G241" s="145"/>
      <c r="H241" s="145"/>
      <c r="I241" s="145"/>
      <c r="J241" s="145"/>
      <c r="K241" s="145"/>
      <c r="L241" s="145"/>
    </row>
    <row r="242" spans="3:12">
      <c r="C242" s="145"/>
      <c r="D242" s="145"/>
      <c r="E242" s="145"/>
      <c r="F242" s="145"/>
      <c r="G242" s="145"/>
      <c r="H242" s="145"/>
      <c r="I242" s="145"/>
      <c r="J242" s="145"/>
      <c r="K242" s="145"/>
      <c r="L242" s="145"/>
    </row>
    <row r="243" spans="3:12">
      <c r="C243" s="145"/>
      <c r="D243" s="145"/>
      <c r="E243" s="145"/>
      <c r="F243" s="145"/>
      <c r="G243" s="145"/>
      <c r="H243" s="145"/>
      <c r="I243" s="145"/>
      <c r="J243" s="145"/>
      <c r="K243" s="145"/>
      <c r="L243" s="145"/>
    </row>
  </sheetData>
  <customSheetViews>
    <customSheetView guid="{E1861F40-EBD5-44AE-868B-FDE0ED504D72}" scale="65" showPageBreaks="1" printArea="1" view="pageBreakPreview">
      <selection activeCell="D40" sqref="D40"/>
      <pageMargins left="0.25" right="0.25" top="0.75" bottom="0.25" header="0.4" footer="0.5"/>
      <printOptions horizontalCentered="1"/>
      <pageSetup scale="51" fitToHeight="3" orientation="landscape" r:id="rId1"/>
      <headerFooter alignWithMargins="0"/>
    </customSheetView>
  </customSheetViews>
  <mergeCells count="3">
    <mergeCell ref="A8:L8"/>
    <mergeCell ref="A9:L9"/>
    <mergeCell ref="N18:V24"/>
  </mergeCells>
  <printOptions horizontalCentered="1"/>
  <pageMargins left="0.7" right="0.7" top="0.75" bottom="0.75" header="0.3" footer="0.3"/>
  <pageSetup scale="44" fitToHeight="0"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6">
    <pageSetUpPr fitToPage="1"/>
  </sheetPr>
  <dimension ref="A1:T84"/>
  <sheetViews>
    <sheetView zoomScale="80" zoomScaleNormal="80" zoomScalePageLayoutView="60" workbookViewId="0">
      <selection activeCell="G3" sqref="G3"/>
    </sheetView>
  </sheetViews>
  <sheetFormatPr defaultColWidth="8.7265625" defaultRowHeight="15.6"/>
  <cols>
    <col min="1" max="1" width="4.26953125" style="672" bestFit="1" customWidth="1"/>
    <col min="2" max="2" width="1.54296875" style="671" customWidth="1"/>
    <col min="3" max="3" width="11.08984375" style="672" customWidth="1"/>
    <col min="4" max="4" width="1.7265625" style="671" customWidth="1"/>
    <col min="5" max="5" width="11.54296875" style="669" customWidth="1"/>
    <col min="6" max="6" width="5" style="671" customWidth="1"/>
    <col min="7" max="7" width="11.08984375" style="669" customWidth="1"/>
    <col min="8" max="8" width="1.7265625" style="671" customWidth="1"/>
    <col min="9" max="9" width="11.08984375" style="669" customWidth="1"/>
    <col min="10" max="10" width="1.7265625" style="671" customWidth="1"/>
    <col min="11" max="11" width="11.08984375" style="669" customWidth="1"/>
    <col min="12" max="12" width="1.7265625" style="671" customWidth="1"/>
    <col min="13" max="13" width="13.26953125" style="669" customWidth="1"/>
    <col min="14" max="14" width="8.7265625" style="671"/>
    <col min="15" max="15" width="11.54296875" style="671" bestFit="1" customWidth="1"/>
    <col min="16" max="16384" width="8.7265625" style="671"/>
  </cols>
  <sheetData>
    <row r="1" spans="1:20">
      <c r="K1" s="671" t="s">
        <v>981</v>
      </c>
      <c r="M1" s="671"/>
    </row>
    <row r="2" spans="1:20">
      <c r="K2" s="671" t="s">
        <v>144</v>
      </c>
      <c r="M2" s="671"/>
      <c r="P2" s="1056"/>
      <c r="Q2" s="1056"/>
      <c r="R2" s="1056"/>
      <c r="S2" s="1056"/>
      <c r="T2" s="1056"/>
    </row>
    <row r="3" spans="1:20">
      <c r="K3" s="671" t="str">
        <f>'Attachment 12 - TEC True-up'!M3</f>
        <v>For the 12 months ended 12/31/2023</v>
      </c>
      <c r="M3" s="671"/>
      <c r="P3" s="1056"/>
      <c r="Q3" s="1056"/>
      <c r="R3" s="1056"/>
      <c r="S3" s="1056"/>
      <c r="T3" s="1056"/>
    </row>
    <row r="4" spans="1:20">
      <c r="P4" s="1056"/>
      <c r="Q4" s="1056"/>
      <c r="R4" s="1056"/>
      <c r="S4" s="1056"/>
      <c r="T4" s="1056"/>
    </row>
    <row r="5" spans="1:20">
      <c r="C5" s="620" t="s">
        <v>627</v>
      </c>
      <c r="D5" s="600"/>
      <c r="E5" s="620" t="str">
        <f>"("&amp;CHAR(CODE(MID(C5,2,1))+1)&amp;")"</f>
        <v>(B)</v>
      </c>
      <c r="F5" s="1"/>
      <c r="G5" s="620" t="str">
        <f t="shared" ref="G5" si="0">"("&amp;CHAR(CODE(MID(E5,2,1))+1)&amp;")"</f>
        <v>(C)</v>
      </c>
      <c r="H5" s="1"/>
      <c r="I5" s="620" t="str">
        <f t="shared" ref="I5" si="1">"("&amp;CHAR(CODE(MID(G5,2,1))+1)&amp;")"</f>
        <v>(D)</v>
      </c>
      <c r="J5" s="1"/>
      <c r="K5" s="620" t="str">
        <f t="shared" ref="K5" si="2">"("&amp;CHAR(CODE(MID(I5,2,1))+1)&amp;")"</f>
        <v>(E)</v>
      </c>
      <c r="L5" s="1"/>
      <c r="M5" s="620" t="str">
        <f t="shared" ref="M5" si="3">"("&amp;CHAR(CODE(MID(K5,2,1))+1)&amp;")"</f>
        <v>(F)</v>
      </c>
      <c r="P5" s="1056"/>
      <c r="Q5" s="1056"/>
      <c r="R5" s="1056"/>
      <c r="S5" s="1056"/>
      <c r="T5" s="1056"/>
    </row>
    <row r="6" spans="1:20" s="673" customFormat="1" ht="31.2">
      <c r="A6" s="685" t="s">
        <v>5</v>
      </c>
      <c r="C6" s="685" t="s">
        <v>685</v>
      </c>
      <c r="E6" s="686" t="s">
        <v>688</v>
      </c>
      <c r="G6" s="686" t="s">
        <v>218</v>
      </c>
      <c r="I6" s="686" t="s">
        <v>689</v>
      </c>
      <c r="K6" s="686" t="s">
        <v>346</v>
      </c>
      <c r="M6" s="686" t="s">
        <v>690</v>
      </c>
    </row>
    <row r="7" spans="1:20">
      <c r="A7" s="672">
        <v>1</v>
      </c>
      <c r="C7" s="674">
        <f>DATE(E62,1,1)</f>
        <v>44927</v>
      </c>
      <c r="E7" s="680">
        <f>'Attachment 13a - TEC True-Up'!E7</f>
        <v>6.3100000000000003E-2</v>
      </c>
      <c r="G7" s="669">
        <f>E7/365*DAY(EOMONTH(C7,0))</f>
        <v>5.3591780821917812E-3</v>
      </c>
      <c r="I7" s="678">
        <f>1/12</f>
        <v>8.3333333333333329E-2</v>
      </c>
      <c r="K7" s="678">
        <f>G7*I7</f>
        <v>4.4659817351598173E-4</v>
      </c>
      <c r="M7" s="678">
        <v>0</v>
      </c>
    </row>
    <row r="8" spans="1:20">
      <c r="A8" s="672">
        <f>IF(ISBLANK(I8)=TRUE,"",MAX($A$7:A7)+1)</f>
        <v>2</v>
      </c>
      <c r="C8" s="674">
        <f>EOMONTH(C7,1)</f>
        <v>44985</v>
      </c>
      <c r="E8" s="669">
        <f>E7</f>
        <v>6.3100000000000003E-2</v>
      </c>
      <c r="G8" s="669">
        <f>E8/365*DAY(EOMONTH(C8,0))</f>
        <v>4.8405479452054796E-3</v>
      </c>
      <c r="I8" s="678">
        <f>I7+1/12</f>
        <v>0.16666666666666666</v>
      </c>
      <c r="K8" s="678">
        <f>G8*I8</f>
        <v>8.067579908675799E-4</v>
      </c>
      <c r="M8" s="678">
        <v>0</v>
      </c>
    </row>
    <row r="9" spans="1:20">
      <c r="A9" s="672">
        <f>IF(ISBLANK(I9)=TRUE,"",MAX($A$7:A8)+1)</f>
        <v>3</v>
      </c>
      <c r="C9" s="674">
        <f t="shared" ref="C9:C17" si="4">EOMONTH(C8,1)</f>
        <v>45016</v>
      </c>
      <c r="E9" s="669">
        <f>E8</f>
        <v>6.3100000000000003E-2</v>
      </c>
      <c r="G9" s="669">
        <f>E9/365*DAY(EOMONTH(C9,0))</f>
        <v>5.3591780821917812E-3</v>
      </c>
      <c r="I9" s="679">
        <f>I8+1/12</f>
        <v>0.25</v>
      </c>
      <c r="K9" s="678">
        <f t="shared" ref="K9:K52" si="5">G9*I9</f>
        <v>1.3397945205479453E-3</v>
      </c>
      <c r="M9" s="678">
        <f>M8+SUM(K7:K9)</f>
        <v>2.5931506849315071E-3</v>
      </c>
    </row>
    <row r="10" spans="1:20">
      <c r="A10" s="672">
        <f>IF(ISBLANK(I10)=TRUE,"",MAX($A$7:A9)+1)</f>
        <v>4</v>
      </c>
      <c r="C10" s="674">
        <f t="shared" si="4"/>
        <v>45046</v>
      </c>
      <c r="E10" s="680">
        <f>'Attachment 13a - TEC True-Up'!E10</f>
        <v>7.4999999999999997E-2</v>
      </c>
      <c r="G10" s="669">
        <f t="shared" ref="G10:G18" si="6">E10/365*DAY(EOMONTH(C10,0))</f>
        <v>6.1643835616438354E-3</v>
      </c>
      <c r="I10" s="678">
        <f>I9+1/12+M9</f>
        <v>0.3359264840182648</v>
      </c>
      <c r="K10" s="678">
        <f t="shared" si="5"/>
        <v>2.0707796960030022E-3</v>
      </c>
      <c r="M10" s="678">
        <v>0</v>
      </c>
      <c r="O10" s="675"/>
    </row>
    <row r="11" spans="1:20">
      <c r="A11" s="672">
        <f>IF(ISBLANK(I11)=TRUE,"",MAX($A$7:A10)+1)</f>
        <v>5</v>
      </c>
      <c r="C11" s="674">
        <f t="shared" si="4"/>
        <v>45077</v>
      </c>
      <c r="E11" s="669">
        <f>E10</f>
        <v>7.4999999999999997E-2</v>
      </c>
      <c r="G11" s="669">
        <f t="shared" si="6"/>
        <v>6.3698630136986298E-3</v>
      </c>
      <c r="I11" s="678">
        <f t="shared" ref="I11" si="7">I10+1/12</f>
        <v>0.41925981735159812</v>
      </c>
      <c r="K11" s="678">
        <f t="shared" si="5"/>
        <v>2.6706276036779879E-3</v>
      </c>
      <c r="M11" s="678">
        <v>0</v>
      </c>
    </row>
    <row r="12" spans="1:20">
      <c r="A12" s="672">
        <f>IF(ISBLANK(I12)=TRUE,"",MAX($A$7:A11)+1)</f>
        <v>6</v>
      </c>
      <c r="C12" s="674">
        <f t="shared" si="4"/>
        <v>45107</v>
      </c>
      <c r="E12" s="669">
        <f>E11</f>
        <v>7.4999999999999997E-2</v>
      </c>
      <c r="G12" s="669">
        <f t="shared" si="6"/>
        <v>6.1643835616438354E-3</v>
      </c>
      <c r="I12" s="679">
        <f t="shared" ref="I12:I15" si="8">I11+1/12</f>
        <v>0.50259315068493149</v>
      </c>
      <c r="K12" s="678">
        <f t="shared" si="5"/>
        <v>3.0981769562769749E-3</v>
      </c>
      <c r="M12" s="678">
        <f t="shared" ref="M12" si="9">M11+SUM(K10:K12)</f>
        <v>7.839584255957965E-3</v>
      </c>
    </row>
    <row r="13" spans="1:20">
      <c r="A13" s="672">
        <f>IF(ISBLANK(I13)=TRUE,"",MAX($A$7:A12)+1)</f>
        <v>7</v>
      </c>
      <c r="C13" s="674">
        <f t="shared" si="4"/>
        <v>45138</v>
      </c>
      <c r="E13" s="680">
        <f>'Attachment 13a - TEC True-Up'!E13</f>
        <v>8.0199999999999994E-2</v>
      </c>
      <c r="G13" s="669">
        <f t="shared" si="6"/>
        <v>6.8115068493150672E-3</v>
      </c>
      <c r="I13" s="678">
        <f t="shared" ref="I13" si="10">I12+1/12+M12</f>
        <v>0.59376606827422285</v>
      </c>
      <c r="K13" s="678">
        <f t="shared" si="5"/>
        <v>4.0444416409407468E-3</v>
      </c>
      <c r="M13" s="678">
        <v>0</v>
      </c>
    </row>
    <row r="14" spans="1:20">
      <c r="A14" s="672">
        <f>IF(ISBLANK(I14)=TRUE,"",MAX($A$7:A13)+1)</f>
        <v>8</v>
      </c>
      <c r="C14" s="674">
        <f t="shared" si="4"/>
        <v>45169</v>
      </c>
      <c r="E14" s="669">
        <f>E13</f>
        <v>8.0199999999999994E-2</v>
      </c>
      <c r="G14" s="669">
        <f t="shared" si="6"/>
        <v>6.8115068493150672E-3</v>
      </c>
      <c r="I14" s="678">
        <f>I13+1/12</f>
        <v>0.67709940160755622</v>
      </c>
      <c r="K14" s="678">
        <f t="shared" si="5"/>
        <v>4.6120672117170025E-3</v>
      </c>
      <c r="M14" s="678">
        <v>0</v>
      </c>
    </row>
    <row r="15" spans="1:20">
      <c r="A15" s="672">
        <f>IF(ISBLANK(I15)=TRUE,"",MAX($A$7:A14)+1)</f>
        <v>9</v>
      </c>
      <c r="C15" s="674">
        <f t="shared" si="4"/>
        <v>45199</v>
      </c>
      <c r="E15" s="669">
        <f>E14</f>
        <v>8.0199999999999994E-2</v>
      </c>
      <c r="G15" s="669">
        <f t="shared" si="6"/>
        <v>6.5917808219178075E-3</v>
      </c>
      <c r="I15" s="679">
        <f t="shared" si="8"/>
        <v>0.76043273494088959</v>
      </c>
      <c r="K15" s="678">
        <f t="shared" si="5"/>
        <v>5.0126059185418631E-3</v>
      </c>
      <c r="M15" s="678">
        <f>M14+SUM(K13:K15)</f>
        <v>1.3669114771199614E-2</v>
      </c>
    </row>
    <row r="16" spans="1:20">
      <c r="A16" s="672">
        <f>IF(ISBLANK(I16)=TRUE,"",MAX($A$7:A15)+1)</f>
        <v>10</v>
      </c>
      <c r="C16" s="674">
        <f t="shared" si="4"/>
        <v>45230</v>
      </c>
      <c r="E16" s="680">
        <f>'Attachment 13a - TEC True-Up'!E16</f>
        <v>8.3500000000000005E-2</v>
      </c>
      <c r="G16" s="669">
        <f>E16/365*DAY(EOMONTH(C16,0))</f>
        <v>7.0917808219178088E-3</v>
      </c>
      <c r="I16" s="678">
        <f t="shared" ref="I16" si="11">I15+1/12+M15</f>
        <v>0.85743518304542254</v>
      </c>
      <c r="K16" s="678">
        <f t="shared" si="5"/>
        <v>6.0807423871591139E-3</v>
      </c>
      <c r="M16" s="678">
        <v>0</v>
      </c>
    </row>
    <row r="17" spans="1:20">
      <c r="A17" s="672">
        <f>IF(ISBLANK(I17)=TRUE,"",MAX($A$7:A16)+1)</f>
        <v>11</v>
      </c>
      <c r="C17" s="674">
        <f t="shared" si="4"/>
        <v>45260</v>
      </c>
      <c r="E17" s="669">
        <f>E16</f>
        <v>8.3500000000000005E-2</v>
      </c>
      <c r="G17" s="669">
        <f t="shared" si="6"/>
        <v>6.8630136986301375E-3</v>
      </c>
      <c r="I17" s="678">
        <f>I16+1/12</f>
        <v>0.94076851637875591</v>
      </c>
      <c r="K17" s="678">
        <f t="shared" si="5"/>
        <v>6.4565072151473524E-3</v>
      </c>
      <c r="M17" s="678">
        <v>0</v>
      </c>
    </row>
    <row r="18" spans="1:20">
      <c r="A18" s="672">
        <f>IF(ISBLANK(I18)=TRUE,"",MAX($A$7:A17)+1)</f>
        <v>12</v>
      </c>
      <c r="C18" s="674">
        <f>EOMONTH(C17,1)</f>
        <v>45291</v>
      </c>
      <c r="E18" s="669">
        <f>E17</f>
        <v>8.3500000000000005E-2</v>
      </c>
      <c r="G18" s="669">
        <f t="shared" si="6"/>
        <v>7.0917808219178088E-3</v>
      </c>
      <c r="I18" s="679">
        <f>I17+1/12</f>
        <v>1.0241018497120893</v>
      </c>
      <c r="K18" s="678">
        <f t="shared" si="5"/>
        <v>7.262705857478749E-3</v>
      </c>
      <c r="M18" s="678">
        <f t="shared" ref="M18" si="12">M17+SUM(K16:K18)</f>
        <v>1.9799955459785214E-2</v>
      </c>
    </row>
    <row r="19" spans="1:20">
      <c r="A19" s="672" t="str">
        <f>IF(ISBLANK(I19)=TRUE,"",MAX($A$7:A18)+1)</f>
        <v/>
      </c>
      <c r="C19" s="674"/>
      <c r="I19" s="678"/>
      <c r="K19" s="678"/>
      <c r="M19" s="678"/>
    </row>
    <row r="20" spans="1:20">
      <c r="A20" s="672">
        <f>IF(ISBLANK(I20)=TRUE,"",MAX($A$7:A19)+1)</f>
        <v>13</v>
      </c>
      <c r="C20" s="674"/>
      <c r="G20" s="670" t="s">
        <v>691</v>
      </c>
      <c r="I20" s="678">
        <f>I18+M18</f>
        <v>1.0439018051718745</v>
      </c>
      <c r="K20" s="678"/>
      <c r="M20" s="678"/>
    </row>
    <row r="21" spans="1:20">
      <c r="A21" s="672" t="str">
        <f>IF(ISBLANK(I21)=TRUE,"",MAX($A$7:A20)+1)</f>
        <v/>
      </c>
      <c r="C21" s="674"/>
      <c r="I21" s="678"/>
      <c r="K21" s="678"/>
      <c r="M21" s="678"/>
    </row>
    <row r="22" spans="1:20">
      <c r="A22" s="672">
        <f>IF(ISBLANK(I22)=TRUE,"",MAX($A$7:A21)+1)</f>
        <v>14</v>
      </c>
      <c r="C22" s="674">
        <f>EOMONTH(C18,1)</f>
        <v>45322</v>
      </c>
      <c r="E22" s="680">
        <f>'Attachment 13a - TEC True-Up'!E22</f>
        <v>8.5000000000000006E-2</v>
      </c>
      <c r="G22" s="669">
        <f>E22/365*DAY(EOMONTH(C22,0))</f>
        <v>7.2191780821917817E-3</v>
      </c>
      <c r="I22" s="678">
        <f>I20</f>
        <v>1.0439018051718745</v>
      </c>
      <c r="K22" s="678">
        <f>G22*I22</f>
        <v>7.5361130318572318E-3</v>
      </c>
      <c r="M22" s="678">
        <v>0</v>
      </c>
    </row>
    <row r="23" spans="1:20">
      <c r="A23" s="672">
        <f>IF(ISBLANK(I23)=TRUE,"",MAX($A$7:A22)+1)</f>
        <v>15</v>
      </c>
      <c r="C23" s="674">
        <f>EOMONTH(C22,1)</f>
        <v>45351</v>
      </c>
      <c r="E23" s="669">
        <f>E22</f>
        <v>8.5000000000000006E-2</v>
      </c>
      <c r="G23" s="669">
        <f t="shared" ref="G23:G26" si="13">E23/365*DAY(EOMONTH(C23,0))</f>
        <v>6.7534246575342476E-3</v>
      </c>
      <c r="I23" s="678">
        <f>I22</f>
        <v>1.0439018051718745</v>
      </c>
      <c r="K23" s="678">
        <f t="shared" si="5"/>
        <v>7.049912191092249E-3</v>
      </c>
      <c r="M23" s="678">
        <v>0</v>
      </c>
    </row>
    <row r="24" spans="1:20">
      <c r="A24" s="672">
        <f>IF(ISBLANK(I24)=TRUE,"",MAX($A$7:A23)+1)</f>
        <v>16</v>
      </c>
      <c r="C24" s="674">
        <f t="shared" ref="C24:C33" si="14">EOMONTH(C23,1)</f>
        <v>45382</v>
      </c>
      <c r="E24" s="669">
        <f>E23</f>
        <v>8.5000000000000006E-2</v>
      </c>
      <c r="G24" s="669">
        <f t="shared" si="13"/>
        <v>7.2191780821917817E-3</v>
      </c>
      <c r="I24" s="679">
        <f>I23</f>
        <v>1.0439018051718745</v>
      </c>
      <c r="K24" s="678">
        <f t="shared" si="5"/>
        <v>7.5361130318572318E-3</v>
      </c>
      <c r="M24" s="678">
        <f>M23+SUM(K22:K24)</f>
        <v>2.2122138254806713E-2</v>
      </c>
    </row>
    <row r="25" spans="1:20">
      <c r="A25" s="672">
        <f>IF(ISBLANK(I25)=TRUE,"",MAX($A$7:A24)+1)</f>
        <v>17</v>
      </c>
      <c r="C25" s="674">
        <f t="shared" si="14"/>
        <v>45412</v>
      </c>
      <c r="E25" s="680">
        <f>'Attachment 13a - TEC True-Up'!E25</f>
        <v>8.5000000000000006E-2</v>
      </c>
      <c r="G25" s="669">
        <f t="shared" si="13"/>
        <v>6.9863013698630147E-3</v>
      </c>
      <c r="I25" s="678">
        <f>I24+M24</f>
        <v>1.0660239434266812</v>
      </c>
      <c r="K25" s="678">
        <f t="shared" si="5"/>
        <v>7.4475645362685958E-3</v>
      </c>
      <c r="M25" s="678">
        <v>0</v>
      </c>
    </row>
    <row r="26" spans="1:20">
      <c r="A26" s="672">
        <f>IF(ISBLANK(I26)=TRUE,"",MAX($A$7:A25)+1)</f>
        <v>18</v>
      </c>
      <c r="C26" s="674">
        <f t="shared" si="14"/>
        <v>45443</v>
      </c>
      <c r="E26" s="669">
        <f>E25</f>
        <v>8.5000000000000006E-2</v>
      </c>
      <c r="G26" s="669">
        <f t="shared" si="13"/>
        <v>7.2191780821917817E-3</v>
      </c>
      <c r="I26" s="678">
        <f>I25</f>
        <v>1.0660239434266812</v>
      </c>
      <c r="K26" s="678">
        <f t="shared" si="5"/>
        <v>7.6958166874775483E-3</v>
      </c>
      <c r="M26" s="678">
        <v>0</v>
      </c>
    </row>
    <row r="27" spans="1:20">
      <c r="A27" s="672">
        <f>IF(ISBLANK(I27)=TRUE,"",MAX($A$7:A26)+1)</f>
        <v>19</v>
      </c>
      <c r="C27" s="674">
        <f t="shared" si="14"/>
        <v>45473</v>
      </c>
      <c r="E27" s="669">
        <f>E26</f>
        <v>8.5000000000000006E-2</v>
      </c>
      <c r="F27" s="1057"/>
      <c r="G27" s="669">
        <f t="shared" ref="G27:G33" si="15">E27/365*DAY(EOMONTH(C27,0))</f>
        <v>6.9863013698630147E-3</v>
      </c>
      <c r="I27" s="679">
        <f t="shared" ref="I27" si="16">I26</f>
        <v>1.0660239434266812</v>
      </c>
      <c r="K27" s="678">
        <f t="shared" si="5"/>
        <v>7.4475645362685958E-3</v>
      </c>
      <c r="M27" s="678">
        <f t="shared" ref="M27" si="17">M26+SUM(K25:K27)</f>
        <v>2.259094576001474E-2</v>
      </c>
    </row>
    <row r="28" spans="1:20">
      <c r="A28" s="672">
        <f>IF(ISBLANK(I28)=TRUE,"",MAX($A$7:A27)+1)</f>
        <v>20</v>
      </c>
      <c r="C28" s="674">
        <f t="shared" si="14"/>
        <v>45504</v>
      </c>
      <c r="E28" s="680">
        <f>'Attachment 13a - TEC True-Up'!E28</f>
        <v>8.5000000000000006E-2</v>
      </c>
      <c r="F28" s="1057"/>
      <c r="G28" s="669">
        <f t="shared" si="15"/>
        <v>7.2191780821917817E-3</v>
      </c>
      <c r="I28" s="678">
        <f>I27+M27</f>
        <v>1.0886148891866958</v>
      </c>
      <c r="K28" s="678">
        <f t="shared" si="5"/>
        <v>7.8589047479642304E-3</v>
      </c>
      <c r="M28" s="678">
        <v>0</v>
      </c>
    </row>
    <row r="29" spans="1:20">
      <c r="A29" s="672">
        <f>IF(ISBLANK(I29)=TRUE,"",MAX($A$7:A28)+1)</f>
        <v>21</v>
      </c>
      <c r="C29" s="674">
        <f t="shared" si="14"/>
        <v>45535</v>
      </c>
      <c r="E29" s="669">
        <f>E28</f>
        <v>8.5000000000000006E-2</v>
      </c>
      <c r="F29" s="1057"/>
      <c r="G29" s="669">
        <f t="shared" si="15"/>
        <v>7.2191780821917817E-3</v>
      </c>
      <c r="I29" s="678">
        <f>I28</f>
        <v>1.0886148891866958</v>
      </c>
      <c r="K29" s="678">
        <f>G29*I29</f>
        <v>7.8589047479642304E-3</v>
      </c>
      <c r="M29" s="678">
        <v>0</v>
      </c>
    </row>
    <row r="30" spans="1:20">
      <c r="A30" s="672">
        <f>IF(ISBLANK(I30)=TRUE,"",MAX($A$7:A29)+1)</f>
        <v>22</v>
      </c>
      <c r="C30" s="674">
        <f t="shared" si="14"/>
        <v>45565</v>
      </c>
      <c r="E30" s="669">
        <f>E29</f>
        <v>8.5000000000000006E-2</v>
      </c>
      <c r="F30" s="1057"/>
      <c r="G30" s="678">
        <f t="shared" si="15"/>
        <v>6.9863013698630147E-3</v>
      </c>
      <c r="I30" s="679">
        <f t="shared" ref="I30" si="18">I29</f>
        <v>1.0886148891866958</v>
      </c>
      <c r="K30" s="678">
        <f>G30*I30</f>
        <v>7.6053916915782864E-3</v>
      </c>
      <c r="M30" s="678">
        <f>M29+SUM(K28:K30)</f>
        <v>2.3323201187506748E-2</v>
      </c>
      <c r="O30" s="817"/>
    </row>
    <row r="31" spans="1:20">
      <c r="A31" s="672">
        <f>IF(ISBLANK(I31)=TRUE,"",MAX($A$7:A30)+1)</f>
        <v>23</v>
      </c>
      <c r="C31" s="674">
        <f>EOMONTH(C30,1)</f>
        <v>45596</v>
      </c>
      <c r="E31" s="680">
        <f>'Attachment 13a - TEC True-Up'!E31</f>
        <v>8.5000000000000006E-2</v>
      </c>
      <c r="F31" s="1057"/>
      <c r="G31" s="678">
        <f t="shared" si="15"/>
        <v>7.2191780821917817E-3</v>
      </c>
      <c r="I31" s="678">
        <f>I30+M30</f>
        <v>1.1119380903742027</v>
      </c>
      <c r="K31" s="678">
        <f>G31*I31</f>
        <v>8.0272790907836289E-3</v>
      </c>
      <c r="M31" s="678">
        <v>0</v>
      </c>
      <c r="O31" s="827"/>
      <c r="P31" s="827"/>
      <c r="Q31" s="827"/>
      <c r="R31" s="827"/>
      <c r="S31" s="827"/>
      <c r="T31" s="827"/>
    </row>
    <row r="32" spans="1:20">
      <c r="A32" s="672">
        <f>IF(ISBLANK(I32)=TRUE,"",MAX($A$7:A31)+1)</f>
        <v>24</v>
      </c>
      <c r="C32" s="674">
        <f t="shared" si="14"/>
        <v>45626</v>
      </c>
      <c r="E32" s="678">
        <f>E31</f>
        <v>8.5000000000000006E-2</v>
      </c>
      <c r="F32" s="1057"/>
      <c r="G32" s="678">
        <f t="shared" si="15"/>
        <v>6.9863013698630147E-3</v>
      </c>
      <c r="I32" s="678">
        <f t="shared" ref="I32:I33" si="19">I31</f>
        <v>1.1119380903742027</v>
      </c>
      <c r="K32" s="678">
        <f t="shared" si="5"/>
        <v>7.768334603984157E-3</v>
      </c>
      <c r="M32" s="678">
        <v>0</v>
      </c>
    </row>
    <row r="33" spans="1:18">
      <c r="A33" s="672">
        <f>IF(ISBLANK(I33)=TRUE,"",MAX($A$7:A32)+1)</f>
        <v>25</v>
      </c>
      <c r="C33" s="674">
        <f t="shared" si="14"/>
        <v>45657</v>
      </c>
      <c r="E33" s="678">
        <f>E32</f>
        <v>8.5000000000000006E-2</v>
      </c>
      <c r="F33" s="1057"/>
      <c r="G33" s="678">
        <f t="shared" si="15"/>
        <v>7.2191780821917817E-3</v>
      </c>
      <c r="I33" s="679">
        <f t="shared" si="19"/>
        <v>1.1119380903742027</v>
      </c>
      <c r="K33" s="678">
        <f t="shared" si="5"/>
        <v>8.0272790907836289E-3</v>
      </c>
      <c r="M33" s="678">
        <f t="shared" ref="M33" si="20">M32+SUM(K31:K33)</f>
        <v>2.3822892785551414E-2</v>
      </c>
    </row>
    <row r="34" spans="1:18">
      <c r="A34" s="672" t="str">
        <f>IF(ISBLANK(I34)=TRUE,"",MAX($A$7:A33)+1)</f>
        <v/>
      </c>
      <c r="C34" s="674"/>
      <c r="I34" s="678"/>
      <c r="J34" s="678"/>
      <c r="K34" s="678"/>
      <c r="M34" s="678"/>
    </row>
    <row r="35" spans="1:18">
      <c r="A35" s="672">
        <f>IF(ISBLANK(I35)=TRUE,"",MAX($A$7:A34)+1)</f>
        <v>26</v>
      </c>
      <c r="C35" s="674"/>
      <c r="G35" s="670" t="s">
        <v>692</v>
      </c>
      <c r="I35" s="678">
        <f>I33+M33</f>
        <v>1.1357609831597542</v>
      </c>
      <c r="K35" s="678"/>
      <c r="M35" s="678"/>
    </row>
    <row r="36" spans="1:18">
      <c r="A36" s="672" t="str">
        <f>IF(ISBLANK(I36)=TRUE,"",MAX($A$7:A35)+1)</f>
        <v/>
      </c>
      <c r="C36" s="674"/>
      <c r="G36" s="670"/>
      <c r="I36" s="678"/>
      <c r="K36" s="678"/>
      <c r="M36" s="678"/>
      <c r="N36" s="676"/>
    </row>
    <row r="37" spans="1:18">
      <c r="A37" s="672">
        <f>IF(ISBLANK(I37)=TRUE,"",MAX($A$7:A36)+1)</f>
        <v>27</v>
      </c>
      <c r="C37" s="674"/>
      <c r="G37" s="670" t="s">
        <v>693</v>
      </c>
      <c r="I37" s="678">
        <f>I35/12</f>
        <v>9.464674859664618E-2</v>
      </c>
      <c r="K37" s="678"/>
      <c r="M37" s="678"/>
    </row>
    <row r="38" spans="1:18">
      <c r="A38" s="672">
        <f>IF(ISBLANK(I38)=TRUE,"",MAX($A$7:A37)+1)</f>
        <v>28</v>
      </c>
      <c r="C38" s="674"/>
      <c r="E38" s="678"/>
      <c r="G38" s="840" t="s">
        <v>694</v>
      </c>
      <c r="H38" s="841" t="s">
        <v>686</v>
      </c>
      <c r="I38" s="680">
        <v>3.670143366765374E-3</v>
      </c>
      <c r="K38" s="678" t="s">
        <v>1030</v>
      </c>
      <c r="M38" s="678"/>
      <c r="N38" s="817"/>
      <c r="O38" s="948"/>
    </row>
    <row r="39" spans="1:18">
      <c r="A39" s="672">
        <f>IF(ISBLANK(I39)=TRUE,"",MAX($A$7:A38)+1)</f>
        <v>29</v>
      </c>
      <c r="C39" s="674"/>
      <c r="G39" s="670" t="s">
        <v>695</v>
      </c>
      <c r="I39" s="678">
        <f>SUM(I37:I38)</f>
        <v>9.8316891963411548E-2</v>
      </c>
      <c r="K39" s="678"/>
      <c r="M39" s="678"/>
      <c r="O39" s="827"/>
      <c r="P39" s="827"/>
      <c r="Q39" s="827"/>
      <c r="R39" s="827"/>
    </row>
    <row r="40" spans="1:18">
      <c r="A40" s="672" t="str">
        <f>IF(ISBLANK(I40)=TRUE,"",MAX($A$7:A39)+1)</f>
        <v/>
      </c>
      <c r="C40" s="674"/>
      <c r="I40" s="678"/>
      <c r="K40" s="678"/>
      <c r="M40" s="678"/>
    </row>
    <row r="41" spans="1:18">
      <c r="A41" s="672">
        <f>IF(ISBLANK(I41)=TRUE,"",MAX($A$7:A40)+1)</f>
        <v>30</v>
      </c>
      <c r="C41" s="674">
        <f>EOMONTH(C33,1)</f>
        <v>45688</v>
      </c>
      <c r="E41" s="678">
        <f>$E$31</f>
        <v>8.5000000000000006E-2</v>
      </c>
      <c r="G41" s="669">
        <f>E41/365*DAY(EOMONTH(C41,0))</f>
        <v>7.2191780821917817E-3</v>
      </c>
      <c r="I41" s="678">
        <f>$I$35-($I$39*A7)</f>
        <v>1.0374440911963425</v>
      </c>
      <c r="K41" s="678">
        <f>G41*I41</f>
        <v>7.4894936446640078E-3</v>
      </c>
      <c r="M41" s="678">
        <v>0</v>
      </c>
    </row>
    <row r="42" spans="1:18">
      <c r="A42" s="672">
        <f>IF(ISBLANK(I42)=TRUE,"",MAX($A$7:A41)+1)</f>
        <v>31</v>
      </c>
      <c r="C42" s="674">
        <f>EOMONTH(C41,1)</f>
        <v>45716</v>
      </c>
      <c r="E42" s="678">
        <f>E41</f>
        <v>8.5000000000000006E-2</v>
      </c>
      <c r="G42" s="669">
        <f>E42/365*DAY(EOMONTH(C42,0))</f>
        <v>6.5205479452054805E-3</v>
      </c>
      <c r="I42" s="678">
        <f>I41-$I$39</f>
        <v>0.93912719923293098</v>
      </c>
      <c r="K42" s="678">
        <f t="shared" si="5"/>
        <v>6.1236239292448659E-3</v>
      </c>
      <c r="M42" s="678">
        <v>0</v>
      </c>
    </row>
    <row r="43" spans="1:18">
      <c r="A43" s="672">
        <f>IF(ISBLANK(I43)=TRUE,"",MAX($A$7:A42)+1)</f>
        <v>32</v>
      </c>
      <c r="C43" s="674">
        <f t="shared" ref="C43:C52" si="21">EOMONTH(C42,1)</f>
        <v>45747</v>
      </c>
      <c r="E43" s="678">
        <f t="shared" ref="E43:E52" si="22">E42</f>
        <v>8.5000000000000006E-2</v>
      </c>
      <c r="G43" s="669">
        <f t="shared" ref="G43:G52" si="23">E43/365*DAY(EOMONTH(C43,0))</f>
        <v>7.2191780821917817E-3</v>
      </c>
      <c r="I43" s="679">
        <f t="shared" ref="I43:I52" si="24">I42-$I$39</f>
        <v>0.84081030726951944</v>
      </c>
      <c r="K43" s="678">
        <f t="shared" si="5"/>
        <v>6.0699593415210517E-3</v>
      </c>
      <c r="M43" s="678">
        <f>M42+SUM(K41:K43)</f>
        <v>1.9683076915429924E-2</v>
      </c>
      <c r="O43" s="677"/>
    </row>
    <row r="44" spans="1:18">
      <c r="A44" s="672">
        <f>IF(ISBLANK(I44)=TRUE,"",MAX($A$7:A43)+1)</f>
        <v>33</v>
      </c>
      <c r="C44" s="674">
        <f t="shared" si="21"/>
        <v>45777</v>
      </c>
      <c r="E44" s="678">
        <f>E43</f>
        <v>8.5000000000000006E-2</v>
      </c>
      <c r="G44" s="669">
        <f t="shared" si="23"/>
        <v>6.9863013698630147E-3</v>
      </c>
      <c r="I44" s="678">
        <f>I43-$I$39+M43</f>
        <v>0.76217649222153783</v>
      </c>
      <c r="K44" s="678">
        <f t="shared" si="5"/>
        <v>5.3247946716847173E-3</v>
      </c>
      <c r="M44" s="678">
        <v>0</v>
      </c>
    </row>
    <row r="45" spans="1:18">
      <c r="A45" s="672">
        <f>IF(ISBLANK(I45)=TRUE,"",MAX($A$7:A44)+1)</f>
        <v>34</v>
      </c>
      <c r="C45" s="674">
        <f t="shared" si="21"/>
        <v>45808</v>
      </c>
      <c r="E45" s="678">
        <f>E44</f>
        <v>8.5000000000000006E-2</v>
      </c>
      <c r="G45" s="669">
        <f t="shared" si="23"/>
        <v>7.2191780821917817E-3</v>
      </c>
      <c r="I45" s="678">
        <f t="shared" ref="I45" si="25">I44-$I$39</f>
        <v>0.66385960025812629</v>
      </c>
      <c r="K45" s="678">
        <f t="shared" si="5"/>
        <v>4.7925206758360631E-3</v>
      </c>
      <c r="M45" s="678">
        <v>0</v>
      </c>
    </row>
    <row r="46" spans="1:18">
      <c r="A46" s="672">
        <f>IF(ISBLANK(I46)=TRUE,"",MAX($A$7:A45)+1)</f>
        <v>35</v>
      </c>
      <c r="C46" s="674">
        <f t="shared" si="21"/>
        <v>45838</v>
      </c>
      <c r="E46" s="678">
        <f>E45</f>
        <v>8.5000000000000006E-2</v>
      </c>
      <c r="G46" s="669">
        <f t="shared" si="23"/>
        <v>6.9863013698630147E-3</v>
      </c>
      <c r="I46" s="679">
        <f t="shared" si="24"/>
        <v>0.56554270829471476</v>
      </c>
      <c r="K46" s="678">
        <f t="shared" si="5"/>
        <v>3.9510517976754046E-3</v>
      </c>
      <c r="M46" s="678">
        <f t="shared" ref="M46" si="26">M45+SUM(K44:K46)</f>
        <v>1.4068367145196187E-2</v>
      </c>
      <c r="O46" s="677"/>
    </row>
    <row r="47" spans="1:18">
      <c r="A47" s="672">
        <f>IF(ISBLANK(I47)=TRUE,"",MAX($A$7:A46)+1)</f>
        <v>36</v>
      </c>
      <c r="C47" s="674">
        <f t="shared" si="21"/>
        <v>45869</v>
      </c>
      <c r="E47" s="678">
        <f>E46</f>
        <v>8.5000000000000006E-2</v>
      </c>
      <c r="G47" s="669">
        <f t="shared" si="23"/>
        <v>7.2191780821917817E-3</v>
      </c>
      <c r="I47" s="678">
        <f t="shared" ref="I47" si="27">I46-$I$39+M46</f>
        <v>0.48129418347649944</v>
      </c>
      <c r="K47" s="678">
        <f t="shared" si="5"/>
        <v>3.4745484204399346E-3</v>
      </c>
      <c r="M47" s="678">
        <v>0</v>
      </c>
    </row>
    <row r="48" spans="1:18">
      <c r="A48" s="672">
        <f>IF(ISBLANK(I48)=TRUE,"",MAX($A$7:A47)+1)</f>
        <v>37</v>
      </c>
      <c r="C48" s="674">
        <f t="shared" si="21"/>
        <v>45900</v>
      </c>
      <c r="E48" s="678">
        <f>E47</f>
        <v>8.5000000000000006E-2</v>
      </c>
      <c r="G48" s="669">
        <f t="shared" si="23"/>
        <v>7.2191780821917817E-3</v>
      </c>
      <c r="I48" s="678">
        <f t="shared" ref="I48" si="28">I47-$I$39</f>
        <v>0.3829772915130879</v>
      </c>
      <c r="K48" s="678">
        <f t="shared" si="5"/>
        <v>2.764781268868457E-3</v>
      </c>
      <c r="M48" s="678">
        <v>0</v>
      </c>
    </row>
    <row r="49" spans="1:15">
      <c r="A49" s="672">
        <f>IF(ISBLANK(I49)=TRUE,"",MAX($A$7:A48)+1)</f>
        <v>38</v>
      </c>
      <c r="C49" s="674">
        <f t="shared" si="21"/>
        <v>45930</v>
      </c>
      <c r="E49" s="678">
        <f t="shared" si="22"/>
        <v>8.5000000000000006E-2</v>
      </c>
      <c r="G49" s="669">
        <f t="shared" si="23"/>
        <v>6.9863013698630147E-3</v>
      </c>
      <c r="I49" s="679">
        <f t="shared" si="24"/>
        <v>0.28466039954967637</v>
      </c>
      <c r="K49" s="678">
        <f t="shared" si="5"/>
        <v>1.988723339319657E-3</v>
      </c>
      <c r="M49" s="678">
        <f t="shared" ref="M49" si="29">M48+SUM(K47:K49)</f>
        <v>8.2280530286280486E-3</v>
      </c>
      <c r="O49" s="677"/>
    </row>
    <row r="50" spans="1:15">
      <c r="A50" s="672">
        <f>IF(ISBLANK(I50)=TRUE,"",MAX($A$7:A49)+1)</f>
        <v>39</v>
      </c>
      <c r="C50" s="674">
        <f t="shared" si="21"/>
        <v>45961</v>
      </c>
      <c r="E50" s="678">
        <f t="shared" si="22"/>
        <v>8.5000000000000006E-2</v>
      </c>
      <c r="G50" s="669">
        <f t="shared" si="23"/>
        <v>7.2191780821917817E-3</v>
      </c>
      <c r="I50" s="678">
        <f t="shared" ref="I50" si="30">I49-$I$39+M49</f>
        <v>0.19457156061489289</v>
      </c>
      <c r="K50" s="678">
        <f t="shared" si="5"/>
        <v>1.4046467458088845E-3</v>
      </c>
      <c r="M50" s="678">
        <v>0</v>
      </c>
    </row>
    <row r="51" spans="1:15">
      <c r="A51" s="672">
        <f>IF(ISBLANK(I51)=TRUE,"",MAX($A$7:A50)+1)</f>
        <v>40</v>
      </c>
      <c r="C51" s="674">
        <f t="shared" si="21"/>
        <v>45991</v>
      </c>
      <c r="E51" s="678">
        <f t="shared" si="22"/>
        <v>8.5000000000000006E-2</v>
      </c>
      <c r="G51" s="669">
        <f t="shared" si="23"/>
        <v>6.9863013698630147E-3</v>
      </c>
      <c r="I51" s="678">
        <f t="shared" ref="I51" si="31">I50-$I$39</f>
        <v>9.6254668651481343E-2</v>
      </c>
      <c r="K51" s="678">
        <f t="shared" si="5"/>
        <v>6.724641234555547E-4</v>
      </c>
      <c r="M51" s="678">
        <v>0</v>
      </c>
    </row>
    <row r="52" spans="1:15">
      <c r="A52" s="672">
        <f>IF(ISBLANK(I52)=TRUE,"",MAX($A$7:A51)+1)</f>
        <v>41</v>
      </c>
      <c r="C52" s="674">
        <f t="shared" si="21"/>
        <v>46022</v>
      </c>
      <c r="E52" s="678">
        <f t="shared" si="22"/>
        <v>8.5000000000000006E-2</v>
      </c>
      <c r="G52" s="669">
        <f t="shared" si="23"/>
        <v>7.2191780821917817E-3</v>
      </c>
      <c r="I52" s="679">
        <f t="shared" si="24"/>
        <v>-2.0622233119302058E-3</v>
      </c>
      <c r="K52" s="678">
        <f t="shared" si="5"/>
        <v>-1.4887557334071487E-5</v>
      </c>
      <c r="M52" s="678">
        <f>M51+SUM(K50:K52)</f>
        <v>2.0622233119303676E-3</v>
      </c>
      <c r="O52" s="677"/>
    </row>
    <row r="53" spans="1:15">
      <c r="A53" s="672" t="str">
        <f>IF(ISBLANK(I53)=TRUE,"",MAX($A$7:A52)+1)</f>
        <v/>
      </c>
      <c r="I53" s="678"/>
      <c r="J53" s="678"/>
      <c r="K53" s="678"/>
      <c r="M53" s="678"/>
    </row>
    <row r="54" spans="1:15">
      <c r="A54" s="672">
        <f>IF(ISBLANK(I54)=TRUE,"",MAX($A$7:A53)+1)</f>
        <v>42</v>
      </c>
      <c r="G54" s="670" t="s">
        <v>696</v>
      </c>
      <c r="I54" s="678">
        <f>I52+M52</f>
        <v>1.6176296413483726E-16</v>
      </c>
      <c r="K54" s="678"/>
      <c r="M54" s="678"/>
      <c r="O54" s="677"/>
    </row>
    <row r="55" spans="1:15">
      <c r="A55" s="672" t="str">
        <f>IF(ISBLANK(I55)=TRUE,"",MAX($A$7:A54)+1)</f>
        <v/>
      </c>
      <c r="I55" s="678"/>
      <c r="K55" s="678"/>
      <c r="M55" s="678"/>
    </row>
    <row r="56" spans="1:15">
      <c r="A56" s="672">
        <f>IF(ISBLANK(I56)=TRUE,"",MAX($A$7:A55)+1)</f>
        <v>43</v>
      </c>
      <c r="G56" s="670" t="s">
        <v>697</v>
      </c>
      <c r="I56" s="678">
        <f>I39*12</f>
        <v>1.1798027035609386</v>
      </c>
      <c r="K56" s="678"/>
      <c r="M56" s="678"/>
    </row>
    <row r="57" spans="1:15">
      <c r="A57" s="672">
        <f>IF(ISBLANK(I57)=TRUE,"",MAX($A$7:A56)+1)</f>
        <v>44</v>
      </c>
      <c r="G57" s="670" t="s">
        <v>698</v>
      </c>
      <c r="H57" s="671" t="s">
        <v>641</v>
      </c>
      <c r="I57" s="679">
        <v>1</v>
      </c>
      <c r="K57" s="678"/>
      <c r="M57" s="678"/>
    </row>
    <row r="58" spans="1:15">
      <c r="A58" s="672">
        <f>IF(ISBLANK(I58)=TRUE,"",MAX($A$7:A57)+1)</f>
        <v>45</v>
      </c>
      <c r="G58" s="670" t="s">
        <v>699</v>
      </c>
      <c r="I58" s="678">
        <f>I56-I57</f>
        <v>0.17980270356093864</v>
      </c>
      <c r="K58" s="678"/>
      <c r="M58" s="678"/>
    </row>
    <row r="59" spans="1:15">
      <c r="A59" s="672" t="str">
        <f>IF(ISBLANK(I59)=TRUE,"",MAX($A$7:A58)+1)</f>
        <v/>
      </c>
    </row>
    <row r="60" spans="1:15">
      <c r="A60" s="672" t="str">
        <f>IF(ISBLANK(I60)=TRUE,"",MAX($A$7:A59)+1)</f>
        <v/>
      </c>
    </row>
    <row r="61" spans="1:15">
      <c r="A61" s="672">
        <f>IF(ISBLANK(G61)=TRUE,"",MAX($A$7:A60)+1)</f>
        <v>46</v>
      </c>
      <c r="C61" s="678"/>
      <c r="E61" s="678"/>
      <c r="G61" s="684" t="s">
        <v>793</v>
      </c>
      <c r="H61" s="684"/>
      <c r="I61" s="803">
        <f>'Attachment 13b - PJM Billings'!L20</f>
        <v>184046517.45999998</v>
      </c>
      <c r="J61" s="804"/>
      <c r="K61" s="689"/>
      <c r="L61" s="669"/>
      <c r="M61" s="671"/>
    </row>
    <row r="62" spans="1:15">
      <c r="A62" s="672">
        <f>IF(ISBLANK(G62)=TRUE,"",MAX($A$7:A61)+1)</f>
        <v>47</v>
      </c>
      <c r="B62" s="681"/>
      <c r="C62" s="681"/>
      <c r="E62" s="687">
        <v>2023</v>
      </c>
      <c r="G62" s="684" t="s">
        <v>914</v>
      </c>
      <c r="H62" s="690" t="s">
        <v>641</v>
      </c>
      <c r="I62" s="798">
        <v>184642531.14628196</v>
      </c>
      <c r="J62" s="805"/>
      <c r="K62" s="689"/>
      <c r="L62" s="669"/>
      <c r="M62" s="671"/>
    </row>
    <row r="63" spans="1:15">
      <c r="A63" s="672">
        <f>IF(ISBLANK(G63)=TRUE,"",MAX($A$7:A62)+1)</f>
        <v>48</v>
      </c>
      <c r="C63" s="682"/>
      <c r="E63" s="682"/>
      <c r="G63" s="684" t="s">
        <v>700</v>
      </c>
      <c r="H63" s="684"/>
      <c r="I63" s="800">
        <f>I61-I62</f>
        <v>-596013.68628197908</v>
      </c>
      <c r="J63" s="804"/>
      <c r="K63" s="689"/>
      <c r="L63" s="669"/>
      <c r="M63" s="671"/>
    </row>
    <row r="64" spans="1:15">
      <c r="A64" s="672">
        <f>IF(ISBLANK(G64)=TRUE,"",MAX($A$7:A63)+1)</f>
        <v>49</v>
      </c>
      <c r="C64" s="682"/>
      <c r="E64" s="683"/>
      <c r="G64" s="684" t="str">
        <f>"Interest (Line "&amp;A58&amp;" "&amp;CHAR(215)&amp;" Line "&amp;A63&amp;"):"</f>
        <v>Interest (Line 45 × Line 48):</v>
      </c>
      <c r="H64" s="690" t="s">
        <v>686</v>
      </c>
      <c r="I64" s="801">
        <f>I58*I63</f>
        <v>-107164.87215282096</v>
      </c>
      <c r="J64" s="804"/>
      <c r="K64" s="689"/>
      <c r="L64" s="669"/>
      <c r="M64" s="671"/>
    </row>
    <row r="65" spans="1:13" ht="16.2" thickBot="1">
      <c r="A65" s="672">
        <f>IF(ISBLANK(G65)=TRUE,"",MAX($A$7:A64)+1)</f>
        <v>50</v>
      </c>
      <c r="C65" s="682"/>
      <c r="E65" s="682"/>
      <c r="G65" s="684" t="s">
        <v>701</v>
      </c>
      <c r="H65" s="684"/>
      <c r="I65" s="802">
        <f>I63+I64</f>
        <v>-703178.55843480001</v>
      </c>
      <c r="J65" s="804"/>
      <c r="K65" s="689"/>
      <c r="L65" s="669"/>
      <c r="M65" s="671"/>
    </row>
    <row r="66" spans="1:13" ht="16.2" thickTop="1">
      <c r="E66" s="682"/>
      <c r="G66" s="682"/>
    </row>
    <row r="67" spans="1:13">
      <c r="B67" s="688"/>
      <c r="C67" s="688" t="s">
        <v>153</v>
      </c>
      <c r="E67" s="682"/>
      <c r="G67" s="682"/>
    </row>
    <row r="68" spans="1:13" ht="15.75" customHeight="1">
      <c r="C68" s="887" t="s">
        <v>891</v>
      </c>
      <c r="D68" s="887"/>
      <c r="E68" s="887"/>
      <c r="F68" s="887"/>
      <c r="G68" s="887"/>
      <c r="H68" s="887"/>
      <c r="I68" s="887"/>
      <c r="J68" s="887"/>
      <c r="K68" s="887"/>
      <c r="L68" s="887"/>
    </row>
    <row r="69" spans="1:13" ht="15.6" customHeight="1">
      <c r="C69" s="1016" t="s">
        <v>899</v>
      </c>
      <c r="D69" s="1016"/>
      <c r="E69" s="1016"/>
      <c r="F69" s="1016"/>
      <c r="G69" s="1016"/>
      <c r="H69" s="1016"/>
      <c r="I69" s="1016"/>
      <c r="J69" s="1016"/>
      <c r="K69" s="1016"/>
      <c r="L69" s="1016"/>
      <c r="M69" s="1016"/>
    </row>
    <row r="70" spans="1:13">
      <c r="C70" s="1016"/>
      <c r="D70" s="1016"/>
      <c r="E70" s="1016"/>
      <c r="F70" s="1016"/>
      <c r="G70" s="1016"/>
      <c r="H70" s="1016"/>
      <c r="I70" s="1016"/>
      <c r="J70" s="1016"/>
      <c r="K70" s="1016"/>
      <c r="L70" s="1016"/>
      <c r="M70" s="1016"/>
    </row>
    <row r="71" spans="1:13">
      <c r="C71" s="1016"/>
      <c r="D71" s="1016"/>
      <c r="E71" s="1016"/>
      <c r="F71" s="1016"/>
      <c r="G71" s="1016"/>
      <c r="H71" s="1016"/>
      <c r="I71" s="1016"/>
      <c r="J71" s="1016"/>
      <c r="K71" s="1016"/>
      <c r="L71" s="1016"/>
      <c r="M71" s="1016"/>
    </row>
    <row r="72" spans="1:13">
      <c r="C72" s="1016"/>
      <c r="D72" s="1016"/>
      <c r="E72" s="1016"/>
      <c r="F72" s="1016"/>
      <c r="G72" s="1016"/>
      <c r="H72" s="1016"/>
      <c r="I72" s="1016"/>
      <c r="J72" s="1016"/>
      <c r="K72" s="1016"/>
      <c r="L72" s="1016"/>
      <c r="M72" s="1016"/>
    </row>
    <row r="73" spans="1:13">
      <c r="C73" s="1016"/>
      <c r="D73" s="1016"/>
      <c r="E73" s="1016"/>
      <c r="F73" s="1016"/>
      <c r="G73" s="1016"/>
      <c r="H73" s="1016"/>
      <c r="I73" s="1016"/>
      <c r="J73" s="1016"/>
      <c r="K73" s="1016"/>
      <c r="L73" s="1016"/>
      <c r="M73" s="1016"/>
    </row>
    <row r="74" spans="1:13">
      <c r="C74" s="1016"/>
      <c r="D74" s="1016"/>
      <c r="E74" s="1016"/>
      <c r="F74" s="1016"/>
      <c r="G74" s="1016"/>
      <c r="H74" s="1016"/>
      <c r="I74" s="1016"/>
      <c r="J74" s="1016"/>
      <c r="K74" s="1016"/>
      <c r="L74" s="1016"/>
      <c r="M74" s="1016"/>
    </row>
    <row r="75" spans="1:13">
      <c r="C75" s="887" t="s">
        <v>977</v>
      </c>
      <c r="E75" s="794"/>
      <c r="F75" s="794"/>
      <c r="G75" s="794"/>
      <c r="H75" s="794"/>
      <c r="I75" s="794"/>
      <c r="K75" s="678"/>
      <c r="M75" s="678"/>
    </row>
    <row r="76" spans="1:13">
      <c r="E76" s="794"/>
      <c r="F76" s="794"/>
      <c r="G76" s="794"/>
      <c r="H76" s="794"/>
      <c r="I76" s="794"/>
    </row>
    <row r="77" spans="1:13">
      <c r="E77" s="794"/>
      <c r="F77" s="794"/>
      <c r="G77" s="794"/>
      <c r="H77" s="794"/>
      <c r="I77" s="794"/>
    </row>
    <row r="78" spans="1:13">
      <c r="E78" s="794"/>
      <c r="F78" s="794"/>
      <c r="G78" s="794"/>
      <c r="H78" s="794"/>
      <c r="I78" s="794"/>
    </row>
    <row r="79" spans="1:13">
      <c r="E79" s="794"/>
      <c r="F79" s="794"/>
      <c r="G79" s="794"/>
      <c r="H79" s="794"/>
      <c r="I79" s="794"/>
    </row>
    <row r="80" spans="1:13">
      <c r="E80" s="794"/>
      <c r="F80" s="794"/>
      <c r="G80" s="794"/>
      <c r="H80" s="794"/>
      <c r="I80" s="794"/>
    </row>
    <row r="81" spans="5:9">
      <c r="E81" s="794"/>
      <c r="F81" s="794"/>
      <c r="G81" s="794"/>
      <c r="H81" s="794"/>
      <c r="I81" s="794"/>
    </row>
    <row r="82" spans="5:9">
      <c r="E82" s="794"/>
      <c r="F82" s="794"/>
      <c r="G82" s="794"/>
      <c r="H82" s="794"/>
      <c r="I82" s="794"/>
    </row>
    <row r="83" spans="5:9">
      <c r="E83" s="794"/>
      <c r="F83" s="794"/>
      <c r="G83" s="794"/>
      <c r="H83" s="794"/>
      <c r="I83" s="794"/>
    </row>
    <row r="84" spans="5:9">
      <c r="E84" s="794"/>
      <c r="F84" s="794"/>
      <c r="G84" s="794"/>
      <c r="H84" s="794"/>
      <c r="I84" s="794"/>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T84"/>
  <sheetViews>
    <sheetView zoomScale="80" zoomScaleNormal="80" zoomScalePageLayoutView="60" workbookViewId="0">
      <selection activeCell="E2" sqref="E2"/>
    </sheetView>
  </sheetViews>
  <sheetFormatPr defaultColWidth="8.7265625" defaultRowHeight="15.6"/>
  <cols>
    <col min="1" max="1" width="4.26953125" style="672" bestFit="1" customWidth="1"/>
    <col min="2" max="2" width="1.54296875" style="671" customWidth="1"/>
    <col min="3" max="3" width="11.08984375" style="672" customWidth="1"/>
    <col min="4" max="4" width="1.7265625" style="671" customWidth="1"/>
    <col min="5" max="5" width="11.7265625" style="669" customWidth="1"/>
    <col min="6" max="6" width="5.26953125" style="671" customWidth="1"/>
    <col min="7" max="7" width="11.08984375" style="669" customWidth="1"/>
    <col min="8" max="8" width="1.7265625" style="671" customWidth="1"/>
    <col min="9" max="9" width="13.7265625" style="669" customWidth="1"/>
    <col min="10" max="10" width="1.7265625" style="671" customWidth="1"/>
    <col min="11" max="11" width="11.08984375" style="669" customWidth="1"/>
    <col min="12" max="12" width="1.7265625" style="671" customWidth="1"/>
    <col min="13" max="13" width="13.26953125" style="669" customWidth="1"/>
    <col min="14" max="14" width="8.7265625" style="671"/>
    <col min="15" max="15" width="11.54296875" style="671" bestFit="1" customWidth="1"/>
    <col min="16" max="16384" width="8.7265625" style="671"/>
  </cols>
  <sheetData>
    <row r="1" spans="1:20">
      <c r="K1" s="671" t="s">
        <v>982</v>
      </c>
      <c r="M1" s="671"/>
    </row>
    <row r="2" spans="1:20">
      <c r="K2" s="671" t="s">
        <v>144</v>
      </c>
      <c r="M2" s="671"/>
      <c r="P2" s="1056"/>
      <c r="Q2" s="1056"/>
      <c r="R2" s="1056"/>
      <c r="S2" s="1056"/>
      <c r="T2" s="1056"/>
    </row>
    <row r="3" spans="1:20">
      <c r="K3" s="671" t="str">
        <f>'Attachment 12 - TEC True-up'!M3</f>
        <v>For the 12 months ended 12/31/2023</v>
      </c>
      <c r="M3" s="671"/>
      <c r="P3" s="1056"/>
      <c r="Q3" s="1056"/>
      <c r="R3" s="1056"/>
      <c r="S3" s="1056"/>
      <c r="T3" s="1056"/>
    </row>
    <row r="4" spans="1:20">
      <c r="P4" s="1056"/>
      <c r="Q4" s="1056"/>
      <c r="R4" s="1056"/>
      <c r="S4" s="1056"/>
      <c r="T4" s="1056"/>
    </row>
    <row r="5" spans="1:20">
      <c r="C5" s="620" t="s">
        <v>627</v>
      </c>
      <c r="D5" s="600"/>
      <c r="E5" s="620" t="str">
        <f>"("&amp;CHAR(CODE(MID(C5,2,1))+1)&amp;")"</f>
        <v>(B)</v>
      </c>
      <c r="F5" s="1"/>
      <c r="G5" s="620" t="str">
        <f t="shared" ref="G5" si="0">"("&amp;CHAR(CODE(MID(E5,2,1))+1)&amp;")"</f>
        <v>(C)</v>
      </c>
      <c r="H5" s="1"/>
      <c r="I5" s="620" t="str">
        <f t="shared" ref="I5" si="1">"("&amp;CHAR(CODE(MID(G5,2,1))+1)&amp;")"</f>
        <v>(D)</v>
      </c>
      <c r="J5" s="1"/>
      <c r="K5" s="620" t="str">
        <f t="shared" ref="K5" si="2">"("&amp;CHAR(CODE(MID(I5,2,1))+1)&amp;")"</f>
        <v>(E)</v>
      </c>
      <c r="L5" s="1"/>
      <c r="M5" s="620" t="str">
        <f t="shared" ref="M5" si="3">"("&amp;CHAR(CODE(MID(K5,2,1))+1)&amp;")"</f>
        <v>(F)</v>
      </c>
      <c r="P5" s="1056"/>
      <c r="Q5" s="1056"/>
      <c r="R5" s="1056"/>
      <c r="S5" s="1056"/>
      <c r="T5" s="1056"/>
    </row>
    <row r="6" spans="1:20" s="673" customFormat="1">
      <c r="A6" s="685" t="s">
        <v>5</v>
      </c>
      <c r="C6" s="685" t="s">
        <v>685</v>
      </c>
      <c r="E6" s="686" t="s">
        <v>688</v>
      </c>
      <c r="G6" s="686" t="s">
        <v>218</v>
      </c>
      <c r="I6" s="686" t="s">
        <v>689</v>
      </c>
      <c r="K6" s="686" t="s">
        <v>346</v>
      </c>
      <c r="M6" s="686" t="s">
        <v>690</v>
      </c>
    </row>
    <row r="7" spans="1:20">
      <c r="A7" s="672">
        <v>1</v>
      </c>
      <c r="C7" s="674">
        <f>DATE(E62,1,1)</f>
        <v>44927</v>
      </c>
      <c r="E7" s="680">
        <v>6.3100000000000003E-2</v>
      </c>
      <c r="G7" s="669">
        <f>E7/365*DAY(EOMONTH(C7,0))</f>
        <v>5.3591780821917812E-3</v>
      </c>
      <c r="I7" s="678">
        <f>1/12</f>
        <v>8.3333333333333329E-2</v>
      </c>
      <c r="K7" s="678">
        <f>G7*I7</f>
        <v>4.4659817351598173E-4</v>
      </c>
      <c r="M7" s="678">
        <v>0</v>
      </c>
    </row>
    <row r="8" spans="1:20">
      <c r="A8" s="672">
        <f>IF(ISBLANK(I8)=TRUE,"",MAX($A$7:A7)+1)</f>
        <v>2</v>
      </c>
      <c r="C8" s="674">
        <f>EOMONTH(C7,1)</f>
        <v>44985</v>
      </c>
      <c r="E8" s="669">
        <f>E7</f>
        <v>6.3100000000000003E-2</v>
      </c>
      <c r="G8" s="669">
        <f>E8/365*DAY(EOMONTH(C8,0))</f>
        <v>4.8405479452054796E-3</v>
      </c>
      <c r="I8" s="678">
        <f>I7+1/12</f>
        <v>0.16666666666666666</v>
      </c>
      <c r="K8" s="678">
        <f>G8*I8</f>
        <v>8.067579908675799E-4</v>
      </c>
      <c r="M8" s="678">
        <v>0</v>
      </c>
    </row>
    <row r="9" spans="1:20">
      <c r="A9" s="672">
        <f>IF(ISBLANK(I9)=TRUE,"",MAX($A$7:A8)+1)</f>
        <v>3</v>
      </c>
      <c r="C9" s="674">
        <f t="shared" ref="C9:C17" si="4">EOMONTH(C8,1)</f>
        <v>45016</v>
      </c>
      <c r="E9" s="669">
        <f>E8</f>
        <v>6.3100000000000003E-2</v>
      </c>
      <c r="G9" s="669">
        <f>E9/365*DAY(EOMONTH(C9,0))</f>
        <v>5.3591780821917812E-3</v>
      </c>
      <c r="I9" s="679">
        <f>I8+1/12</f>
        <v>0.25</v>
      </c>
      <c r="K9" s="678">
        <f t="shared" ref="K9:K51" si="5">G9*I9</f>
        <v>1.3397945205479453E-3</v>
      </c>
      <c r="M9" s="678">
        <f>M8+SUM(K7:K9)</f>
        <v>2.5931506849315071E-3</v>
      </c>
    </row>
    <row r="10" spans="1:20">
      <c r="A10" s="672">
        <f>IF(ISBLANK(I10)=TRUE,"",MAX($A$7:A9)+1)</f>
        <v>4</v>
      </c>
      <c r="C10" s="674">
        <f t="shared" si="4"/>
        <v>45046</v>
      </c>
      <c r="E10" s="680">
        <v>7.4999999999999997E-2</v>
      </c>
      <c r="G10" s="669">
        <f t="shared" ref="G10:G18" si="6">E10/365*DAY(EOMONTH(C10,0))</f>
        <v>6.1643835616438354E-3</v>
      </c>
      <c r="I10" s="678">
        <f>I9+1/12+M9</f>
        <v>0.3359264840182648</v>
      </c>
      <c r="K10" s="678">
        <f t="shared" si="5"/>
        <v>2.0707796960030022E-3</v>
      </c>
      <c r="M10" s="678">
        <v>0</v>
      </c>
      <c r="O10" s="675"/>
    </row>
    <row r="11" spans="1:20">
      <c r="A11" s="672">
        <f>IF(ISBLANK(I11)=TRUE,"",MAX($A$7:A10)+1)</f>
        <v>5</v>
      </c>
      <c r="C11" s="674">
        <f t="shared" si="4"/>
        <v>45077</v>
      </c>
      <c r="E11" s="669">
        <f>E10</f>
        <v>7.4999999999999997E-2</v>
      </c>
      <c r="G11" s="669">
        <f t="shared" si="6"/>
        <v>6.3698630136986298E-3</v>
      </c>
      <c r="I11" s="678">
        <f t="shared" ref="I11:I15" si="7">I10+1/12</f>
        <v>0.41925981735159812</v>
      </c>
      <c r="K11" s="678">
        <f t="shared" si="5"/>
        <v>2.6706276036779879E-3</v>
      </c>
      <c r="M11" s="678">
        <v>0</v>
      </c>
    </row>
    <row r="12" spans="1:20">
      <c r="A12" s="672">
        <f>IF(ISBLANK(I12)=TRUE,"",MAX($A$7:A11)+1)</f>
        <v>6</v>
      </c>
      <c r="C12" s="674">
        <f t="shared" si="4"/>
        <v>45107</v>
      </c>
      <c r="E12" s="669">
        <f>E11</f>
        <v>7.4999999999999997E-2</v>
      </c>
      <c r="G12" s="669">
        <f t="shared" si="6"/>
        <v>6.1643835616438354E-3</v>
      </c>
      <c r="I12" s="679">
        <f t="shared" si="7"/>
        <v>0.50259315068493149</v>
      </c>
      <c r="K12" s="678">
        <f t="shared" si="5"/>
        <v>3.0981769562769749E-3</v>
      </c>
      <c r="M12" s="678">
        <f t="shared" ref="M12" si="8">M11+SUM(K10:K12)</f>
        <v>7.839584255957965E-3</v>
      </c>
    </row>
    <row r="13" spans="1:20">
      <c r="A13" s="672">
        <f>IF(ISBLANK(I13)=TRUE,"",MAX($A$7:A12)+1)</f>
        <v>7</v>
      </c>
      <c r="C13" s="674">
        <f t="shared" si="4"/>
        <v>45138</v>
      </c>
      <c r="E13" s="680">
        <v>8.0199999999999994E-2</v>
      </c>
      <c r="G13" s="669">
        <f t="shared" si="6"/>
        <v>6.8115068493150672E-3</v>
      </c>
      <c r="I13" s="678">
        <f t="shared" ref="I13" si="9">I12+1/12+M12</f>
        <v>0.59376606827422285</v>
      </c>
      <c r="K13" s="678">
        <f t="shared" si="5"/>
        <v>4.0444416409407468E-3</v>
      </c>
      <c r="M13" s="678">
        <v>0</v>
      </c>
    </row>
    <row r="14" spans="1:20">
      <c r="A14" s="672">
        <f>IF(ISBLANK(I14)=TRUE,"",MAX($A$7:A13)+1)</f>
        <v>8</v>
      </c>
      <c r="C14" s="674">
        <f t="shared" si="4"/>
        <v>45169</v>
      </c>
      <c r="E14" s="669">
        <f>E13</f>
        <v>8.0199999999999994E-2</v>
      </c>
      <c r="G14" s="669">
        <f t="shared" si="6"/>
        <v>6.8115068493150672E-3</v>
      </c>
      <c r="I14" s="678">
        <f>I13+1/12</f>
        <v>0.67709940160755622</v>
      </c>
      <c r="K14" s="678">
        <f t="shared" si="5"/>
        <v>4.6120672117170025E-3</v>
      </c>
      <c r="M14" s="678">
        <v>0</v>
      </c>
    </row>
    <row r="15" spans="1:20">
      <c r="A15" s="672">
        <f>IF(ISBLANK(I15)=TRUE,"",MAX($A$7:A14)+1)</f>
        <v>9</v>
      </c>
      <c r="C15" s="674">
        <f t="shared" si="4"/>
        <v>45199</v>
      </c>
      <c r="E15" s="669">
        <f>E14</f>
        <v>8.0199999999999994E-2</v>
      </c>
      <c r="G15" s="669">
        <f t="shared" si="6"/>
        <v>6.5917808219178075E-3</v>
      </c>
      <c r="I15" s="679">
        <f t="shared" si="7"/>
        <v>0.76043273494088959</v>
      </c>
      <c r="K15" s="678">
        <f t="shared" si="5"/>
        <v>5.0126059185418631E-3</v>
      </c>
      <c r="M15" s="678">
        <f>M14+SUM(K13:K15)</f>
        <v>1.3669114771199614E-2</v>
      </c>
    </row>
    <row r="16" spans="1:20">
      <c r="A16" s="672">
        <f>IF(ISBLANK(I16)=TRUE,"",MAX($A$7:A15)+1)</f>
        <v>10</v>
      </c>
      <c r="C16" s="674">
        <f t="shared" si="4"/>
        <v>45230</v>
      </c>
      <c r="E16" s="680">
        <v>8.3500000000000005E-2</v>
      </c>
      <c r="G16" s="669">
        <f>E16/365*DAY(EOMONTH(C16,0))</f>
        <v>7.0917808219178088E-3</v>
      </c>
      <c r="I16" s="678">
        <f t="shared" ref="I16" si="10">I15+1/12+M15</f>
        <v>0.85743518304542254</v>
      </c>
      <c r="K16" s="678">
        <f t="shared" si="5"/>
        <v>6.0807423871591139E-3</v>
      </c>
      <c r="M16" s="678">
        <v>0</v>
      </c>
    </row>
    <row r="17" spans="1:13">
      <c r="A17" s="672">
        <f>IF(ISBLANK(I17)=TRUE,"",MAX($A$7:A16)+1)</f>
        <v>11</v>
      </c>
      <c r="C17" s="674">
        <f t="shared" si="4"/>
        <v>45260</v>
      </c>
      <c r="E17" s="669">
        <f>E16</f>
        <v>8.3500000000000005E-2</v>
      </c>
      <c r="G17" s="669">
        <f t="shared" si="6"/>
        <v>6.8630136986301375E-3</v>
      </c>
      <c r="I17" s="678">
        <f>I16+1/12</f>
        <v>0.94076851637875591</v>
      </c>
      <c r="K17" s="678">
        <f t="shared" si="5"/>
        <v>6.4565072151473524E-3</v>
      </c>
      <c r="M17" s="678">
        <v>0</v>
      </c>
    </row>
    <row r="18" spans="1:13">
      <c r="A18" s="672">
        <f>IF(ISBLANK(I18)=TRUE,"",MAX($A$7:A17)+1)</f>
        <v>12</v>
      </c>
      <c r="C18" s="674">
        <f>EOMONTH(C17,1)</f>
        <v>45291</v>
      </c>
      <c r="E18" s="669">
        <f>E17</f>
        <v>8.3500000000000005E-2</v>
      </c>
      <c r="G18" s="669">
        <f t="shared" si="6"/>
        <v>7.0917808219178088E-3</v>
      </c>
      <c r="I18" s="679">
        <f>I17+1/12</f>
        <v>1.0241018497120893</v>
      </c>
      <c r="K18" s="678">
        <f t="shared" si="5"/>
        <v>7.262705857478749E-3</v>
      </c>
      <c r="M18" s="678">
        <f t="shared" ref="M18" si="11">M17+SUM(K16:K18)</f>
        <v>1.9799955459785214E-2</v>
      </c>
    </row>
    <row r="19" spans="1:13">
      <c r="A19" s="672" t="str">
        <f>IF(ISBLANK(I19)=TRUE,"",MAX($A$7:A18)+1)</f>
        <v/>
      </c>
      <c r="C19" s="674"/>
      <c r="I19" s="678"/>
      <c r="K19" s="678"/>
      <c r="M19" s="678"/>
    </row>
    <row r="20" spans="1:13">
      <c r="A20" s="672">
        <f>IF(ISBLANK(I20)=TRUE,"",MAX($A$7:A19)+1)</f>
        <v>13</v>
      </c>
      <c r="C20" s="674"/>
      <c r="G20" s="670" t="s">
        <v>691</v>
      </c>
      <c r="I20" s="678">
        <f>I18+M18</f>
        <v>1.0439018051718745</v>
      </c>
      <c r="K20" s="678"/>
      <c r="M20" s="678"/>
    </row>
    <row r="21" spans="1:13">
      <c r="A21" s="672" t="str">
        <f>IF(ISBLANK(I21)=TRUE,"",MAX($A$7:A20)+1)</f>
        <v/>
      </c>
      <c r="C21" s="674"/>
      <c r="I21" s="678"/>
      <c r="K21" s="678"/>
      <c r="M21" s="678"/>
    </row>
    <row r="22" spans="1:13">
      <c r="A22" s="672">
        <f>IF(ISBLANK(I22)=TRUE,"",MAX($A$7:A21)+1)</f>
        <v>14</v>
      </c>
      <c r="C22" s="674">
        <f>EOMONTH(C18,1)</f>
        <v>45322</v>
      </c>
      <c r="E22" s="680">
        <v>8.5000000000000006E-2</v>
      </c>
      <c r="G22" s="669">
        <f>E22/365*DAY(EOMONTH(C22,0))</f>
        <v>7.2191780821917817E-3</v>
      </c>
      <c r="I22" s="678">
        <f>I20</f>
        <v>1.0439018051718745</v>
      </c>
      <c r="K22" s="678">
        <f>G22*I22</f>
        <v>7.5361130318572318E-3</v>
      </c>
      <c r="M22" s="678">
        <v>0</v>
      </c>
    </row>
    <row r="23" spans="1:13">
      <c r="A23" s="672">
        <f>IF(ISBLANK(I23)=TRUE,"",MAX($A$7:A22)+1)</f>
        <v>15</v>
      </c>
      <c r="C23" s="674">
        <f>EOMONTH(C22,1)</f>
        <v>45351</v>
      </c>
      <c r="E23" s="669">
        <f>E22</f>
        <v>8.5000000000000006E-2</v>
      </c>
      <c r="G23" s="669">
        <f t="shared" ref="G23:G32" si="12">E23/365*DAY(EOMONTH(C23,0))</f>
        <v>6.7534246575342476E-3</v>
      </c>
      <c r="I23" s="678">
        <f>I22</f>
        <v>1.0439018051718745</v>
      </c>
      <c r="K23" s="678">
        <f t="shared" si="5"/>
        <v>7.049912191092249E-3</v>
      </c>
      <c r="M23" s="678">
        <v>0</v>
      </c>
    </row>
    <row r="24" spans="1:13">
      <c r="A24" s="672">
        <f>IF(ISBLANK(I24)=TRUE,"",MAX($A$7:A23)+1)</f>
        <v>16</v>
      </c>
      <c r="C24" s="674">
        <f t="shared" ref="C24:C33" si="13">EOMONTH(C23,1)</f>
        <v>45382</v>
      </c>
      <c r="E24" s="669">
        <f>E23</f>
        <v>8.5000000000000006E-2</v>
      </c>
      <c r="G24" s="669">
        <f t="shared" si="12"/>
        <v>7.2191780821917817E-3</v>
      </c>
      <c r="I24" s="679">
        <f>I23</f>
        <v>1.0439018051718745</v>
      </c>
      <c r="K24" s="678">
        <f t="shared" si="5"/>
        <v>7.5361130318572318E-3</v>
      </c>
      <c r="M24" s="678">
        <f>M23+SUM(K22:K24)</f>
        <v>2.2122138254806713E-2</v>
      </c>
    </row>
    <row r="25" spans="1:13">
      <c r="A25" s="672">
        <f>IF(ISBLANK(I25)=TRUE,"",MAX($A$7:A24)+1)</f>
        <v>17</v>
      </c>
      <c r="C25" s="674">
        <f t="shared" si="13"/>
        <v>45412</v>
      </c>
      <c r="E25" s="680">
        <v>8.5000000000000006E-2</v>
      </c>
      <c r="G25" s="669">
        <f t="shared" si="12"/>
        <v>6.9863013698630147E-3</v>
      </c>
      <c r="I25" s="678">
        <f>I24+M24</f>
        <v>1.0660239434266812</v>
      </c>
      <c r="K25" s="678">
        <f t="shared" si="5"/>
        <v>7.4475645362685958E-3</v>
      </c>
      <c r="M25" s="678">
        <v>0</v>
      </c>
    </row>
    <row r="26" spans="1:13">
      <c r="A26" s="672">
        <f>IF(ISBLANK(I26)=TRUE,"",MAX($A$7:A25)+1)</f>
        <v>18</v>
      </c>
      <c r="C26" s="674">
        <f t="shared" si="13"/>
        <v>45443</v>
      </c>
      <c r="E26" s="669">
        <f>E25</f>
        <v>8.5000000000000006E-2</v>
      </c>
      <c r="F26" s="1057"/>
      <c r="G26" s="669">
        <f t="shared" si="12"/>
        <v>7.2191780821917817E-3</v>
      </c>
      <c r="I26" s="678">
        <f>I25</f>
        <v>1.0660239434266812</v>
      </c>
      <c r="K26" s="678">
        <f t="shared" si="5"/>
        <v>7.6958166874775483E-3</v>
      </c>
      <c r="M26" s="678">
        <v>0</v>
      </c>
    </row>
    <row r="27" spans="1:13">
      <c r="A27" s="672">
        <f>IF(ISBLANK(I27)=TRUE,"",MAX($A$7:A26)+1)</f>
        <v>19</v>
      </c>
      <c r="C27" s="674">
        <f t="shared" si="13"/>
        <v>45473</v>
      </c>
      <c r="E27" s="669">
        <f>E26</f>
        <v>8.5000000000000006E-2</v>
      </c>
      <c r="F27" s="1057"/>
      <c r="G27" s="669">
        <f>E27/365*DAY(EOMONTH(C27,0))</f>
        <v>6.9863013698630147E-3</v>
      </c>
      <c r="I27" s="679">
        <f t="shared" ref="I27" si="14">I26</f>
        <v>1.0660239434266812</v>
      </c>
      <c r="K27" s="678">
        <f t="shared" si="5"/>
        <v>7.4475645362685958E-3</v>
      </c>
      <c r="M27" s="678">
        <f t="shared" ref="M27" si="15">M26+SUM(K25:K27)</f>
        <v>2.259094576001474E-2</v>
      </c>
    </row>
    <row r="28" spans="1:13">
      <c r="A28" s="672">
        <f>IF(ISBLANK(I28)=TRUE,"",MAX($A$7:A27)+1)</f>
        <v>20</v>
      </c>
      <c r="C28" s="674">
        <f t="shared" si="13"/>
        <v>45504</v>
      </c>
      <c r="E28" s="680">
        <f>E25</f>
        <v>8.5000000000000006E-2</v>
      </c>
      <c r="F28" s="1057"/>
      <c r="G28" s="669">
        <f>E28/365*DAY(EOMONTH(C28,0))</f>
        <v>7.2191780821917817E-3</v>
      </c>
      <c r="I28" s="678">
        <f>I27+M27</f>
        <v>1.0886148891866958</v>
      </c>
      <c r="K28" s="678">
        <f t="shared" si="5"/>
        <v>7.8589047479642304E-3</v>
      </c>
      <c r="M28" s="678">
        <v>0</v>
      </c>
    </row>
    <row r="29" spans="1:13">
      <c r="A29" s="672">
        <f>IF(ISBLANK(I29)=TRUE,"",MAX($A$7:A28)+1)</f>
        <v>21</v>
      </c>
      <c r="C29" s="674">
        <f t="shared" si="13"/>
        <v>45535</v>
      </c>
      <c r="E29" s="669">
        <f>E28</f>
        <v>8.5000000000000006E-2</v>
      </c>
      <c r="F29" s="1057"/>
      <c r="G29" s="669">
        <f>E29/365*DAY(EOMONTH(C29,0))</f>
        <v>7.2191780821917817E-3</v>
      </c>
      <c r="I29" s="678">
        <f>I28</f>
        <v>1.0886148891866958</v>
      </c>
      <c r="K29" s="678">
        <f>G29*I29</f>
        <v>7.8589047479642304E-3</v>
      </c>
      <c r="M29" s="678">
        <v>0</v>
      </c>
    </row>
    <row r="30" spans="1:13">
      <c r="A30" s="672">
        <f>IF(ISBLANK(I30)=TRUE,"",MAX($A$7:A29)+1)</f>
        <v>22</v>
      </c>
      <c r="C30" s="674">
        <f t="shared" si="13"/>
        <v>45565</v>
      </c>
      <c r="E30" s="678">
        <f>E29</f>
        <v>8.5000000000000006E-2</v>
      </c>
      <c r="F30" s="1057"/>
      <c r="G30" s="678">
        <f>E30/365*DAY(EOMONTH(C30,0))</f>
        <v>6.9863013698630147E-3</v>
      </c>
      <c r="I30" s="679">
        <f t="shared" ref="I30" si="16">I29</f>
        <v>1.0886148891866958</v>
      </c>
      <c r="K30" s="678">
        <f>G30*I30</f>
        <v>7.6053916915782864E-3</v>
      </c>
      <c r="M30" s="678">
        <f>M29+SUM(K28:K30)</f>
        <v>2.3323201187506748E-2</v>
      </c>
    </row>
    <row r="31" spans="1:13">
      <c r="A31" s="672">
        <f>IF(ISBLANK(I31)=TRUE,"",MAX($A$7:A30)+1)</f>
        <v>23</v>
      </c>
      <c r="C31" s="674">
        <f>EOMONTH(C30,1)</f>
        <v>45596</v>
      </c>
      <c r="E31" s="680">
        <f>E28</f>
        <v>8.5000000000000006E-2</v>
      </c>
      <c r="F31" s="1057"/>
      <c r="G31" s="678">
        <f>E31/365*DAY(EOMONTH(C31,0))</f>
        <v>7.2191780821917817E-3</v>
      </c>
      <c r="I31" s="678">
        <f>I30+M30</f>
        <v>1.1119380903742027</v>
      </c>
      <c r="K31" s="678">
        <f>G31*I31</f>
        <v>8.0272790907836289E-3</v>
      </c>
      <c r="M31" s="678">
        <v>0</v>
      </c>
    </row>
    <row r="32" spans="1:13">
      <c r="A32" s="672">
        <f>IF(ISBLANK(I32)=TRUE,"",MAX($A$7:A31)+1)</f>
        <v>24</v>
      </c>
      <c r="C32" s="674">
        <f t="shared" si="13"/>
        <v>45626</v>
      </c>
      <c r="E32" s="678">
        <f>E31</f>
        <v>8.5000000000000006E-2</v>
      </c>
      <c r="F32" s="1057"/>
      <c r="G32" s="678">
        <f t="shared" si="12"/>
        <v>6.9863013698630147E-3</v>
      </c>
      <c r="I32" s="678">
        <f t="shared" ref="I32:I33" si="17">I31</f>
        <v>1.1119380903742027</v>
      </c>
      <c r="K32" s="678">
        <f t="shared" si="5"/>
        <v>7.768334603984157E-3</v>
      </c>
      <c r="M32" s="678">
        <v>0</v>
      </c>
    </row>
    <row r="33" spans="1:15">
      <c r="A33" s="672">
        <f>IF(ISBLANK(I33)=TRUE,"",MAX($A$7:A32)+1)</f>
        <v>25</v>
      </c>
      <c r="C33" s="674">
        <f t="shared" si="13"/>
        <v>45657</v>
      </c>
      <c r="E33" s="678">
        <f>E32</f>
        <v>8.5000000000000006E-2</v>
      </c>
      <c r="F33" s="1057"/>
      <c r="G33" s="678">
        <f>E33/365*DAY(EOMONTH(C33,0))</f>
        <v>7.2191780821917817E-3</v>
      </c>
      <c r="I33" s="679">
        <f t="shared" si="17"/>
        <v>1.1119380903742027</v>
      </c>
      <c r="K33" s="678">
        <f t="shared" si="5"/>
        <v>8.0272790907836289E-3</v>
      </c>
      <c r="M33" s="678">
        <f t="shared" ref="M33" si="18">M32+SUM(K31:K33)</f>
        <v>2.3822892785551414E-2</v>
      </c>
    </row>
    <row r="34" spans="1:15">
      <c r="A34" s="672" t="str">
        <f>IF(ISBLANK(I34)=TRUE,"",MAX($A$7:A33)+1)</f>
        <v/>
      </c>
      <c r="C34" s="674"/>
      <c r="I34" s="678"/>
      <c r="J34" s="678"/>
      <c r="K34" s="678"/>
      <c r="M34" s="678"/>
    </row>
    <row r="35" spans="1:15">
      <c r="A35" s="672">
        <f>IF(ISBLANK(I35)=TRUE,"",MAX($A$7:A34)+1)</f>
        <v>26</v>
      </c>
      <c r="C35" s="674"/>
      <c r="G35" s="670" t="s">
        <v>692</v>
      </c>
      <c r="I35" s="678">
        <f>I33+M33</f>
        <v>1.1357609831597542</v>
      </c>
      <c r="K35" s="678"/>
      <c r="M35" s="678"/>
    </row>
    <row r="36" spans="1:15">
      <c r="A36" s="672" t="str">
        <f>IF(ISBLANK(I36)=TRUE,"",MAX($A$7:A35)+1)</f>
        <v/>
      </c>
      <c r="C36" s="674"/>
      <c r="G36" s="670"/>
      <c r="I36" s="678"/>
      <c r="K36" s="678"/>
      <c r="M36" s="678"/>
      <c r="N36" s="676"/>
    </row>
    <row r="37" spans="1:15">
      <c r="A37" s="672">
        <f>IF(ISBLANK(I37)=TRUE,"",MAX($A$7:A36)+1)</f>
        <v>27</v>
      </c>
      <c r="C37" s="674"/>
      <c r="G37" s="670" t="s">
        <v>693</v>
      </c>
      <c r="I37" s="678">
        <f>I35/12</f>
        <v>9.464674859664618E-2</v>
      </c>
      <c r="K37" s="678"/>
      <c r="M37" s="678"/>
    </row>
    <row r="38" spans="1:15">
      <c r="A38" s="672">
        <f>IF(ISBLANK(I38)=TRUE,"",MAX($A$7:A37)+1)</f>
        <v>28</v>
      </c>
      <c r="C38" s="674"/>
      <c r="E38" s="678"/>
      <c r="G38" s="840" t="s">
        <v>694</v>
      </c>
      <c r="H38" s="841" t="s">
        <v>686</v>
      </c>
      <c r="I38" s="680">
        <v>3.6701433667653796E-3</v>
      </c>
      <c r="K38" s="678" t="s">
        <v>1030</v>
      </c>
      <c r="M38" s="678"/>
      <c r="O38" s="949"/>
    </row>
    <row r="39" spans="1:15">
      <c r="A39" s="672">
        <f>IF(ISBLANK(I39)=TRUE,"",MAX($A$7:A38)+1)</f>
        <v>29</v>
      </c>
      <c r="C39" s="674"/>
      <c r="G39" s="670" t="s">
        <v>695</v>
      </c>
      <c r="I39" s="678">
        <f>SUM(I37:I38)</f>
        <v>9.8316891963411562E-2</v>
      </c>
      <c r="K39" s="678"/>
      <c r="M39" s="678"/>
    </row>
    <row r="40" spans="1:15">
      <c r="A40" s="672" t="str">
        <f>IF(ISBLANK(I40)=TRUE,"",MAX($A$7:A39)+1)</f>
        <v/>
      </c>
      <c r="C40" s="674"/>
      <c r="I40" s="678"/>
      <c r="K40" s="678"/>
      <c r="M40" s="678"/>
    </row>
    <row r="41" spans="1:15">
      <c r="A41" s="672">
        <f>IF(ISBLANK(I41)=TRUE,"",MAX($A$7:A40)+1)</f>
        <v>30</v>
      </c>
      <c r="C41" s="674">
        <f>EOMONTH(C33,1)</f>
        <v>45688</v>
      </c>
      <c r="E41" s="678">
        <f>$E$31</f>
        <v>8.5000000000000006E-2</v>
      </c>
      <c r="G41" s="669">
        <f>E41/365*DAY(EOMONTH(C41,0))</f>
        <v>7.2191780821917817E-3</v>
      </c>
      <c r="I41" s="678">
        <f>$I$35-($I$39*A7)</f>
        <v>1.0374440911963425</v>
      </c>
      <c r="K41" s="678">
        <f>G41*I41</f>
        <v>7.4894936446640078E-3</v>
      </c>
      <c r="M41" s="678">
        <v>0</v>
      </c>
    </row>
    <row r="42" spans="1:15">
      <c r="A42" s="672">
        <f>IF(ISBLANK(I42)=TRUE,"",MAX($A$7:A41)+1)</f>
        <v>31</v>
      </c>
      <c r="C42" s="674">
        <f>EOMONTH(C41,1)</f>
        <v>45716</v>
      </c>
      <c r="E42" s="678">
        <f>E41</f>
        <v>8.5000000000000006E-2</v>
      </c>
      <c r="G42" s="669">
        <f>E42/365*DAY(EOMONTH(C42,0))</f>
        <v>6.5205479452054805E-3</v>
      </c>
      <c r="I42" s="678">
        <f>I41-$I$39</f>
        <v>0.93912719923293098</v>
      </c>
      <c r="K42" s="678">
        <f t="shared" si="5"/>
        <v>6.1236239292448659E-3</v>
      </c>
      <c r="M42" s="678">
        <v>0</v>
      </c>
    </row>
    <row r="43" spans="1:15">
      <c r="A43" s="672">
        <f>IF(ISBLANK(I43)=TRUE,"",MAX($A$7:A42)+1)</f>
        <v>32</v>
      </c>
      <c r="C43" s="674">
        <f t="shared" ref="C43:C52" si="19">EOMONTH(C42,1)</f>
        <v>45747</v>
      </c>
      <c r="E43" s="678">
        <f t="shared" ref="E43:E52" si="20">E42</f>
        <v>8.5000000000000006E-2</v>
      </c>
      <c r="G43" s="669">
        <f t="shared" ref="G43:G52" si="21">E43/365*DAY(EOMONTH(C43,0))</f>
        <v>7.2191780821917817E-3</v>
      </c>
      <c r="I43" s="679">
        <f t="shared" ref="I43:I52" si="22">I42-$I$39</f>
        <v>0.84081030726951944</v>
      </c>
      <c r="K43" s="678">
        <f t="shared" si="5"/>
        <v>6.0699593415210517E-3</v>
      </c>
      <c r="M43" s="678">
        <f>M42+SUM(K41:K43)</f>
        <v>1.9683076915429924E-2</v>
      </c>
      <c r="O43" s="677"/>
    </row>
    <row r="44" spans="1:15">
      <c r="A44" s="672">
        <f>IF(ISBLANK(I44)=TRUE,"",MAX($A$7:A43)+1)</f>
        <v>33</v>
      </c>
      <c r="C44" s="674">
        <f t="shared" si="19"/>
        <v>45777</v>
      </c>
      <c r="E44" s="678">
        <f>E43</f>
        <v>8.5000000000000006E-2</v>
      </c>
      <c r="G44" s="669">
        <f t="shared" si="21"/>
        <v>6.9863013698630147E-3</v>
      </c>
      <c r="I44" s="678">
        <f>I43-$I$39+M43</f>
        <v>0.76217649222153783</v>
      </c>
      <c r="K44" s="678">
        <f t="shared" si="5"/>
        <v>5.3247946716847173E-3</v>
      </c>
      <c r="M44" s="678">
        <v>0</v>
      </c>
    </row>
    <row r="45" spans="1:15">
      <c r="A45" s="672">
        <f>IF(ISBLANK(I45)=TRUE,"",MAX($A$7:A44)+1)</f>
        <v>34</v>
      </c>
      <c r="C45" s="674">
        <f t="shared" si="19"/>
        <v>45808</v>
      </c>
      <c r="E45" s="678">
        <f>E44</f>
        <v>8.5000000000000006E-2</v>
      </c>
      <c r="G45" s="669">
        <f t="shared" si="21"/>
        <v>7.2191780821917817E-3</v>
      </c>
      <c r="I45" s="678">
        <f t="shared" ref="I45" si="23">I44-$I$39</f>
        <v>0.66385960025812629</v>
      </c>
      <c r="K45" s="678">
        <f t="shared" si="5"/>
        <v>4.7925206758360631E-3</v>
      </c>
      <c r="M45" s="678">
        <v>0</v>
      </c>
    </row>
    <row r="46" spans="1:15">
      <c r="A46" s="672">
        <f>IF(ISBLANK(I46)=TRUE,"",MAX($A$7:A45)+1)</f>
        <v>35</v>
      </c>
      <c r="C46" s="674">
        <f t="shared" si="19"/>
        <v>45838</v>
      </c>
      <c r="E46" s="678">
        <f>E45</f>
        <v>8.5000000000000006E-2</v>
      </c>
      <c r="G46" s="669">
        <f t="shared" si="21"/>
        <v>6.9863013698630147E-3</v>
      </c>
      <c r="I46" s="679">
        <f t="shared" si="22"/>
        <v>0.56554270829471476</v>
      </c>
      <c r="K46" s="678">
        <f t="shared" si="5"/>
        <v>3.9510517976754046E-3</v>
      </c>
      <c r="M46" s="678">
        <f t="shared" ref="M46" si="24">M45+SUM(K44:K46)</f>
        <v>1.4068367145196187E-2</v>
      </c>
      <c r="O46" s="677"/>
    </row>
    <row r="47" spans="1:15">
      <c r="A47" s="672">
        <f>IF(ISBLANK(I47)=TRUE,"",MAX($A$7:A46)+1)</f>
        <v>36</v>
      </c>
      <c r="C47" s="674">
        <f t="shared" si="19"/>
        <v>45869</v>
      </c>
      <c r="E47" s="678">
        <f>E46</f>
        <v>8.5000000000000006E-2</v>
      </c>
      <c r="G47" s="669">
        <f t="shared" si="21"/>
        <v>7.2191780821917817E-3</v>
      </c>
      <c r="I47" s="678">
        <f t="shared" ref="I47" si="25">I46-$I$39+M46</f>
        <v>0.48129418347649944</v>
      </c>
      <c r="K47" s="678">
        <f t="shared" si="5"/>
        <v>3.4745484204399346E-3</v>
      </c>
      <c r="M47" s="678">
        <v>0</v>
      </c>
    </row>
    <row r="48" spans="1:15">
      <c r="A48" s="672">
        <f>IF(ISBLANK(I48)=TRUE,"",MAX($A$7:A47)+1)</f>
        <v>37</v>
      </c>
      <c r="C48" s="674">
        <f t="shared" si="19"/>
        <v>45900</v>
      </c>
      <c r="E48" s="678">
        <f>E47</f>
        <v>8.5000000000000006E-2</v>
      </c>
      <c r="G48" s="669">
        <f t="shared" si="21"/>
        <v>7.2191780821917817E-3</v>
      </c>
      <c r="I48" s="678">
        <f t="shared" ref="I48" si="26">I47-$I$39</f>
        <v>0.3829772915130879</v>
      </c>
      <c r="K48" s="678">
        <f t="shared" si="5"/>
        <v>2.764781268868457E-3</v>
      </c>
      <c r="M48" s="678">
        <v>0</v>
      </c>
    </row>
    <row r="49" spans="1:15">
      <c r="A49" s="672">
        <f>IF(ISBLANK(I49)=TRUE,"",MAX($A$7:A48)+1)</f>
        <v>38</v>
      </c>
      <c r="C49" s="674">
        <f t="shared" si="19"/>
        <v>45930</v>
      </c>
      <c r="E49" s="678">
        <f t="shared" si="20"/>
        <v>8.5000000000000006E-2</v>
      </c>
      <c r="G49" s="669">
        <f t="shared" si="21"/>
        <v>6.9863013698630147E-3</v>
      </c>
      <c r="I49" s="679">
        <f t="shared" si="22"/>
        <v>0.28466039954967637</v>
      </c>
      <c r="K49" s="678">
        <f t="shared" si="5"/>
        <v>1.988723339319657E-3</v>
      </c>
      <c r="M49" s="678">
        <f t="shared" ref="M49" si="27">M48+SUM(K47:K49)</f>
        <v>8.2280530286280486E-3</v>
      </c>
      <c r="O49" s="677"/>
    </row>
    <row r="50" spans="1:15">
      <c r="A50" s="672">
        <f>IF(ISBLANK(I50)=TRUE,"",MAX($A$7:A49)+1)</f>
        <v>39</v>
      </c>
      <c r="C50" s="674">
        <f t="shared" si="19"/>
        <v>45961</v>
      </c>
      <c r="E50" s="678">
        <f t="shared" si="20"/>
        <v>8.5000000000000006E-2</v>
      </c>
      <c r="G50" s="669">
        <f t="shared" si="21"/>
        <v>7.2191780821917817E-3</v>
      </c>
      <c r="I50" s="678">
        <f t="shared" ref="I50" si="28">I49-$I$39+M49</f>
        <v>0.19457156061489286</v>
      </c>
      <c r="K50" s="678">
        <f t="shared" si="5"/>
        <v>1.4046467458088843E-3</v>
      </c>
      <c r="M50" s="678">
        <v>0</v>
      </c>
    </row>
    <row r="51" spans="1:15">
      <c r="A51" s="672">
        <f>IF(ISBLANK(I51)=TRUE,"",MAX($A$7:A50)+1)</f>
        <v>40</v>
      </c>
      <c r="C51" s="674">
        <f t="shared" si="19"/>
        <v>45991</v>
      </c>
      <c r="E51" s="678">
        <f t="shared" si="20"/>
        <v>8.5000000000000006E-2</v>
      </c>
      <c r="G51" s="669">
        <f t="shared" si="21"/>
        <v>6.9863013698630147E-3</v>
      </c>
      <c r="I51" s="678">
        <f t="shared" ref="I51" si="29">I50-$I$39</f>
        <v>9.6254668651481301E-2</v>
      </c>
      <c r="K51" s="678">
        <f t="shared" si="5"/>
        <v>6.7246412345555438E-4</v>
      </c>
      <c r="M51" s="678">
        <v>0</v>
      </c>
    </row>
    <row r="52" spans="1:15">
      <c r="A52" s="672">
        <f>IF(ISBLANK(I52)=TRUE,"",MAX($A$7:A51)+1)</f>
        <v>41</v>
      </c>
      <c r="C52" s="674">
        <f t="shared" si="19"/>
        <v>46022</v>
      </c>
      <c r="E52" s="678">
        <f t="shared" si="20"/>
        <v>8.5000000000000006E-2</v>
      </c>
      <c r="G52" s="669">
        <f t="shared" si="21"/>
        <v>7.2191780821917817E-3</v>
      </c>
      <c r="I52" s="679">
        <f t="shared" si="22"/>
        <v>-2.0622233119302613E-3</v>
      </c>
      <c r="K52" s="678">
        <f>G52*I52</f>
        <v>-1.4887557334071889E-5</v>
      </c>
      <c r="M52" s="678">
        <f>M51+SUM(K50:K52)</f>
        <v>2.0622233119303667E-3</v>
      </c>
      <c r="O52" s="677"/>
    </row>
    <row r="53" spans="1:15">
      <c r="A53" s="672" t="str">
        <f>IF(ISBLANK(I53)=TRUE,"",MAX($A$7:A52)+1)</f>
        <v/>
      </c>
      <c r="I53" s="678"/>
      <c r="J53" s="678"/>
      <c r="K53" s="678"/>
      <c r="M53" s="678"/>
    </row>
    <row r="54" spans="1:15">
      <c r="A54" s="672">
        <f>IF(ISBLANK(I54)=TRUE,"",MAX($A$7:A53)+1)</f>
        <v>42</v>
      </c>
      <c r="G54" s="670" t="s">
        <v>696</v>
      </c>
      <c r="I54" s="678">
        <f>I52+M52</f>
        <v>1.0538445116559103E-16</v>
      </c>
      <c r="K54" s="678"/>
      <c r="M54" s="678"/>
      <c r="O54" s="677"/>
    </row>
    <row r="55" spans="1:15">
      <c r="A55" s="672" t="str">
        <f>IF(ISBLANK(I55)=TRUE,"",MAX($A$7:A54)+1)</f>
        <v/>
      </c>
      <c r="I55" s="678"/>
      <c r="K55" s="678"/>
      <c r="M55" s="678"/>
    </row>
    <row r="56" spans="1:15">
      <c r="A56" s="672">
        <f>IF(ISBLANK(I56)=TRUE,"",MAX($A$7:A55)+1)</f>
        <v>43</v>
      </c>
      <c r="G56" s="670" t="s">
        <v>697</v>
      </c>
      <c r="I56" s="678">
        <f>I39*12</f>
        <v>1.1798027035609389</v>
      </c>
      <c r="K56" s="678"/>
      <c r="M56" s="678"/>
    </row>
    <row r="57" spans="1:15">
      <c r="A57" s="672">
        <f>IF(ISBLANK(I57)=TRUE,"",MAX($A$7:A56)+1)</f>
        <v>44</v>
      </c>
      <c r="G57" s="670" t="s">
        <v>698</v>
      </c>
      <c r="H57" s="671" t="s">
        <v>641</v>
      </c>
      <c r="I57" s="679">
        <v>1</v>
      </c>
      <c r="K57" s="678"/>
      <c r="M57" s="678"/>
    </row>
    <row r="58" spans="1:15">
      <c r="A58" s="672">
        <f>IF(ISBLANK(I58)=TRUE,"",MAX($A$7:A57)+1)</f>
        <v>45</v>
      </c>
      <c r="G58" s="670" t="s">
        <v>699</v>
      </c>
      <c r="I58" s="678">
        <f>I56-I57</f>
        <v>0.17980270356093886</v>
      </c>
      <c r="K58" s="678"/>
      <c r="M58" s="678"/>
    </row>
    <row r="59" spans="1:15">
      <c r="A59" s="672" t="str">
        <f>IF(ISBLANK(I59)=TRUE,"",MAX($A$7:A58)+1)</f>
        <v/>
      </c>
    </row>
    <row r="60" spans="1:15">
      <c r="A60" s="672" t="str">
        <f>IF(ISBLANK(I60)=TRUE,"",MAX($A$7:A59)+1)</f>
        <v/>
      </c>
    </row>
    <row r="61" spans="1:15">
      <c r="A61" s="672">
        <f>IF(ISBLANK(G61)=TRUE,"",MAX($A$7:A60)+1)</f>
        <v>46</v>
      </c>
      <c r="C61" s="678"/>
      <c r="E61" s="678"/>
      <c r="G61" s="684" t="s">
        <v>795</v>
      </c>
      <c r="H61" s="684"/>
      <c r="I61" s="803">
        <f>'Attachment 13b - PJM Billings'!L37</f>
        <v>21963788.399999995</v>
      </c>
      <c r="J61" s="804"/>
      <c r="K61" s="689"/>
      <c r="L61" s="669"/>
      <c r="M61" s="671"/>
    </row>
    <row r="62" spans="1:15">
      <c r="A62" s="672">
        <f>IF(ISBLANK(G62)=TRUE,"",MAX($A$7:A61)+1)</f>
        <v>47</v>
      </c>
      <c r="B62" s="681"/>
      <c r="C62" s="681"/>
      <c r="E62" s="687">
        <v>2023</v>
      </c>
      <c r="G62" s="684" t="s">
        <v>914</v>
      </c>
      <c r="H62" s="690" t="s">
        <v>641</v>
      </c>
      <c r="I62" s="573">
        <f>'Attachment 12 - TEC True-up'!I34</f>
        <v>22726158.195614345</v>
      </c>
      <c r="J62" s="805"/>
      <c r="K62" s="689"/>
      <c r="L62" s="669"/>
      <c r="M62" s="671"/>
    </row>
    <row r="63" spans="1:15">
      <c r="A63" s="672">
        <f>IF(ISBLANK(G63)=TRUE,"",MAX($A$7:A62)+1)</f>
        <v>48</v>
      </c>
      <c r="C63" s="682"/>
      <c r="E63" s="682"/>
      <c r="G63" s="684" t="s">
        <v>700</v>
      </c>
      <c r="H63" s="684"/>
      <c r="I63" s="800">
        <f>I61-I62</f>
        <v>-762369.79561435059</v>
      </c>
      <c r="J63" s="806"/>
      <c r="K63" s="689"/>
      <c r="L63" s="669"/>
      <c r="M63" s="671"/>
    </row>
    <row r="64" spans="1:15">
      <c r="A64" s="672">
        <f>IF(ISBLANK(G64)=TRUE,"",MAX($A$7:A63)+1)</f>
        <v>49</v>
      </c>
      <c r="C64" s="682"/>
      <c r="E64" s="683"/>
      <c r="G64" s="684" t="str">
        <f>"Interest (Line "&amp;A58&amp;" "&amp;CHAR(215)&amp;" Line "&amp;A63&amp;"):"</f>
        <v>Interest (Line 45 × Line 48):</v>
      </c>
      <c r="H64" s="690" t="s">
        <v>686</v>
      </c>
      <c r="I64" s="801">
        <f>I58*I63</f>
        <v>-137076.15036466063</v>
      </c>
      <c r="J64" s="806"/>
      <c r="K64" s="689"/>
      <c r="L64" s="669"/>
      <c r="M64" s="671"/>
    </row>
    <row r="65" spans="1:13" ht="16.2" thickBot="1">
      <c r="A65" s="672">
        <f>IF(ISBLANK(G65)=TRUE,"",MAX($A$7:A64)+1)</f>
        <v>50</v>
      </c>
      <c r="C65" s="682"/>
      <c r="E65" s="682"/>
      <c r="G65" s="684" t="s">
        <v>701</v>
      </c>
      <c r="H65" s="684"/>
      <c r="I65" s="802">
        <f>I63+I64</f>
        <v>-899445.94597901125</v>
      </c>
      <c r="J65" s="806"/>
      <c r="K65" s="689"/>
      <c r="L65" s="669"/>
      <c r="M65" s="671"/>
    </row>
    <row r="66" spans="1:13" ht="16.2" thickTop="1">
      <c r="E66" s="682"/>
      <c r="G66" s="682"/>
    </row>
    <row r="67" spans="1:13">
      <c r="B67" s="688"/>
      <c r="C67" s="688" t="s">
        <v>153</v>
      </c>
      <c r="E67" s="682"/>
      <c r="G67" s="682"/>
    </row>
    <row r="68" spans="1:13" ht="15.75" customHeight="1">
      <c r="C68" s="887" t="s">
        <v>891</v>
      </c>
      <c r="D68" s="887"/>
      <c r="E68" s="887"/>
      <c r="F68" s="887"/>
      <c r="G68" s="887"/>
      <c r="H68" s="887"/>
      <c r="I68" s="887"/>
      <c r="J68" s="887"/>
      <c r="K68" s="887"/>
      <c r="L68" s="887"/>
    </row>
    <row r="69" spans="1:13" ht="15.6" customHeight="1">
      <c r="C69" s="1016" t="s">
        <v>899</v>
      </c>
      <c r="D69" s="1016"/>
      <c r="E69" s="1016"/>
      <c r="F69" s="1016"/>
      <c r="G69" s="1016"/>
      <c r="H69" s="1016"/>
      <c r="I69" s="1016"/>
      <c r="J69" s="1016"/>
      <c r="K69" s="1016"/>
      <c r="L69" s="1016"/>
      <c r="M69" s="1016"/>
    </row>
    <row r="70" spans="1:13">
      <c r="C70" s="1016"/>
      <c r="D70" s="1016"/>
      <c r="E70" s="1016"/>
      <c r="F70" s="1016"/>
      <c r="G70" s="1016"/>
      <c r="H70" s="1016"/>
      <c r="I70" s="1016"/>
      <c r="J70" s="1016"/>
      <c r="K70" s="1016"/>
      <c r="L70" s="1016"/>
      <c r="M70" s="1016"/>
    </row>
    <row r="71" spans="1:13">
      <c r="C71" s="1016"/>
      <c r="D71" s="1016"/>
      <c r="E71" s="1016"/>
      <c r="F71" s="1016"/>
      <c r="G71" s="1016"/>
      <c r="H71" s="1016"/>
      <c r="I71" s="1016"/>
      <c r="J71" s="1016"/>
      <c r="K71" s="1016"/>
      <c r="L71" s="1016"/>
      <c r="M71" s="1016"/>
    </row>
    <row r="72" spans="1:13">
      <c r="C72" s="1016"/>
      <c r="D72" s="1016"/>
      <c r="E72" s="1016"/>
      <c r="F72" s="1016"/>
      <c r="G72" s="1016"/>
      <c r="H72" s="1016"/>
      <c r="I72" s="1016"/>
      <c r="J72" s="1016"/>
      <c r="K72" s="1016"/>
      <c r="L72" s="1016"/>
      <c r="M72" s="1016"/>
    </row>
    <row r="73" spans="1:13">
      <c r="C73" s="1016"/>
      <c r="D73" s="1016"/>
      <c r="E73" s="1016"/>
      <c r="F73" s="1016"/>
      <c r="G73" s="1016"/>
      <c r="H73" s="1016"/>
      <c r="I73" s="1016"/>
      <c r="J73" s="1016"/>
      <c r="K73" s="1016"/>
      <c r="L73" s="1016"/>
      <c r="M73" s="1016"/>
    </row>
    <row r="74" spans="1:13">
      <c r="C74" s="1016"/>
      <c r="D74" s="1016"/>
      <c r="E74" s="1016"/>
      <c r="F74" s="1016"/>
      <c r="G74" s="1016"/>
      <c r="H74" s="1016"/>
      <c r="I74" s="1016"/>
      <c r="J74" s="1016"/>
      <c r="K74" s="1016"/>
      <c r="L74" s="1016"/>
      <c r="M74" s="1016"/>
    </row>
    <row r="75" spans="1:13">
      <c r="C75" s="887" t="s">
        <v>977</v>
      </c>
      <c r="E75" s="794"/>
      <c r="F75" s="794"/>
      <c r="G75" s="794"/>
      <c r="H75" s="794"/>
      <c r="I75" s="794"/>
      <c r="K75" s="678"/>
      <c r="M75" s="678"/>
    </row>
    <row r="76" spans="1:13">
      <c r="E76" s="794"/>
      <c r="F76" s="794"/>
      <c r="G76" s="794"/>
      <c r="H76" s="794"/>
      <c r="I76" s="794"/>
    </row>
    <row r="77" spans="1:13">
      <c r="E77" s="794"/>
      <c r="F77" s="794"/>
      <c r="G77" s="794"/>
      <c r="H77" s="794"/>
      <c r="I77" s="794"/>
    </row>
    <row r="78" spans="1:13">
      <c r="E78" s="794"/>
      <c r="F78" s="794"/>
      <c r="G78" s="794"/>
      <c r="H78" s="794"/>
      <c r="I78" s="794"/>
    </row>
    <row r="79" spans="1:13">
      <c r="E79" s="794"/>
      <c r="F79" s="794"/>
      <c r="G79" s="794"/>
      <c r="H79" s="794"/>
      <c r="I79" s="794"/>
    </row>
    <row r="80" spans="1:13">
      <c r="E80" s="794"/>
      <c r="F80" s="794"/>
      <c r="G80" s="794"/>
      <c r="H80" s="794"/>
      <c r="I80" s="794"/>
    </row>
    <row r="81" spans="5:9">
      <c r="E81" s="794"/>
      <c r="F81" s="794"/>
      <c r="G81" s="794"/>
      <c r="H81" s="794"/>
      <c r="I81" s="794"/>
    </row>
    <row r="82" spans="5:9">
      <c r="E82" s="794"/>
      <c r="F82" s="794"/>
      <c r="G82" s="794"/>
      <c r="H82" s="794"/>
      <c r="I82" s="794"/>
    </row>
    <row r="83" spans="5:9">
      <c r="E83" s="794"/>
      <c r="F83" s="794"/>
      <c r="G83" s="794"/>
      <c r="H83" s="794"/>
      <c r="I83" s="794"/>
    </row>
    <row r="84" spans="5:9">
      <c r="E84" s="794"/>
      <c r="F84" s="794"/>
      <c r="G84" s="794"/>
      <c r="H84" s="794"/>
      <c r="I84" s="794"/>
    </row>
  </sheetData>
  <mergeCells count="1">
    <mergeCell ref="C69:M74"/>
  </mergeCells>
  <pageMargins left="0.25" right="0.25" top="0.75" bottom="0.75" header="0.3" footer="0.3"/>
  <pageSetup scale="58" orientation="portrait" r:id="rId1"/>
  <headerFooter>
    <oddHeader xml:space="preserve">&amp;R&amp;"Times New Roman,Regular"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pageSetUpPr fitToPage="1"/>
  </sheetPr>
  <dimension ref="B1:Y105"/>
  <sheetViews>
    <sheetView zoomScale="70" zoomScaleNormal="70" zoomScalePageLayoutView="70" workbookViewId="0">
      <selection activeCell="F1" sqref="F1"/>
    </sheetView>
  </sheetViews>
  <sheetFormatPr defaultColWidth="8.81640625" defaultRowHeight="15.6"/>
  <cols>
    <col min="1" max="1" width="1.453125" style="1" customWidth="1"/>
    <col min="2" max="2" width="4.26953125" style="565" bestFit="1" customWidth="1"/>
    <col min="3" max="3" width="1.453125" style="1" customWidth="1"/>
    <col min="4" max="4" width="8.81640625" style="16"/>
    <col min="5" max="5" width="1.453125" style="1" customWidth="1"/>
    <col min="6" max="6" width="18.81640625" style="570" customWidth="1"/>
    <col min="7" max="7" width="1.453125" style="1" customWidth="1"/>
    <col min="8" max="8" width="12.26953125" style="570" bestFit="1" customWidth="1"/>
    <col min="9" max="9" width="1.453125" style="1" customWidth="1"/>
    <col min="10" max="10" width="12.26953125" style="570" bestFit="1" customWidth="1"/>
    <col min="11" max="11" width="1.453125" style="1" customWidth="1"/>
    <col min="12" max="12" width="14.26953125" style="570" customWidth="1"/>
    <col min="13" max="14" width="8.81640625" style="1"/>
    <col min="15" max="15" width="13.453125" style="1" bestFit="1" customWidth="1"/>
    <col min="16" max="16384" width="8.81640625" style="1"/>
  </cols>
  <sheetData>
    <row r="1" spans="2:24">
      <c r="J1" s="671" t="s">
        <v>983</v>
      </c>
      <c r="K1" s="671"/>
      <c r="L1" s="671"/>
    </row>
    <row r="2" spans="2:24">
      <c r="J2" s="671" t="s">
        <v>144</v>
      </c>
      <c r="K2" s="671"/>
      <c r="L2" s="671"/>
    </row>
    <row r="3" spans="2:24">
      <c r="J3" s="671" t="str">
        <f>'Attachment 13a - TEC True-Up'!K3</f>
        <v>For the 12 months ended 12/31/2023</v>
      </c>
      <c r="K3" s="671"/>
      <c r="L3" s="671"/>
    </row>
    <row r="4" spans="2:24">
      <c r="F4" s="559"/>
    </row>
    <row r="5" spans="2:24">
      <c r="D5" s="620" t="s">
        <v>627</v>
      </c>
      <c r="E5" s="600"/>
      <c r="F5" s="620" t="str">
        <f>"("&amp;CHAR(CODE(MID(D5,2,1))+1)&amp;")"</f>
        <v>(B)</v>
      </c>
      <c r="H5" s="620" t="str">
        <f t="shared" ref="H5" si="0">"("&amp;CHAR(CODE(MID(F5,2,1))+1)&amp;")"</f>
        <v>(C)</v>
      </c>
      <c r="J5" s="620" t="str">
        <f t="shared" ref="J5" si="1">"("&amp;CHAR(CODE(MID(H5,2,1))+1)&amp;")"</f>
        <v>(D)</v>
      </c>
      <c r="L5" s="620" t="str">
        <f>"("&amp;CHAR(CODE(MID(J5,2,1))+1)&amp;")"</f>
        <v>(E)</v>
      </c>
    </row>
    <row r="6" spans="2:24">
      <c r="F6" s="897" t="s">
        <v>791</v>
      </c>
      <c r="G6" s="898"/>
      <c r="H6" s="795"/>
      <c r="I6" s="795"/>
      <c r="J6" s="899"/>
    </row>
    <row r="7" spans="2:24">
      <c r="B7" s="651" t="s">
        <v>5</v>
      </c>
      <c r="D7" s="647" t="s">
        <v>685</v>
      </c>
      <c r="F7" s="651" t="s">
        <v>792</v>
      </c>
      <c r="G7" s="652" t="s">
        <v>641</v>
      </c>
      <c r="H7" s="651" t="s">
        <v>880</v>
      </c>
      <c r="I7" s="652" t="s">
        <v>641</v>
      </c>
      <c r="J7" s="651" t="s">
        <v>1045</v>
      </c>
      <c r="K7" s="652" t="s">
        <v>60</v>
      </c>
      <c r="L7" s="647" t="s">
        <v>9</v>
      </c>
      <c r="N7" s="524"/>
    </row>
    <row r="8" spans="2:24">
      <c r="B8" s="565">
        <v>1</v>
      </c>
      <c r="D8" s="16" t="s">
        <v>158</v>
      </c>
      <c r="F8" s="569">
        <v>14198747.220000001</v>
      </c>
      <c r="H8" s="559"/>
      <c r="J8" s="559"/>
      <c r="L8" s="559">
        <f>F8-H8-J8</f>
        <v>14198747.220000001</v>
      </c>
      <c r="N8" s="828"/>
      <c r="O8" s="828"/>
      <c r="P8" s="828"/>
      <c r="Q8" s="828"/>
      <c r="R8" s="828"/>
      <c r="S8" s="828"/>
      <c r="T8" s="828"/>
      <c r="U8" s="828"/>
      <c r="V8" s="828"/>
      <c r="W8" s="828"/>
      <c r="X8" s="828"/>
    </row>
    <row r="9" spans="2:24">
      <c r="B9" s="565">
        <f>MAX($B$8:B8)+1</f>
        <v>2</v>
      </c>
      <c r="D9" s="16" t="s">
        <v>159</v>
      </c>
      <c r="F9" s="569">
        <v>12824675.189999999</v>
      </c>
      <c r="H9" s="559"/>
      <c r="J9" s="559"/>
      <c r="L9" s="559">
        <f t="shared" ref="L9:L19" si="2">F9-H9-J9</f>
        <v>12824675.189999999</v>
      </c>
    </row>
    <row r="10" spans="2:24">
      <c r="B10" s="565">
        <f>MAX($B$8:B9)+1</f>
        <v>3</v>
      </c>
      <c r="D10" s="16" t="s">
        <v>160</v>
      </c>
      <c r="F10" s="569">
        <v>14198748.189999999</v>
      </c>
      <c r="H10" s="559"/>
      <c r="J10" s="559"/>
      <c r="L10" s="559">
        <f t="shared" si="2"/>
        <v>14198748.189999999</v>
      </c>
    </row>
    <row r="11" spans="2:24">
      <c r="B11" s="565">
        <f>MAX($B$8:B10)+1</f>
        <v>4</v>
      </c>
      <c r="D11" s="16" t="s">
        <v>161</v>
      </c>
      <c r="F11" s="569">
        <v>13740723.859999999</v>
      </c>
      <c r="H11" s="559"/>
      <c r="J11" s="559"/>
      <c r="L11" s="559">
        <f t="shared" si="2"/>
        <v>13740723.859999999</v>
      </c>
    </row>
    <row r="12" spans="2:24">
      <c r="B12" s="565">
        <f>MAX($B$8:B11)+1</f>
        <v>5</v>
      </c>
      <c r="D12" s="16" t="s">
        <v>162</v>
      </c>
      <c r="F12" s="569">
        <v>14198746.76</v>
      </c>
      <c r="H12" s="559"/>
      <c r="J12" s="559"/>
      <c r="L12" s="559">
        <f t="shared" si="2"/>
        <v>14198746.76</v>
      </c>
    </row>
    <row r="13" spans="2:24">
      <c r="B13" s="565">
        <f>MAX($B$8:B12)+1</f>
        <v>6</v>
      </c>
      <c r="D13" s="16" t="s">
        <v>173</v>
      </c>
      <c r="F13" s="569">
        <v>13740722.73</v>
      </c>
      <c r="H13" s="559"/>
      <c r="J13" s="559"/>
      <c r="L13" s="559">
        <f t="shared" si="2"/>
        <v>13740722.73</v>
      </c>
    </row>
    <row r="14" spans="2:24">
      <c r="B14" s="565">
        <f>MAX($B$8:B13)+1</f>
        <v>7</v>
      </c>
      <c r="D14" s="16" t="s">
        <v>163</v>
      </c>
      <c r="F14" s="569">
        <v>14198747.1</v>
      </c>
      <c r="H14" s="559"/>
      <c r="J14" s="559"/>
      <c r="L14" s="559">
        <f t="shared" si="2"/>
        <v>14198747.1</v>
      </c>
    </row>
    <row r="15" spans="2:24">
      <c r="B15" s="565">
        <f>MAX($B$8:B14)+1</f>
        <v>8</v>
      </c>
      <c r="D15" s="16" t="s">
        <v>164</v>
      </c>
      <c r="F15" s="569">
        <v>14198746.99</v>
      </c>
      <c r="H15" s="559"/>
      <c r="J15" s="559"/>
      <c r="L15" s="559">
        <f t="shared" si="2"/>
        <v>14198746.99</v>
      </c>
    </row>
    <row r="16" spans="2:24">
      <c r="B16" s="565">
        <f>MAX($B$8:B15)+1</f>
        <v>9</v>
      </c>
      <c r="D16" s="16" t="s">
        <v>165</v>
      </c>
      <c r="F16" s="569">
        <v>13740723.619999999</v>
      </c>
      <c r="H16" s="559"/>
      <c r="J16" s="559"/>
      <c r="L16" s="559">
        <f t="shared" si="2"/>
        <v>13740723.619999999</v>
      </c>
    </row>
    <row r="17" spans="2:12">
      <c r="B17" s="565">
        <f>MAX($B$8:B16)+1</f>
        <v>10</v>
      </c>
      <c r="D17" s="16" t="s">
        <v>167</v>
      </c>
      <c r="F17" s="569">
        <v>14198747.859999999</v>
      </c>
      <c r="H17" s="559"/>
      <c r="J17" s="559"/>
      <c r="L17" s="559">
        <f>F17-H17-J17</f>
        <v>14198747.859999999</v>
      </c>
    </row>
    <row r="18" spans="2:12">
      <c r="B18" s="565">
        <f>MAX($B$8:B17)+1</f>
        <v>11</v>
      </c>
      <c r="D18" s="16" t="s">
        <v>166</v>
      </c>
      <c r="F18" s="569">
        <v>13740724.58</v>
      </c>
      <c r="H18" s="559"/>
      <c r="J18" s="559"/>
      <c r="L18" s="559">
        <f t="shared" si="2"/>
        <v>13740724.58</v>
      </c>
    </row>
    <row r="19" spans="2:12">
      <c r="B19" s="565">
        <f>MAX($B$8:B18)+1</f>
        <v>12</v>
      </c>
      <c r="D19" s="16" t="s">
        <v>157</v>
      </c>
      <c r="F19" s="569">
        <v>14198748.359999999</v>
      </c>
      <c r="H19" s="573"/>
      <c r="J19" s="573"/>
      <c r="L19" s="559">
        <f t="shared" si="2"/>
        <v>14198748.359999999</v>
      </c>
    </row>
    <row r="20" spans="2:12">
      <c r="B20" s="565">
        <f>MAX($B$8:B19)+1</f>
        <v>13</v>
      </c>
      <c r="D20" s="16" t="s">
        <v>9</v>
      </c>
      <c r="F20" s="648">
        <f>SUM(F8:F19)</f>
        <v>167178802.45999998</v>
      </c>
      <c r="H20" s="569">
        <v>-16538992</v>
      </c>
      <c r="J20" s="569">
        <v>-328723</v>
      </c>
      <c r="L20" s="648">
        <f>F20-H20-J20</f>
        <v>184046517.45999998</v>
      </c>
    </row>
    <row r="21" spans="2:12">
      <c r="H21" s="559"/>
      <c r="J21" s="559"/>
    </row>
    <row r="22" spans="2:12">
      <c r="D22" s="620"/>
      <c r="E22" s="600"/>
      <c r="F22" s="744"/>
      <c r="H22" s="620"/>
      <c r="J22" s="620"/>
      <c r="L22" s="620"/>
    </row>
    <row r="23" spans="2:12">
      <c r="F23" s="897" t="s">
        <v>791</v>
      </c>
      <c r="G23" s="898"/>
      <c r="H23" s="899"/>
      <c r="I23" s="899"/>
      <c r="J23" s="899"/>
    </row>
    <row r="24" spans="2:12">
      <c r="B24" s="799"/>
      <c r="D24" s="647" t="s">
        <v>685</v>
      </c>
      <c r="F24" s="651" t="s">
        <v>794</v>
      </c>
      <c r="G24" s="652" t="s">
        <v>641</v>
      </c>
      <c r="H24" s="651" t="s">
        <v>880</v>
      </c>
      <c r="I24" s="652" t="s">
        <v>641</v>
      </c>
      <c r="J24" s="651" t="s">
        <v>1045</v>
      </c>
      <c r="K24" s="652" t="s">
        <v>60</v>
      </c>
      <c r="L24" s="647" t="s">
        <v>9</v>
      </c>
    </row>
    <row r="25" spans="2:12">
      <c r="B25" s="565">
        <f>B20+1</f>
        <v>14</v>
      </c>
      <c r="D25" s="16" t="s">
        <v>158</v>
      </c>
      <c r="F25" s="569">
        <v>1721268.45</v>
      </c>
      <c r="H25" s="559"/>
      <c r="J25" s="559"/>
      <c r="L25" s="559">
        <f>F25-H25-J25</f>
        <v>1721268.45</v>
      </c>
    </row>
    <row r="26" spans="2:12">
      <c r="B26" s="565">
        <f>B25+1</f>
        <v>15</v>
      </c>
      <c r="D26" s="16" t="s">
        <v>159</v>
      </c>
      <c r="F26" s="569">
        <v>1721268.45</v>
      </c>
      <c r="H26" s="559"/>
      <c r="J26" s="559"/>
      <c r="L26" s="559">
        <f t="shared" ref="L26:L36" si="3">F26-H26-J26</f>
        <v>1721268.45</v>
      </c>
    </row>
    <row r="27" spans="2:12">
      <c r="B27" s="565">
        <f t="shared" ref="B27:B37" si="4">B26+1</f>
        <v>16</v>
      </c>
      <c r="D27" s="16" t="s">
        <v>160</v>
      </c>
      <c r="F27" s="569">
        <v>1721268.45</v>
      </c>
      <c r="H27" s="559"/>
      <c r="J27" s="559"/>
      <c r="L27" s="559">
        <f t="shared" si="3"/>
        <v>1721268.45</v>
      </c>
    </row>
    <row r="28" spans="2:12">
      <c r="B28" s="565">
        <f t="shared" si="4"/>
        <v>17</v>
      </c>
      <c r="D28" s="16" t="s">
        <v>161</v>
      </c>
      <c r="F28" s="569">
        <v>1721268.45</v>
      </c>
      <c r="H28" s="559"/>
      <c r="J28" s="559"/>
      <c r="L28" s="559">
        <f t="shared" si="3"/>
        <v>1721268.45</v>
      </c>
    </row>
    <row r="29" spans="2:12">
      <c r="B29" s="565">
        <f t="shared" si="4"/>
        <v>18</v>
      </c>
      <c r="D29" s="16" t="s">
        <v>162</v>
      </c>
      <c r="F29" s="569">
        <v>1721268.45</v>
      </c>
      <c r="H29" s="559"/>
      <c r="J29" s="559"/>
      <c r="L29" s="559">
        <f>F29-H29-J29</f>
        <v>1721268.45</v>
      </c>
    </row>
    <row r="30" spans="2:12">
      <c r="B30" s="565">
        <f t="shared" si="4"/>
        <v>19</v>
      </c>
      <c r="D30" s="16" t="s">
        <v>173</v>
      </c>
      <c r="F30" s="569">
        <v>1721268.45</v>
      </c>
      <c r="H30" s="559"/>
      <c r="J30" s="559"/>
      <c r="L30" s="559">
        <f t="shared" si="3"/>
        <v>1721268.45</v>
      </c>
    </row>
    <row r="31" spans="2:12">
      <c r="B31" s="565">
        <f t="shared" si="4"/>
        <v>20</v>
      </c>
      <c r="D31" s="16" t="s">
        <v>163</v>
      </c>
      <c r="F31" s="569">
        <v>1721268.45</v>
      </c>
      <c r="H31" s="559"/>
      <c r="J31" s="559"/>
      <c r="L31" s="559">
        <f t="shared" si="3"/>
        <v>1721268.45</v>
      </c>
    </row>
    <row r="32" spans="2:12">
      <c r="B32" s="565">
        <f t="shared" si="4"/>
        <v>21</v>
      </c>
      <c r="D32" s="16" t="s">
        <v>164</v>
      </c>
      <c r="F32" s="569">
        <v>1721268.45</v>
      </c>
      <c r="H32" s="559"/>
      <c r="J32" s="559"/>
      <c r="L32" s="559">
        <f t="shared" si="3"/>
        <v>1721268.45</v>
      </c>
    </row>
    <row r="33" spans="2:25">
      <c r="B33" s="565">
        <f t="shared" si="4"/>
        <v>22</v>
      </c>
      <c r="D33" s="16" t="s">
        <v>165</v>
      </c>
      <c r="F33" s="569">
        <v>1721268.45</v>
      </c>
      <c r="H33" s="559"/>
      <c r="J33" s="559"/>
      <c r="L33" s="559">
        <f t="shared" si="3"/>
        <v>1721268.45</v>
      </c>
    </row>
    <row r="34" spans="2:25">
      <c r="B34" s="565">
        <f t="shared" si="4"/>
        <v>23</v>
      </c>
      <c r="D34" s="16" t="s">
        <v>167</v>
      </c>
      <c r="F34" s="569">
        <v>1721268.45</v>
      </c>
      <c r="H34" s="559"/>
      <c r="J34" s="559"/>
      <c r="L34" s="559">
        <f t="shared" si="3"/>
        <v>1721268.45</v>
      </c>
    </row>
    <row r="35" spans="2:25">
      <c r="B35" s="565">
        <f t="shared" si="4"/>
        <v>24</v>
      </c>
      <c r="D35" s="16" t="s">
        <v>166</v>
      </c>
      <c r="F35" s="569">
        <v>1721268.45</v>
      </c>
      <c r="H35" s="559"/>
      <c r="J35" s="559"/>
      <c r="L35" s="559">
        <f t="shared" si="3"/>
        <v>1721268.45</v>
      </c>
    </row>
    <row r="36" spans="2:25">
      <c r="B36" s="565">
        <f t="shared" si="4"/>
        <v>25</v>
      </c>
      <c r="D36" s="16" t="s">
        <v>157</v>
      </c>
      <c r="F36" s="569">
        <v>1721268.45</v>
      </c>
      <c r="H36" s="573"/>
      <c r="J36" s="573"/>
      <c r="L36" s="559">
        <f t="shared" si="3"/>
        <v>1721268.45</v>
      </c>
    </row>
    <row r="37" spans="2:25">
      <c r="B37" s="565">
        <f t="shared" si="4"/>
        <v>26</v>
      </c>
      <c r="D37" s="16" t="s">
        <v>9</v>
      </c>
      <c r="F37" s="648">
        <f>SUM(F25:F36)</f>
        <v>20655221.399999995</v>
      </c>
      <c r="H37" s="569">
        <v>-1295850</v>
      </c>
      <c r="J37" s="569">
        <v>-12717</v>
      </c>
      <c r="L37" s="648">
        <f>F37-H37-J37</f>
        <v>21963788.399999995</v>
      </c>
    </row>
    <row r="38" spans="2:25">
      <c r="F38" s="572"/>
      <c r="H38" s="559"/>
      <c r="J38" s="559"/>
      <c r="L38" s="572"/>
    </row>
    <row r="39" spans="2:25">
      <c r="F39" s="572"/>
      <c r="H39" s="559"/>
      <c r="J39" s="559"/>
      <c r="L39" s="572"/>
    </row>
    <row r="40" spans="2:25" ht="15.6" customHeight="1">
      <c r="D40" s="796" t="s">
        <v>153</v>
      </c>
      <c r="F40" s="649"/>
      <c r="H40" s="794"/>
      <c r="I40" s="794"/>
      <c r="J40" s="794"/>
    </row>
    <row r="41" spans="2:25" ht="33.6" customHeight="1">
      <c r="D41" s="1017" t="s">
        <v>998</v>
      </c>
      <c r="E41" s="1017"/>
      <c r="F41" s="1017"/>
      <c r="G41" s="1017"/>
      <c r="H41" s="1017"/>
      <c r="I41" s="1017"/>
      <c r="J41" s="1017"/>
      <c r="K41" s="1017"/>
      <c r="L41" s="1017"/>
    </row>
    <row r="42" spans="2:25" ht="15.6" customHeight="1">
      <c r="D42" s="1017" t="s">
        <v>1050</v>
      </c>
      <c r="E42" s="1017"/>
      <c r="F42" s="1017"/>
      <c r="G42" s="1017"/>
      <c r="H42" s="1017"/>
      <c r="I42" s="1017"/>
      <c r="J42" s="1017"/>
      <c r="K42" s="1017"/>
      <c r="L42" s="1017"/>
    </row>
    <row r="43" spans="2:25">
      <c r="D43" s="1017"/>
      <c r="E43" s="1017"/>
      <c r="F43" s="1017"/>
      <c r="G43" s="1017"/>
      <c r="H43" s="1017"/>
      <c r="I43" s="1017"/>
      <c r="J43" s="1017"/>
      <c r="K43" s="1017"/>
      <c r="L43" s="1017"/>
      <c r="N43" s="524"/>
    </row>
    <row r="44" spans="2:25">
      <c r="D44" s="941"/>
      <c r="E44" s="941"/>
      <c r="F44" s="941"/>
      <c r="G44" s="941"/>
      <c r="H44" s="941"/>
      <c r="I44" s="941"/>
      <c r="J44" s="941"/>
      <c r="K44" s="941"/>
      <c r="L44" s="941"/>
      <c r="N44" s="828"/>
      <c r="O44" s="828"/>
      <c r="P44" s="828"/>
      <c r="Q44" s="828"/>
      <c r="R44" s="828"/>
      <c r="S44" s="828"/>
      <c r="T44" s="828"/>
      <c r="U44" s="828"/>
      <c r="V44" s="828"/>
      <c r="W44" s="828"/>
      <c r="X44" s="828"/>
      <c r="Y44" s="828"/>
    </row>
    <row r="45" spans="2:25">
      <c r="F45" s="649"/>
      <c r="H45" s="794"/>
      <c r="I45" s="794"/>
      <c r="J45" s="794"/>
      <c r="N45" s="828"/>
      <c r="O45" s="828"/>
      <c r="P45" s="828"/>
      <c r="Q45" s="828"/>
      <c r="R45" s="828"/>
      <c r="S45" s="828"/>
      <c r="T45" s="828"/>
      <c r="U45" s="828"/>
      <c r="V45" s="828"/>
      <c r="W45" s="828"/>
      <c r="X45" s="828"/>
      <c r="Y45" s="828"/>
    </row>
    <row r="46" spans="2:25">
      <c r="F46" s="649"/>
      <c r="H46" s="794"/>
      <c r="I46" s="794"/>
      <c r="J46" s="794"/>
    </row>
    <row r="47" spans="2:25">
      <c r="F47" s="649"/>
      <c r="H47" s="794"/>
      <c r="I47" s="794"/>
      <c r="J47" s="794"/>
    </row>
    <row r="48" spans="2:25">
      <c r="F48" s="649"/>
      <c r="H48" s="794"/>
      <c r="I48" s="794"/>
      <c r="J48" s="794"/>
    </row>
    <row r="49" spans="6:10">
      <c r="F49" s="649"/>
      <c r="H49" s="794"/>
      <c r="I49" s="794"/>
      <c r="J49" s="794"/>
    </row>
    <row r="50" spans="6:10">
      <c r="F50" s="649"/>
    </row>
    <row r="51" spans="6:10">
      <c r="F51"/>
    </row>
    <row r="52" spans="6:10">
      <c r="F52"/>
    </row>
    <row r="53" spans="6:10">
      <c r="F53"/>
    </row>
    <row r="54" spans="6:10">
      <c r="F54"/>
    </row>
    <row r="55" spans="6:10">
      <c r="F55"/>
    </row>
    <row r="56" spans="6:10">
      <c r="F56"/>
    </row>
    <row r="57" spans="6:10">
      <c r="F57"/>
    </row>
    <row r="58" spans="6:10">
      <c r="F58"/>
    </row>
    <row r="59" spans="6:10">
      <c r="F59"/>
    </row>
    <row r="60" spans="6:10">
      <c r="F60"/>
    </row>
    <row r="61" spans="6:10">
      <c r="F61"/>
    </row>
    <row r="62" spans="6:10">
      <c r="F62"/>
    </row>
    <row r="63" spans="6:10">
      <c r="F63"/>
    </row>
    <row r="64" spans="6:10">
      <c r="F64"/>
    </row>
    <row r="65" spans="6:6">
      <c r="F65"/>
    </row>
    <row r="66" spans="6:6">
      <c r="F66"/>
    </row>
    <row r="67" spans="6:6">
      <c r="F67"/>
    </row>
    <row r="68" spans="6:6">
      <c r="F68"/>
    </row>
    <row r="69" spans="6:6">
      <c r="F69"/>
    </row>
    <row r="70" spans="6:6">
      <c r="F70"/>
    </row>
    <row r="71" spans="6:6">
      <c r="F71"/>
    </row>
    <row r="72" spans="6:6">
      <c r="F72"/>
    </row>
    <row r="73" spans="6:6">
      <c r="F73"/>
    </row>
    <row r="74" spans="6:6">
      <c r="F74"/>
    </row>
    <row r="75" spans="6:6">
      <c r="F75"/>
    </row>
    <row r="76" spans="6:6">
      <c r="F76"/>
    </row>
    <row r="77" spans="6:6">
      <c r="F77"/>
    </row>
    <row r="78" spans="6:6">
      <c r="F78"/>
    </row>
    <row r="79" spans="6:6">
      <c r="F79"/>
    </row>
    <row r="80" spans="6:6">
      <c r="F80"/>
    </row>
    <row r="81" spans="6:6">
      <c r="F81"/>
    </row>
    <row r="82" spans="6:6">
      <c r="F82"/>
    </row>
    <row r="83" spans="6:6">
      <c r="F83"/>
    </row>
    <row r="84" spans="6:6">
      <c r="F84"/>
    </row>
    <row r="85" spans="6:6">
      <c r="F85"/>
    </row>
    <row r="86" spans="6:6">
      <c r="F86"/>
    </row>
    <row r="87" spans="6:6">
      <c r="F87"/>
    </row>
    <row r="88" spans="6:6">
      <c r="F88"/>
    </row>
    <row r="89" spans="6:6">
      <c r="F89"/>
    </row>
    <row r="90" spans="6:6">
      <c r="F90"/>
    </row>
    <row r="91" spans="6:6">
      <c r="F91"/>
    </row>
    <row r="92" spans="6:6">
      <c r="F92" s="650"/>
    </row>
    <row r="93" spans="6:6">
      <c r="F93" s="650"/>
    </row>
    <row r="94" spans="6:6">
      <c r="F94" s="650"/>
    </row>
    <row r="95" spans="6:6">
      <c r="F95" s="650"/>
    </row>
    <row r="96" spans="6:6">
      <c r="F96" s="650"/>
    </row>
    <row r="97" spans="6:6">
      <c r="F97" s="650"/>
    </row>
    <row r="98" spans="6:6">
      <c r="F98" s="650"/>
    </row>
    <row r="99" spans="6:6">
      <c r="F99" s="650"/>
    </row>
    <row r="100" spans="6:6">
      <c r="F100" s="650"/>
    </row>
    <row r="101" spans="6:6">
      <c r="F101" s="650"/>
    </row>
    <row r="102" spans="6:6">
      <c r="F102" s="650"/>
    </row>
    <row r="103" spans="6:6">
      <c r="F103" s="650"/>
    </row>
    <row r="104" spans="6:6">
      <c r="F104" s="650"/>
    </row>
    <row r="105" spans="6:6">
      <c r="F105" s="650"/>
    </row>
  </sheetData>
  <mergeCells count="2">
    <mergeCell ref="D41:L41"/>
    <mergeCell ref="D42:L43"/>
  </mergeCells>
  <phoneticPr fontId="114" type="noConversion"/>
  <pageMargins left="0.25" right="0.25" top="0.75" bottom="0.75" header="0.3" footer="0.3"/>
  <pageSetup orientation="portrait" horizontalDpi="1200" verticalDpi="1200" r:id="rId1"/>
  <headerFooter>
    <oddHeader xml:space="preserve">&amp;R&amp;"Times New Roman,Regular"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J18"/>
  <sheetViews>
    <sheetView view="pageBreakPreview" zoomScale="75" zoomScaleNormal="75" zoomScaleSheetLayoutView="75" workbookViewId="0"/>
  </sheetViews>
  <sheetFormatPr defaultColWidth="7.08984375" defaultRowHeight="13.2"/>
  <cols>
    <col min="1" max="1" width="47.7265625" style="5" customWidth="1"/>
    <col min="2" max="2" width="7.08984375" style="5" customWidth="1"/>
    <col min="3" max="3" width="2.54296875" style="5" customWidth="1"/>
    <col min="4" max="4" width="10.7265625" style="5" bestFit="1" customWidth="1"/>
    <col min="5" max="8" width="7.08984375" style="5" customWidth="1"/>
    <col min="9" max="9" width="13.453125" style="5" customWidth="1"/>
    <col min="10" max="10" width="47.7265625" style="5" customWidth="1"/>
    <col min="11" max="16384" width="7.08984375" style="5"/>
  </cols>
  <sheetData>
    <row r="1" spans="2:10" ht="16.5" customHeight="1">
      <c r="G1" s="2"/>
      <c r="H1" s="1"/>
      <c r="J1" s="3" t="s">
        <v>449</v>
      </c>
    </row>
    <row r="2" spans="2:10" ht="16.5" customHeight="1">
      <c r="G2" s="2"/>
      <c r="H2" s="2"/>
      <c r="J2" s="3" t="s">
        <v>144</v>
      </c>
    </row>
    <row r="3" spans="2:10" ht="16.5" customHeight="1">
      <c r="G3" s="1"/>
      <c r="H3" s="2"/>
      <c r="J3" s="3" t="str">
        <f>'Attachment H-4A JCP&amp;L '!K4</f>
        <v>For the 12 months ended 12/31/2023</v>
      </c>
    </row>
    <row r="4" spans="2:10" ht="15.6">
      <c r="G4" s="1"/>
      <c r="H4" s="2"/>
      <c r="I4" s="3"/>
    </row>
    <row r="5" spans="2:10" ht="15.6">
      <c r="G5" s="1"/>
      <c r="H5" s="2"/>
      <c r="I5" s="3"/>
    </row>
    <row r="6" spans="2:10" ht="15.75" customHeight="1">
      <c r="B6" s="982" t="s">
        <v>145</v>
      </c>
      <c r="C6" s="982"/>
      <c r="D6" s="982"/>
      <c r="E6" s="982"/>
      <c r="F6" s="982"/>
      <c r="G6" s="982"/>
      <c r="H6" s="982"/>
      <c r="I6" s="982"/>
    </row>
    <row r="7" spans="2:10" ht="15.6">
      <c r="B7" s="4"/>
      <c r="C7" s="4"/>
      <c r="D7" s="7"/>
      <c r="E7" s="7"/>
      <c r="F7" s="6"/>
      <c r="G7" s="6" t="s">
        <v>3</v>
      </c>
      <c r="H7" s="6"/>
      <c r="I7" s="6"/>
    </row>
    <row r="8" spans="2:10" ht="15.6">
      <c r="B8" s="4"/>
      <c r="C8" s="4">
        <v>1</v>
      </c>
      <c r="D8" s="9">
        <f>'Attachment 20 - OpEx'!I8+'Attachment 20 - OpEx'!I9+'Attachment 20 - OpEx'!I10</f>
        <v>3261551</v>
      </c>
      <c r="E8" s="4" t="s">
        <v>890</v>
      </c>
      <c r="F8" s="4"/>
      <c r="G8" s="8"/>
      <c r="H8" s="8"/>
      <c r="I8" s="8"/>
    </row>
    <row r="9" spans="2:10" ht="15.6">
      <c r="B9" s="4"/>
      <c r="C9" s="4">
        <v>2</v>
      </c>
      <c r="D9" s="68">
        <v>173832.06</v>
      </c>
      <c r="E9" s="10" t="s">
        <v>112</v>
      </c>
      <c r="F9" s="8"/>
      <c r="G9" s="8"/>
      <c r="H9" s="8"/>
      <c r="I9" s="8"/>
    </row>
    <row r="10" spans="2:10" ht="15.6">
      <c r="B10" s="4"/>
      <c r="C10" s="4">
        <v>3</v>
      </c>
      <c r="D10" s="11">
        <f>D8-D9</f>
        <v>3087718.94</v>
      </c>
      <c r="E10" s="8" t="s">
        <v>113</v>
      </c>
      <c r="F10" s="4"/>
      <c r="G10" s="8"/>
      <c r="H10" s="8"/>
      <c r="I10" s="8"/>
    </row>
    <row r="11" spans="2:10" ht="7.5" customHeight="1">
      <c r="B11" s="4"/>
      <c r="C11" s="4"/>
      <c r="D11" s="4"/>
      <c r="E11" s="8"/>
      <c r="F11" s="8"/>
      <c r="G11" s="8"/>
      <c r="H11" s="8"/>
      <c r="I11" s="8"/>
    </row>
    <row r="12" spans="2:10" ht="15.6">
      <c r="B12" s="4"/>
      <c r="C12" s="4">
        <v>4</v>
      </c>
      <c r="D12" s="67">
        <v>21317377.359999999</v>
      </c>
      <c r="E12" s="8" t="s">
        <v>441</v>
      </c>
      <c r="F12" s="8"/>
      <c r="G12" s="8"/>
      <c r="H12" s="8"/>
      <c r="I12" s="8"/>
    </row>
    <row r="13" spans="2:10" ht="15.6">
      <c r="B13" s="8"/>
      <c r="C13" s="4">
        <v>5</v>
      </c>
      <c r="D13" s="12">
        <f>D10/D12</f>
        <v>0.14484516025849439</v>
      </c>
      <c r="E13" s="8" t="s">
        <v>154</v>
      </c>
      <c r="F13" s="8"/>
      <c r="G13" s="8"/>
      <c r="H13" s="8"/>
      <c r="I13" s="8"/>
    </row>
    <row r="14" spans="2:10" ht="15.6">
      <c r="B14" s="8"/>
      <c r="C14" s="8"/>
      <c r="D14" s="8"/>
      <c r="E14" s="8"/>
      <c r="F14" s="8"/>
      <c r="G14" s="8"/>
      <c r="H14" s="8"/>
      <c r="I14" s="8"/>
    </row>
    <row r="15" spans="2:10" ht="15.6">
      <c r="B15" s="15" t="s">
        <v>114</v>
      </c>
      <c r="D15" s="8"/>
      <c r="E15" s="8"/>
      <c r="F15" s="8"/>
      <c r="G15" s="8"/>
      <c r="H15" s="8"/>
      <c r="I15" s="8"/>
    </row>
    <row r="16" spans="2:10" ht="45.75" customHeight="1">
      <c r="B16" s="31" t="s">
        <v>75</v>
      </c>
      <c r="C16" s="980" t="s">
        <v>450</v>
      </c>
      <c r="D16" s="981"/>
      <c r="E16" s="981"/>
      <c r="F16" s="981"/>
      <c r="G16" s="981"/>
      <c r="H16" s="981"/>
      <c r="I16" s="981"/>
    </row>
    <row r="17" spans="2:9" ht="12" customHeight="1">
      <c r="B17" s="31"/>
      <c r="C17" s="13"/>
      <c r="D17" s="14"/>
      <c r="E17" s="14"/>
      <c r="F17" s="14"/>
      <c r="G17" s="14"/>
      <c r="H17" s="14"/>
      <c r="I17" s="14"/>
    </row>
    <row r="18" spans="2:9" ht="49.5" customHeight="1">
      <c r="B18" s="31" t="s">
        <v>76</v>
      </c>
      <c r="C18" s="980" t="s">
        <v>442</v>
      </c>
      <c r="D18" s="980"/>
      <c r="E18" s="980"/>
      <c r="F18" s="980"/>
      <c r="G18" s="980"/>
      <c r="H18" s="980"/>
      <c r="I18" s="980"/>
    </row>
  </sheetData>
  <customSheetViews>
    <customSheetView guid="{E1861F40-EBD5-44AE-868B-FDE0ED504D72}" showPageBreaks="1" printArea="1" view="pageBreakPreview">
      <selection activeCell="H4" sqref="H4"/>
      <pageMargins left="0.75" right="0.75" top="1" bottom="1" header="0.5" footer="0.5"/>
      <printOptions horizontalCentered="1"/>
      <pageSetup scale="76" orientation="portrait" r:id="rId1"/>
      <headerFooter alignWithMargins="0"/>
    </customSheetView>
  </customSheetViews>
  <mergeCells count="3">
    <mergeCell ref="C16:I16"/>
    <mergeCell ref="C18:I18"/>
    <mergeCell ref="B6:I6"/>
  </mergeCells>
  <phoneticPr fontId="50" type="noConversion"/>
  <printOptions horizontalCentered="1"/>
  <pageMargins left="0.7" right="0.7" top="0.75" bottom="0.75" header="0.3" footer="0.3"/>
  <pageSetup scale="45" fitToWidth="0" fitToHeight="0"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AR37"/>
  <sheetViews>
    <sheetView showWhiteSpace="0" zoomScale="80" zoomScaleNormal="80" zoomScalePageLayoutView="50" workbookViewId="0">
      <selection activeCell="C2" sqref="C2"/>
    </sheetView>
  </sheetViews>
  <sheetFormatPr defaultColWidth="5" defaultRowHeight="15.6"/>
  <cols>
    <col min="1" max="1" width="5.26953125" style="601" bestFit="1" customWidth="1"/>
    <col min="2" max="2" width="0.7265625" style="601" customWidth="1"/>
    <col min="3" max="3" width="49.08984375" style="600" customWidth="1"/>
    <col min="4" max="4" width="0.7265625" style="600" customWidth="1"/>
    <col min="5" max="5" width="14.7265625" style="600" customWidth="1"/>
    <col min="6" max="6" width="0.7265625" style="600" customWidth="1"/>
    <col min="7" max="7" width="13.08984375" style="602" customWidth="1"/>
    <col min="8" max="8" width="0.7265625" style="600" customWidth="1"/>
    <col min="9" max="9" width="16.08984375" style="602" customWidth="1"/>
    <col min="10" max="10" width="0.7265625" style="600" customWidth="1"/>
    <col min="11" max="11" width="16.08984375" style="602" customWidth="1"/>
    <col min="12" max="12" width="0.7265625" style="600" customWidth="1"/>
    <col min="13" max="13" width="16.08984375" style="602" customWidth="1"/>
    <col min="14" max="14" width="0.7265625" style="600" customWidth="1"/>
    <col min="15" max="15" width="16.08984375" style="602" customWidth="1"/>
    <col min="16" max="16" width="0.7265625" style="600" customWidth="1"/>
    <col min="17" max="17" width="16.08984375" style="602" customWidth="1"/>
    <col min="18" max="18" width="0.7265625" style="600" customWidth="1"/>
    <col min="19" max="19" width="16.08984375" style="602" customWidth="1"/>
    <col min="20" max="20" width="0.7265625" style="600" customWidth="1"/>
    <col min="21" max="21" width="16.08984375" style="602" customWidth="1"/>
    <col min="22" max="22" width="0.7265625" style="600" customWidth="1"/>
    <col min="23" max="23" width="16.08984375" style="602" customWidth="1"/>
    <col min="24" max="24" width="0.7265625" style="600" customWidth="1"/>
    <col min="25" max="25" width="16.08984375" style="602" customWidth="1"/>
    <col min="26" max="26" width="0.7265625" style="600" customWidth="1"/>
    <col min="27" max="27" width="16.08984375" style="602" customWidth="1"/>
    <col min="28" max="28" width="0.7265625" style="600" customWidth="1"/>
    <col min="29" max="29" width="16.08984375" style="602" customWidth="1"/>
    <col min="30" max="30" width="0.7265625" style="600" customWidth="1"/>
    <col min="31" max="31" width="16.08984375" style="602" customWidth="1"/>
    <col min="32" max="32" width="0.7265625" style="600" customWidth="1"/>
    <col min="33" max="33" width="16.08984375" style="602" customWidth="1"/>
    <col min="34" max="34" width="0.7265625" style="600" customWidth="1"/>
    <col min="35" max="35" width="16.08984375" style="602" customWidth="1"/>
    <col min="36" max="36" width="0.7265625" style="600" customWidth="1"/>
    <col min="37" max="37" width="20.7265625" style="601" customWidth="1"/>
    <col min="38" max="38" width="0.54296875" style="600" customWidth="1"/>
    <col min="39" max="39" width="16.08984375" style="601" customWidth="1"/>
    <col min="40" max="40" width="1.7265625" style="601" customWidth="1"/>
    <col min="41" max="41" width="10.08984375" style="601" customWidth="1"/>
    <col min="42" max="42" width="2" style="601" customWidth="1"/>
    <col min="43" max="43" width="16.08984375" style="600" customWidth="1"/>
    <col min="44" max="44" width="0.54296875" style="600" customWidth="1"/>
    <col min="45" max="258" width="5" style="600"/>
    <col min="259" max="259" width="4.7265625" style="600" customWidth="1"/>
    <col min="260" max="260" width="2" style="600" customWidth="1"/>
    <col min="261" max="261" width="40.7265625" style="600" customWidth="1"/>
    <col min="262" max="262" width="3.54296875" style="600" customWidth="1"/>
    <col min="263" max="263" width="11.08984375" style="600" customWidth="1"/>
    <col min="264" max="264" width="2.7265625" style="600" customWidth="1"/>
    <col min="265" max="265" width="11.26953125" style="600" customWidth="1"/>
    <col min="266" max="266" width="2.7265625" style="600" customWidth="1"/>
    <col min="267" max="267" width="11.26953125" style="600" customWidth="1"/>
    <col min="268" max="268" width="2.7265625" style="600" customWidth="1"/>
    <col min="269" max="269" width="19.08984375" style="600" bestFit="1" customWidth="1"/>
    <col min="270" max="270" width="1.81640625" style="600" customWidth="1"/>
    <col min="271" max="271" width="6.7265625" style="600" customWidth="1"/>
    <col min="272" max="272" width="14.7265625" style="600" customWidth="1"/>
    <col min="273" max="273" width="9" style="600" bestFit="1" customWidth="1"/>
    <col min="274" max="514" width="5" style="600"/>
    <col min="515" max="515" width="4.7265625" style="600" customWidth="1"/>
    <col min="516" max="516" width="2" style="600" customWidth="1"/>
    <col min="517" max="517" width="40.7265625" style="600" customWidth="1"/>
    <col min="518" max="518" width="3.54296875" style="600" customWidth="1"/>
    <col min="519" max="519" width="11.08984375" style="600" customWidth="1"/>
    <col min="520" max="520" width="2.7265625" style="600" customWidth="1"/>
    <col min="521" max="521" width="11.26953125" style="600" customWidth="1"/>
    <col min="522" max="522" width="2.7265625" style="600" customWidth="1"/>
    <col min="523" max="523" width="11.26953125" style="600" customWidth="1"/>
    <col min="524" max="524" width="2.7265625" style="600" customWidth="1"/>
    <col min="525" max="525" width="19.08984375" style="600" bestFit="1" customWidth="1"/>
    <col min="526" max="526" width="1.81640625" style="600" customWidth="1"/>
    <col min="527" max="527" width="6.7265625" style="600" customWidth="1"/>
    <col min="528" max="528" width="14.7265625" style="600" customWidth="1"/>
    <col min="529" max="529" width="9" style="600" bestFit="1" customWidth="1"/>
    <col min="530" max="770" width="5" style="600"/>
    <col min="771" max="771" width="4.7265625" style="600" customWidth="1"/>
    <col min="772" max="772" width="2" style="600" customWidth="1"/>
    <col min="773" max="773" width="40.7265625" style="600" customWidth="1"/>
    <col min="774" max="774" width="3.54296875" style="600" customWidth="1"/>
    <col min="775" max="775" width="11.08984375" style="600" customWidth="1"/>
    <col min="776" max="776" width="2.7265625" style="600" customWidth="1"/>
    <col min="777" max="777" width="11.26953125" style="600" customWidth="1"/>
    <col min="778" max="778" width="2.7265625" style="600" customWidth="1"/>
    <col min="779" max="779" width="11.26953125" style="600" customWidth="1"/>
    <col min="780" max="780" width="2.7265625" style="600" customWidth="1"/>
    <col min="781" max="781" width="19.08984375" style="600" bestFit="1" customWidth="1"/>
    <col min="782" max="782" width="1.81640625" style="600" customWidth="1"/>
    <col min="783" max="783" width="6.7265625" style="600" customWidth="1"/>
    <col min="784" max="784" width="14.7265625" style="600" customWidth="1"/>
    <col min="785" max="785" width="9" style="600" bestFit="1" customWidth="1"/>
    <col min="786" max="1026" width="5" style="600"/>
    <col min="1027" max="1027" width="4.7265625" style="600" customWidth="1"/>
    <col min="1028" max="1028" width="2" style="600" customWidth="1"/>
    <col min="1029" max="1029" width="40.7265625" style="600" customWidth="1"/>
    <col min="1030" max="1030" width="3.54296875" style="600" customWidth="1"/>
    <col min="1031" max="1031" width="11.08984375" style="600" customWidth="1"/>
    <col min="1032" max="1032" width="2.7265625" style="600" customWidth="1"/>
    <col min="1033" max="1033" width="11.26953125" style="600" customWidth="1"/>
    <col min="1034" max="1034" width="2.7265625" style="600" customWidth="1"/>
    <col min="1035" max="1035" width="11.26953125" style="600" customWidth="1"/>
    <col min="1036" max="1036" width="2.7265625" style="600" customWidth="1"/>
    <col min="1037" max="1037" width="19.08984375" style="600" bestFit="1" customWidth="1"/>
    <col min="1038" max="1038" width="1.81640625" style="600" customWidth="1"/>
    <col min="1039" max="1039" width="6.7265625" style="600" customWidth="1"/>
    <col min="1040" max="1040" width="14.7265625" style="600" customWidth="1"/>
    <col min="1041" max="1041" width="9" style="600" bestFit="1" customWidth="1"/>
    <col min="1042" max="1282" width="5" style="600"/>
    <col min="1283" max="1283" width="4.7265625" style="600" customWidth="1"/>
    <col min="1284" max="1284" width="2" style="600" customWidth="1"/>
    <col min="1285" max="1285" width="40.7265625" style="600" customWidth="1"/>
    <col min="1286" max="1286" width="3.54296875" style="600" customWidth="1"/>
    <col min="1287" max="1287" width="11.08984375" style="600" customWidth="1"/>
    <col min="1288" max="1288" width="2.7265625" style="600" customWidth="1"/>
    <col min="1289" max="1289" width="11.26953125" style="600" customWidth="1"/>
    <col min="1290" max="1290" width="2.7265625" style="600" customWidth="1"/>
    <col min="1291" max="1291" width="11.26953125" style="600" customWidth="1"/>
    <col min="1292" max="1292" width="2.7265625" style="600" customWidth="1"/>
    <col min="1293" max="1293" width="19.08984375" style="600" bestFit="1" customWidth="1"/>
    <col min="1294" max="1294" width="1.81640625" style="600" customWidth="1"/>
    <col min="1295" max="1295" width="6.7265625" style="600" customWidth="1"/>
    <col min="1296" max="1296" width="14.7265625" style="600" customWidth="1"/>
    <col min="1297" max="1297" width="9" style="600" bestFit="1" customWidth="1"/>
    <col min="1298" max="1538" width="5" style="600"/>
    <col min="1539" max="1539" width="4.7265625" style="600" customWidth="1"/>
    <col min="1540" max="1540" width="2" style="600" customWidth="1"/>
    <col min="1541" max="1541" width="40.7265625" style="600" customWidth="1"/>
    <col min="1542" max="1542" width="3.54296875" style="600" customWidth="1"/>
    <col min="1543" max="1543" width="11.08984375" style="600" customWidth="1"/>
    <col min="1544" max="1544" width="2.7265625" style="600" customWidth="1"/>
    <col min="1545" max="1545" width="11.26953125" style="600" customWidth="1"/>
    <col min="1546" max="1546" width="2.7265625" style="600" customWidth="1"/>
    <col min="1547" max="1547" width="11.26953125" style="600" customWidth="1"/>
    <col min="1548" max="1548" width="2.7265625" style="600" customWidth="1"/>
    <col min="1549" max="1549" width="19.08984375" style="600" bestFit="1" customWidth="1"/>
    <col min="1550" max="1550" width="1.81640625" style="600" customWidth="1"/>
    <col min="1551" max="1551" width="6.7265625" style="600" customWidth="1"/>
    <col min="1552" max="1552" width="14.7265625" style="600" customWidth="1"/>
    <col min="1553" max="1553" width="9" style="600" bestFit="1" customWidth="1"/>
    <col min="1554" max="1794" width="5" style="600"/>
    <col min="1795" max="1795" width="4.7265625" style="600" customWidth="1"/>
    <col min="1796" max="1796" width="2" style="600" customWidth="1"/>
    <col min="1797" max="1797" width="40.7265625" style="600" customWidth="1"/>
    <col min="1798" max="1798" width="3.54296875" style="600" customWidth="1"/>
    <col min="1799" max="1799" width="11.08984375" style="600" customWidth="1"/>
    <col min="1800" max="1800" width="2.7265625" style="600" customWidth="1"/>
    <col min="1801" max="1801" width="11.26953125" style="600" customWidth="1"/>
    <col min="1802" max="1802" width="2.7265625" style="600" customWidth="1"/>
    <col min="1803" max="1803" width="11.26953125" style="600" customWidth="1"/>
    <col min="1804" max="1804" width="2.7265625" style="600" customWidth="1"/>
    <col min="1805" max="1805" width="19.08984375" style="600" bestFit="1" customWidth="1"/>
    <col min="1806" max="1806" width="1.81640625" style="600" customWidth="1"/>
    <col min="1807" max="1807" width="6.7265625" style="600" customWidth="1"/>
    <col min="1808" max="1808" width="14.7265625" style="600" customWidth="1"/>
    <col min="1809" max="1809" width="9" style="600" bestFit="1" customWidth="1"/>
    <col min="1810" max="2050" width="5" style="600"/>
    <col min="2051" max="2051" width="4.7265625" style="600" customWidth="1"/>
    <col min="2052" max="2052" width="2" style="600" customWidth="1"/>
    <col min="2053" max="2053" width="40.7265625" style="600" customWidth="1"/>
    <col min="2054" max="2054" width="3.54296875" style="600" customWidth="1"/>
    <col min="2055" max="2055" width="11.08984375" style="600" customWidth="1"/>
    <col min="2056" max="2056" width="2.7265625" style="600" customWidth="1"/>
    <col min="2057" max="2057" width="11.26953125" style="600" customWidth="1"/>
    <col min="2058" max="2058" width="2.7265625" style="600" customWidth="1"/>
    <col min="2059" max="2059" width="11.26953125" style="600" customWidth="1"/>
    <col min="2060" max="2060" width="2.7265625" style="600" customWidth="1"/>
    <col min="2061" max="2061" width="19.08984375" style="600" bestFit="1" customWidth="1"/>
    <col min="2062" max="2062" width="1.81640625" style="600" customWidth="1"/>
    <col min="2063" max="2063" width="6.7265625" style="600" customWidth="1"/>
    <col min="2064" max="2064" width="14.7265625" style="600" customWidth="1"/>
    <col min="2065" max="2065" width="9" style="600" bestFit="1" customWidth="1"/>
    <col min="2066" max="2306" width="5" style="600"/>
    <col min="2307" max="2307" width="4.7265625" style="600" customWidth="1"/>
    <col min="2308" max="2308" width="2" style="600" customWidth="1"/>
    <col min="2309" max="2309" width="40.7265625" style="600" customWidth="1"/>
    <col min="2310" max="2310" width="3.54296875" style="600" customWidth="1"/>
    <col min="2311" max="2311" width="11.08984375" style="600" customWidth="1"/>
    <col min="2312" max="2312" width="2.7265625" style="600" customWidth="1"/>
    <col min="2313" max="2313" width="11.26953125" style="600" customWidth="1"/>
    <col min="2314" max="2314" width="2.7265625" style="600" customWidth="1"/>
    <col min="2315" max="2315" width="11.26953125" style="600" customWidth="1"/>
    <col min="2316" max="2316" width="2.7265625" style="600" customWidth="1"/>
    <col min="2317" max="2317" width="19.08984375" style="600" bestFit="1" customWidth="1"/>
    <col min="2318" max="2318" width="1.81640625" style="600" customWidth="1"/>
    <col min="2319" max="2319" width="6.7265625" style="600" customWidth="1"/>
    <col min="2320" max="2320" width="14.7265625" style="600" customWidth="1"/>
    <col min="2321" max="2321" width="9" style="600" bestFit="1" customWidth="1"/>
    <col min="2322" max="2562" width="5" style="600"/>
    <col min="2563" max="2563" width="4.7265625" style="600" customWidth="1"/>
    <col min="2564" max="2564" width="2" style="600" customWidth="1"/>
    <col min="2565" max="2565" width="40.7265625" style="600" customWidth="1"/>
    <col min="2566" max="2566" width="3.54296875" style="600" customWidth="1"/>
    <col min="2567" max="2567" width="11.08984375" style="600" customWidth="1"/>
    <col min="2568" max="2568" width="2.7265625" style="600" customWidth="1"/>
    <col min="2569" max="2569" width="11.26953125" style="600" customWidth="1"/>
    <col min="2570" max="2570" width="2.7265625" style="600" customWidth="1"/>
    <col min="2571" max="2571" width="11.26953125" style="600" customWidth="1"/>
    <col min="2572" max="2572" width="2.7265625" style="600" customWidth="1"/>
    <col min="2573" max="2573" width="19.08984375" style="600" bestFit="1" customWidth="1"/>
    <col min="2574" max="2574" width="1.81640625" style="600" customWidth="1"/>
    <col min="2575" max="2575" width="6.7265625" style="600" customWidth="1"/>
    <col min="2576" max="2576" width="14.7265625" style="600" customWidth="1"/>
    <col min="2577" max="2577" width="9" style="600" bestFit="1" customWidth="1"/>
    <col min="2578" max="2818" width="5" style="600"/>
    <col min="2819" max="2819" width="4.7265625" style="600" customWidth="1"/>
    <col min="2820" max="2820" width="2" style="600" customWidth="1"/>
    <col min="2821" max="2821" width="40.7265625" style="600" customWidth="1"/>
    <col min="2822" max="2822" width="3.54296875" style="600" customWidth="1"/>
    <col min="2823" max="2823" width="11.08984375" style="600" customWidth="1"/>
    <col min="2824" max="2824" width="2.7265625" style="600" customWidth="1"/>
    <col min="2825" max="2825" width="11.26953125" style="600" customWidth="1"/>
    <col min="2826" max="2826" width="2.7265625" style="600" customWidth="1"/>
    <col min="2827" max="2827" width="11.26953125" style="600" customWidth="1"/>
    <col min="2828" max="2828" width="2.7265625" style="600" customWidth="1"/>
    <col min="2829" max="2829" width="19.08984375" style="600" bestFit="1" customWidth="1"/>
    <col min="2830" max="2830" width="1.81640625" style="600" customWidth="1"/>
    <col min="2831" max="2831" width="6.7265625" style="600" customWidth="1"/>
    <col min="2832" max="2832" width="14.7265625" style="600" customWidth="1"/>
    <col min="2833" max="2833" width="9" style="600" bestFit="1" customWidth="1"/>
    <col min="2834" max="3074" width="5" style="600"/>
    <col min="3075" max="3075" width="4.7265625" style="600" customWidth="1"/>
    <col min="3076" max="3076" width="2" style="600" customWidth="1"/>
    <col min="3077" max="3077" width="40.7265625" style="600" customWidth="1"/>
    <col min="3078" max="3078" width="3.54296875" style="600" customWidth="1"/>
    <col min="3079" max="3079" width="11.08984375" style="600" customWidth="1"/>
    <col min="3080" max="3080" width="2.7265625" style="600" customWidth="1"/>
    <col min="3081" max="3081" width="11.26953125" style="600" customWidth="1"/>
    <col min="3082" max="3082" width="2.7265625" style="600" customWidth="1"/>
    <col min="3083" max="3083" width="11.26953125" style="600" customWidth="1"/>
    <col min="3084" max="3084" width="2.7265625" style="600" customWidth="1"/>
    <col min="3085" max="3085" width="19.08984375" style="600" bestFit="1" customWidth="1"/>
    <col min="3086" max="3086" width="1.81640625" style="600" customWidth="1"/>
    <col min="3087" max="3087" width="6.7265625" style="600" customWidth="1"/>
    <col min="3088" max="3088" width="14.7265625" style="600" customWidth="1"/>
    <col min="3089" max="3089" width="9" style="600" bestFit="1" customWidth="1"/>
    <col min="3090" max="3330" width="5" style="600"/>
    <col min="3331" max="3331" width="4.7265625" style="600" customWidth="1"/>
    <col min="3332" max="3332" width="2" style="600" customWidth="1"/>
    <col min="3333" max="3333" width="40.7265625" style="600" customWidth="1"/>
    <col min="3334" max="3334" width="3.54296875" style="600" customWidth="1"/>
    <col min="3335" max="3335" width="11.08984375" style="600" customWidth="1"/>
    <col min="3336" max="3336" width="2.7265625" style="600" customWidth="1"/>
    <col min="3337" max="3337" width="11.26953125" style="600" customWidth="1"/>
    <col min="3338" max="3338" width="2.7265625" style="600" customWidth="1"/>
    <col min="3339" max="3339" width="11.26953125" style="600" customWidth="1"/>
    <col min="3340" max="3340" width="2.7265625" style="600" customWidth="1"/>
    <col min="3341" max="3341" width="19.08984375" style="600" bestFit="1" customWidth="1"/>
    <col min="3342" max="3342" width="1.81640625" style="600" customWidth="1"/>
    <col min="3343" max="3343" width="6.7265625" style="600" customWidth="1"/>
    <col min="3344" max="3344" width="14.7265625" style="600" customWidth="1"/>
    <col min="3345" max="3345" width="9" style="600" bestFit="1" customWidth="1"/>
    <col min="3346" max="3586" width="5" style="600"/>
    <col min="3587" max="3587" width="4.7265625" style="600" customWidth="1"/>
    <col min="3588" max="3588" width="2" style="600" customWidth="1"/>
    <col min="3589" max="3589" width="40.7265625" style="600" customWidth="1"/>
    <col min="3590" max="3590" width="3.54296875" style="600" customWidth="1"/>
    <col min="3591" max="3591" width="11.08984375" style="600" customWidth="1"/>
    <col min="3592" max="3592" width="2.7265625" style="600" customWidth="1"/>
    <col min="3593" max="3593" width="11.26953125" style="600" customWidth="1"/>
    <col min="3594" max="3594" width="2.7265625" style="600" customWidth="1"/>
    <col min="3595" max="3595" width="11.26953125" style="600" customWidth="1"/>
    <col min="3596" max="3596" width="2.7265625" style="600" customWidth="1"/>
    <col min="3597" max="3597" width="19.08984375" style="600" bestFit="1" customWidth="1"/>
    <col min="3598" max="3598" width="1.81640625" style="600" customWidth="1"/>
    <col min="3599" max="3599" width="6.7265625" style="600" customWidth="1"/>
    <col min="3600" max="3600" width="14.7265625" style="600" customWidth="1"/>
    <col min="3601" max="3601" width="9" style="600" bestFit="1" customWidth="1"/>
    <col min="3602" max="3842" width="5" style="600"/>
    <col min="3843" max="3843" width="4.7265625" style="600" customWidth="1"/>
    <col min="3844" max="3844" width="2" style="600" customWidth="1"/>
    <col min="3845" max="3845" width="40.7265625" style="600" customWidth="1"/>
    <col min="3846" max="3846" width="3.54296875" style="600" customWidth="1"/>
    <col min="3847" max="3847" width="11.08984375" style="600" customWidth="1"/>
    <col min="3848" max="3848" width="2.7265625" style="600" customWidth="1"/>
    <col min="3849" max="3849" width="11.26953125" style="600" customWidth="1"/>
    <col min="3850" max="3850" width="2.7265625" style="600" customWidth="1"/>
    <col min="3851" max="3851" width="11.26953125" style="600" customWidth="1"/>
    <col min="3852" max="3852" width="2.7265625" style="600" customWidth="1"/>
    <col min="3853" max="3853" width="19.08984375" style="600" bestFit="1" customWidth="1"/>
    <col min="3854" max="3854" width="1.81640625" style="600" customWidth="1"/>
    <col min="3855" max="3855" width="6.7265625" style="600" customWidth="1"/>
    <col min="3856" max="3856" width="14.7265625" style="600" customWidth="1"/>
    <col min="3857" max="3857" width="9" style="600" bestFit="1" customWidth="1"/>
    <col min="3858" max="4098" width="5" style="600"/>
    <col min="4099" max="4099" width="4.7265625" style="600" customWidth="1"/>
    <col min="4100" max="4100" width="2" style="600" customWidth="1"/>
    <col min="4101" max="4101" width="40.7265625" style="600" customWidth="1"/>
    <col min="4102" max="4102" width="3.54296875" style="600" customWidth="1"/>
    <col min="4103" max="4103" width="11.08984375" style="600" customWidth="1"/>
    <col min="4104" max="4104" width="2.7265625" style="600" customWidth="1"/>
    <col min="4105" max="4105" width="11.26953125" style="600" customWidth="1"/>
    <col min="4106" max="4106" width="2.7265625" style="600" customWidth="1"/>
    <col min="4107" max="4107" width="11.26953125" style="600" customWidth="1"/>
    <col min="4108" max="4108" width="2.7265625" style="600" customWidth="1"/>
    <col min="4109" max="4109" width="19.08984375" style="600" bestFit="1" customWidth="1"/>
    <col min="4110" max="4110" width="1.81640625" style="600" customWidth="1"/>
    <col min="4111" max="4111" width="6.7265625" style="600" customWidth="1"/>
    <col min="4112" max="4112" width="14.7265625" style="600" customWidth="1"/>
    <col min="4113" max="4113" width="9" style="600" bestFit="1" customWidth="1"/>
    <col min="4114" max="4354" width="5" style="600"/>
    <col min="4355" max="4355" width="4.7265625" style="600" customWidth="1"/>
    <col min="4356" max="4356" width="2" style="600" customWidth="1"/>
    <col min="4357" max="4357" width="40.7265625" style="600" customWidth="1"/>
    <col min="4358" max="4358" width="3.54296875" style="600" customWidth="1"/>
    <col min="4359" max="4359" width="11.08984375" style="600" customWidth="1"/>
    <col min="4360" max="4360" width="2.7265625" style="600" customWidth="1"/>
    <col min="4361" max="4361" width="11.26953125" style="600" customWidth="1"/>
    <col min="4362" max="4362" width="2.7265625" style="600" customWidth="1"/>
    <col min="4363" max="4363" width="11.26953125" style="600" customWidth="1"/>
    <col min="4364" max="4364" width="2.7265625" style="600" customWidth="1"/>
    <col min="4365" max="4365" width="19.08984375" style="600" bestFit="1" customWidth="1"/>
    <col min="4366" max="4366" width="1.81640625" style="600" customWidth="1"/>
    <col min="4367" max="4367" width="6.7265625" style="600" customWidth="1"/>
    <col min="4368" max="4368" width="14.7265625" style="600" customWidth="1"/>
    <col min="4369" max="4369" width="9" style="600" bestFit="1" customWidth="1"/>
    <col min="4370" max="4610" width="5" style="600"/>
    <col min="4611" max="4611" width="4.7265625" style="600" customWidth="1"/>
    <col min="4612" max="4612" width="2" style="600" customWidth="1"/>
    <col min="4613" max="4613" width="40.7265625" style="600" customWidth="1"/>
    <col min="4614" max="4614" width="3.54296875" style="600" customWidth="1"/>
    <col min="4615" max="4615" width="11.08984375" style="600" customWidth="1"/>
    <col min="4616" max="4616" width="2.7265625" style="600" customWidth="1"/>
    <col min="4617" max="4617" width="11.26953125" style="600" customWidth="1"/>
    <col min="4618" max="4618" width="2.7265625" style="600" customWidth="1"/>
    <col min="4619" max="4619" width="11.26953125" style="600" customWidth="1"/>
    <col min="4620" max="4620" width="2.7265625" style="600" customWidth="1"/>
    <col min="4621" max="4621" width="19.08984375" style="600" bestFit="1" customWidth="1"/>
    <col min="4622" max="4622" width="1.81640625" style="600" customWidth="1"/>
    <col min="4623" max="4623" width="6.7265625" style="600" customWidth="1"/>
    <col min="4624" max="4624" width="14.7265625" style="600" customWidth="1"/>
    <col min="4625" max="4625" width="9" style="600" bestFit="1" customWidth="1"/>
    <col min="4626" max="4866" width="5" style="600"/>
    <col min="4867" max="4867" width="4.7265625" style="600" customWidth="1"/>
    <col min="4868" max="4868" width="2" style="600" customWidth="1"/>
    <col min="4869" max="4869" width="40.7265625" style="600" customWidth="1"/>
    <col min="4870" max="4870" width="3.54296875" style="600" customWidth="1"/>
    <col min="4871" max="4871" width="11.08984375" style="600" customWidth="1"/>
    <col min="4872" max="4872" width="2.7265625" style="600" customWidth="1"/>
    <col min="4873" max="4873" width="11.26953125" style="600" customWidth="1"/>
    <col min="4874" max="4874" width="2.7265625" style="600" customWidth="1"/>
    <col min="4875" max="4875" width="11.26953125" style="600" customWidth="1"/>
    <col min="4876" max="4876" width="2.7265625" style="600" customWidth="1"/>
    <col min="4877" max="4877" width="19.08984375" style="600" bestFit="1" customWidth="1"/>
    <col min="4878" max="4878" width="1.81640625" style="600" customWidth="1"/>
    <col min="4879" max="4879" width="6.7265625" style="600" customWidth="1"/>
    <col min="4880" max="4880" width="14.7265625" style="600" customWidth="1"/>
    <col min="4881" max="4881" width="9" style="600" bestFit="1" customWidth="1"/>
    <col min="4882" max="5122" width="5" style="600"/>
    <col min="5123" max="5123" width="4.7265625" style="600" customWidth="1"/>
    <col min="5124" max="5124" width="2" style="600" customWidth="1"/>
    <col min="5125" max="5125" width="40.7265625" style="600" customWidth="1"/>
    <col min="5126" max="5126" width="3.54296875" style="600" customWidth="1"/>
    <col min="5127" max="5127" width="11.08984375" style="600" customWidth="1"/>
    <col min="5128" max="5128" width="2.7265625" style="600" customWidth="1"/>
    <col min="5129" max="5129" width="11.26953125" style="600" customWidth="1"/>
    <col min="5130" max="5130" width="2.7265625" style="600" customWidth="1"/>
    <col min="5131" max="5131" width="11.26953125" style="600" customWidth="1"/>
    <col min="5132" max="5132" width="2.7265625" style="600" customWidth="1"/>
    <col min="5133" max="5133" width="19.08984375" style="600" bestFit="1" customWidth="1"/>
    <col min="5134" max="5134" width="1.81640625" style="600" customWidth="1"/>
    <col min="5135" max="5135" width="6.7265625" style="600" customWidth="1"/>
    <col min="5136" max="5136" width="14.7265625" style="600" customWidth="1"/>
    <col min="5137" max="5137" width="9" style="600" bestFit="1" customWidth="1"/>
    <col min="5138" max="5378" width="5" style="600"/>
    <col min="5379" max="5379" width="4.7265625" style="600" customWidth="1"/>
    <col min="5380" max="5380" width="2" style="600" customWidth="1"/>
    <col min="5381" max="5381" width="40.7265625" style="600" customWidth="1"/>
    <col min="5382" max="5382" width="3.54296875" style="600" customWidth="1"/>
    <col min="5383" max="5383" width="11.08984375" style="600" customWidth="1"/>
    <col min="5384" max="5384" width="2.7265625" style="600" customWidth="1"/>
    <col min="5385" max="5385" width="11.26953125" style="600" customWidth="1"/>
    <col min="5386" max="5386" width="2.7265625" style="600" customWidth="1"/>
    <col min="5387" max="5387" width="11.26953125" style="600" customWidth="1"/>
    <col min="5388" max="5388" width="2.7265625" style="600" customWidth="1"/>
    <col min="5389" max="5389" width="19.08984375" style="600" bestFit="1" customWidth="1"/>
    <col min="5390" max="5390" width="1.81640625" style="600" customWidth="1"/>
    <col min="5391" max="5391" width="6.7265625" style="600" customWidth="1"/>
    <col min="5392" max="5392" width="14.7265625" style="600" customWidth="1"/>
    <col min="5393" max="5393" width="9" style="600" bestFit="1" customWidth="1"/>
    <col min="5394" max="5634" width="5" style="600"/>
    <col min="5635" max="5635" width="4.7265625" style="600" customWidth="1"/>
    <col min="5636" max="5636" width="2" style="600" customWidth="1"/>
    <col min="5637" max="5637" width="40.7265625" style="600" customWidth="1"/>
    <col min="5638" max="5638" width="3.54296875" style="600" customWidth="1"/>
    <col min="5639" max="5639" width="11.08984375" style="600" customWidth="1"/>
    <col min="5640" max="5640" width="2.7265625" style="600" customWidth="1"/>
    <col min="5641" max="5641" width="11.26953125" style="600" customWidth="1"/>
    <col min="5642" max="5642" width="2.7265625" style="600" customWidth="1"/>
    <col min="5643" max="5643" width="11.26953125" style="600" customWidth="1"/>
    <col min="5644" max="5644" width="2.7265625" style="600" customWidth="1"/>
    <col min="5645" max="5645" width="19.08984375" style="600" bestFit="1" customWidth="1"/>
    <col min="5646" max="5646" width="1.81640625" style="600" customWidth="1"/>
    <col min="5647" max="5647" width="6.7265625" style="600" customWidth="1"/>
    <col min="5648" max="5648" width="14.7265625" style="600" customWidth="1"/>
    <col min="5649" max="5649" width="9" style="600" bestFit="1" customWidth="1"/>
    <col min="5650" max="5890" width="5" style="600"/>
    <col min="5891" max="5891" width="4.7265625" style="600" customWidth="1"/>
    <col min="5892" max="5892" width="2" style="600" customWidth="1"/>
    <col min="5893" max="5893" width="40.7265625" style="600" customWidth="1"/>
    <col min="5894" max="5894" width="3.54296875" style="600" customWidth="1"/>
    <col min="5895" max="5895" width="11.08984375" style="600" customWidth="1"/>
    <col min="5896" max="5896" width="2.7265625" style="600" customWidth="1"/>
    <col min="5897" max="5897" width="11.26953125" style="600" customWidth="1"/>
    <col min="5898" max="5898" width="2.7265625" style="600" customWidth="1"/>
    <col min="5899" max="5899" width="11.26953125" style="600" customWidth="1"/>
    <col min="5900" max="5900" width="2.7265625" style="600" customWidth="1"/>
    <col min="5901" max="5901" width="19.08984375" style="600" bestFit="1" customWidth="1"/>
    <col min="5902" max="5902" width="1.81640625" style="600" customWidth="1"/>
    <col min="5903" max="5903" width="6.7265625" style="600" customWidth="1"/>
    <col min="5904" max="5904" width="14.7265625" style="600" customWidth="1"/>
    <col min="5905" max="5905" width="9" style="600" bestFit="1" customWidth="1"/>
    <col min="5906" max="6146" width="5" style="600"/>
    <col min="6147" max="6147" width="4.7265625" style="600" customWidth="1"/>
    <col min="6148" max="6148" width="2" style="600" customWidth="1"/>
    <col min="6149" max="6149" width="40.7265625" style="600" customWidth="1"/>
    <col min="6150" max="6150" width="3.54296875" style="600" customWidth="1"/>
    <col min="6151" max="6151" width="11.08984375" style="600" customWidth="1"/>
    <col min="6152" max="6152" width="2.7265625" style="600" customWidth="1"/>
    <col min="6153" max="6153" width="11.26953125" style="600" customWidth="1"/>
    <col min="6154" max="6154" width="2.7265625" style="600" customWidth="1"/>
    <col min="6155" max="6155" width="11.26953125" style="600" customWidth="1"/>
    <col min="6156" max="6156" width="2.7265625" style="600" customWidth="1"/>
    <col min="6157" max="6157" width="19.08984375" style="600" bestFit="1" customWidth="1"/>
    <col min="6158" max="6158" width="1.81640625" style="600" customWidth="1"/>
    <col min="6159" max="6159" width="6.7265625" style="600" customWidth="1"/>
    <col min="6160" max="6160" width="14.7265625" style="600" customWidth="1"/>
    <col min="6161" max="6161" width="9" style="600" bestFit="1" customWidth="1"/>
    <col min="6162" max="6402" width="5" style="600"/>
    <col min="6403" max="6403" width="4.7265625" style="600" customWidth="1"/>
    <col min="6404" max="6404" width="2" style="600" customWidth="1"/>
    <col min="6405" max="6405" width="40.7265625" style="600" customWidth="1"/>
    <col min="6406" max="6406" width="3.54296875" style="600" customWidth="1"/>
    <col min="6407" max="6407" width="11.08984375" style="600" customWidth="1"/>
    <col min="6408" max="6408" width="2.7265625" style="600" customWidth="1"/>
    <col min="6409" max="6409" width="11.26953125" style="600" customWidth="1"/>
    <col min="6410" max="6410" width="2.7265625" style="600" customWidth="1"/>
    <col min="6411" max="6411" width="11.26953125" style="600" customWidth="1"/>
    <col min="6412" max="6412" width="2.7265625" style="600" customWidth="1"/>
    <col min="6413" max="6413" width="19.08984375" style="600" bestFit="1" customWidth="1"/>
    <col min="6414" max="6414" width="1.81640625" style="600" customWidth="1"/>
    <col min="6415" max="6415" width="6.7265625" style="600" customWidth="1"/>
    <col min="6416" max="6416" width="14.7265625" style="600" customWidth="1"/>
    <col min="6417" max="6417" width="9" style="600" bestFit="1" customWidth="1"/>
    <col min="6418" max="6658" width="5" style="600"/>
    <col min="6659" max="6659" width="4.7265625" style="600" customWidth="1"/>
    <col min="6660" max="6660" width="2" style="600" customWidth="1"/>
    <col min="6661" max="6661" width="40.7265625" style="600" customWidth="1"/>
    <col min="6662" max="6662" width="3.54296875" style="600" customWidth="1"/>
    <col min="6663" max="6663" width="11.08984375" style="600" customWidth="1"/>
    <col min="6664" max="6664" width="2.7265625" style="600" customWidth="1"/>
    <col min="6665" max="6665" width="11.26953125" style="600" customWidth="1"/>
    <col min="6666" max="6666" width="2.7265625" style="600" customWidth="1"/>
    <col min="6667" max="6667" width="11.26953125" style="600" customWidth="1"/>
    <col min="6668" max="6668" width="2.7265625" style="600" customWidth="1"/>
    <col min="6669" max="6669" width="19.08984375" style="600" bestFit="1" customWidth="1"/>
    <col min="6670" max="6670" width="1.81640625" style="600" customWidth="1"/>
    <col min="6671" max="6671" width="6.7265625" style="600" customWidth="1"/>
    <col min="6672" max="6672" width="14.7265625" style="600" customWidth="1"/>
    <col min="6673" max="6673" width="9" style="600" bestFit="1" customWidth="1"/>
    <col min="6674" max="6914" width="5" style="600"/>
    <col min="6915" max="6915" width="4.7265625" style="600" customWidth="1"/>
    <col min="6916" max="6916" width="2" style="600" customWidth="1"/>
    <col min="6917" max="6917" width="40.7265625" style="600" customWidth="1"/>
    <col min="6918" max="6918" width="3.54296875" style="600" customWidth="1"/>
    <col min="6919" max="6919" width="11.08984375" style="600" customWidth="1"/>
    <col min="6920" max="6920" width="2.7265625" style="600" customWidth="1"/>
    <col min="6921" max="6921" width="11.26953125" style="600" customWidth="1"/>
    <col min="6922" max="6922" width="2.7265625" style="600" customWidth="1"/>
    <col min="6923" max="6923" width="11.26953125" style="600" customWidth="1"/>
    <col min="6924" max="6924" width="2.7265625" style="600" customWidth="1"/>
    <col min="6925" max="6925" width="19.08984375" style="600" bestFit="1" customWidth="1"/>
    <col min="6926" max="6926" width="1.81640625" style="600" customWidth="1"/>
    <col min="6927" max="6927" width="6.7265625" style="600" customWidth="1"/>
    <col min="6928" max="6928" width="14.7265625" style="600" customWidth="1"/>
    <col min="6929" max="6929" width="9" style="600" bestFit="1" customWidth="1"/>
    <col min="6930" max="7170" width="5" style="600"/>
    <col min="7171" max="7171" width="4.7265625" style="600" customWidth="1"/>
    <col min="7172" max="7172" width="2" style="600" customWidth="1"/>
    <col min="7173" max="7173" width="40.7265625" style="600" customWidth="1"/>
    <col min="7174" max="7174" width="3.54296875" style="600" customWidth="1"/>
    <col min="7175" max="7175" width="11.08984375" style="600" customWidth="1"/>
    <col min="7176" max="7176" width="2.7265625" style="600" customWidth="1"/>
    <col min="7177" max="7177" width="11.26953125" style="600" customWidth="1"/>
    <col min="7178" max="7178" width="2.7265625" style="600" customWidth="1"/>
    <col min="7179" max="7179" width="11.26953125" style="600" customWidth="1"/>
    <col min="7180" max="7180" width="2.7265625" style="600" customWidth="1"/>
    <col min="7181" max="7181" width="19.08984375" style="600" bestFit="1" customWidth="1"/>
    <col min="7182" max="7182" width="1.81640625" style="600" customWidth="1"/>
    <col min="7183" max="7183" width="6.7265625" style="600" customWidth="1"/>
    <col min="7184" max="7184" width="14.7265625" style="600" customWidth="1"/>
    <col min="7185" max="7185" width="9" style="600" bestFit="1" customWidth="1"/>
    <col min="7186" max="7426" width="5" style="600"/>
    <col min="7427" max="7427" width="4.7265625" style="600" customWidth="1"/>
    <col min="7428" max="7428" width="2" style="600" customWidth="1"/>
    <col min="7429" max="7429" width="40.7265625" style="600" customWidth="1"/>
    <col min="7430" max="7430" width="3.54296875" style="600" customWidth="1"/>
    <col min="7431" max="7431" width="11.08984375" style="600" customWidth="1"/>
    <col min="7432" max="7432" width="2.7265625" style="600" customWidth="1"/>
    <col min="7433" max="7433" width="11.26953125" style="600" customWidth="1"/>
    <col min="7434" max="7434" width="2.7265625" style="600" customWidth="1"/>
    <col min="7435" max="7435" width="11.26953125" style="600" customWidth="1"/>
    <col min="7436" max="7436" width="2.7265625" style="600" customWidth="1"/>
    <col min="7437" max="7437" width="19.08984375" style="600" bestFit="1" customWidth="1"/>
    <col min="7438" max="7438" width="1.81640625" style="600" customWidth="1"/>
    <col min="7439" max="7439" width="6.7265625" style="600" customWidth="1"/>
    <col min="7440" max="7440" width="14.7265625" style="600" customWidth="1"/>
    <col min="7441" max="7441" width="9" style="600" bestFit="1" customWidth="1"/>
    <col min="7442" max="7682" width="5" style="600"/>
    <col min="7683" max="7683" width="4.7265625" style="600" customWidth="1"/>
    <col min="7684" max="7684" width="2" style="600" customWidth="1"/>
    <col min="7685" max="7685" width="40.7265625" style="600" customWidth="1"/>
    <col min="7686" max="7686" width="3.54296875" style="600" customWidth="1"/>
    <col min="7687" max="7687" width="11.08984375" style="600" customWidth="1"/>
    <col min="7688" max="7688" width="2.7265625" style="600" customWidth="1"/>
    <col min="7689" max="7689" width="11.26953125" style="600" customWidth="1"/>
    <col min="7690" max="7690" width="2.7265625" style="600" customWidth="1"/>
    <col min="7691" max="7691" width="11.26953125" style="600" customWidth="1"/>
    <col min="7692" max="7692" width="2.7265625" style="600" customWidth="1"/>
    <col min="7693" max="7693" width="19.08984375" style="600" bestFit="1" customWidth="1"/>
    <col min="7694" max="7694" width="1.81640625" style="600" customWidth="1"/>
    <col min="7695" max="7695" width="6.7265625" style="600" customWidth="1"/>
    <col min="7696" max="7696" width="14.7265625" style="600" customWidth="1"/>
    <col min="7697" max="7697" width="9" style="600" bestFit="1" customWidth="1"/>
    <col min="7698" max="7938" width="5" style="600"/>
    <col min="7939" max="7939" width="4.7265625" style="600" customWidth="1"/>
    <col min="7940" max="7940" width="2" style="600" customWidth="1"/>
    <col min="7941" max="7941" width="40.7265625" style="600" customWidth="1"/>
    <col min="7942" max="7942" width="3.54296875" style="600" customWidth="1"/>
    <col min="7943" max="7943" width="11.08984375" style="600" customWidth="1"/>
    <col min="7944" max="7944" width="2.7265625" style="600" customWidth="1"/>
    <col min="7945" max="7945" width="11.26953125" style="600" customWidth="1"/>
    <col min="7946" max="7946" width="2.7265625" style="600" customWidth="1"/>
    <col min="7947" max="7947" width="11.26953125" style="600" customWidth="1"/>
    <col min="7948" max="7948" width="2.7265625" style="600" customWidth="1"/>
    <col min="7949" max="7949" width="19.08984375" style="600" bestFit="1" customWidth="1"/>
    <col min="7950" max="7950" width="1.81640625" style="600" customWidth="1"/>
    <col min="7951" max="7951" width="6.7265625" style="600" customWidth="1"/>
    <col min="7952" max="7952" width="14.7265625" style="600" customWidth="1"/>
    <col min="7953" max="7953" width="9" style="600" bestFit="1" customWidth="1"/>
    <col min="7954" max="8194" width="5" style="600"/>
    <col min="8195" max="8195" width="4.7265625" style="600" customWidth="1"/>
    <col min="8196" max="8196" width="2" style="600" customWidth="1"/>
    <col min="8197" max="8197" width="40.7265625" style="600" customWidth="1"/>
    <col min="8198" max="8198" width="3.54296875" style="600" customWidth="1"/>
    <col min="8199" max="8199" width="11.08984375" style="600" customWidth="1"/>
    <col min="8200" max="8200" width="2.7265625" style="600" customWidth="1"/>
    <col min="8201" max="8201" width="11.26953125" style="600" customWidth="1"/>
    <col min="8202" max="8202" width="2.7265625" style="600" customWidth="1"/>
    <col min="8203" max="8203" width="11.26953125" style="600" customWidth="1"/>
    <col min="8204" max="8204" width="2.7265625" style="600" customWidth="1"/>
    <col min="8205" max="8205" width="19.08984375" style="600" bestFit="1" customWidth="1"/>
    <col min="8206" max="8206" width="1.81640625" style="600" customWidth="1"/>
    <col min="8207" max="8207" width="6.7265625" style="600" customWidth="1"/>
    <col min="8208" max="8208" width="14.7265625" style="600" customWidth="1"/>
    <col min="8209" max="8209" width="9" style="600" bestFit="1" customWidth="1"/>
    <col min="8210" max="8450" width="5" style="600"/>
    <col min="8451" max="8451" width="4.7265625" style="600" customWidth="1"/>
    <col min="8452" max="8452" width="2" style="600" customWidth="1"/>
    <col min="8453" max="8453" width="40.7265625" style="600" customWidth="1"/>
    <col min="8454" max="8454" width="3.54296875" style="600" customWidth="1"/>
    <col min="8455" max="8455" width="11.08984375" style="600" customWidth="1"/>
    <col min="8456" max="8456" width="2.7265625" style="600" customWidth="1"/>
    <col min="8457" max="8457" width="11.26953125" style="600" customWidth="1"/>
    <col min="8458" max="8458" width="2.7265625" style="600" customWidth="1"/>
    <col min="8459" max="8459" width="11.26953125" style="600" customWidth="1"/>
    <col min="8460" max="8460" width="2.7265625" style="600" customWidth="1"/>
    <col min="8461" max="8461" width="19.08984375" style="600" bestFit="1" customWidth="1"/>
    <col min="8462" max="8462" width="1.81640625" style="600" customWidth="1"/>
    <col min="8463" max="8463" width="6.7265625" style="600" customWidth="1"/>
    <col min="8464" max="8464" width="14.7265625" style="600" customWidth="1"/>
    <col min="8465" max="8465" width="9" style="600" bestFit="1" customWidth="1"/>
    <col min="8466" max="8706" width="5" style="600"/>
    <col min="8707" max="8707" width="4.7265625" style="600" customWidth="1"/>
    <col min="8708" max="8708" width="2" style="600" customWidth="1"/>
    <col min="8709" max="8709" width="40.7265625" style="600" customWidth="1"/>
    <col min="8710" max="8710" width="3.54296875" style="600" customWidth="1"/>
    <col min="8711" max="8711" width="11.08984375" style="600" customWidth="1"/>
    <col min="8712" max="8712" width="2.7265625" style="600" customWidth="1"/>
    <col min="8713" max="8713" width="11.26953125" style="600" customWidth="1"/>
    <col min="8714" max="8714" width="2.7265625" style="600" customWidth="1"/>
    <col min="8715" max="8715" width="11.26953125" style="600" customWidth="1"/>
    <col min="8716" max="8716" width="2.7265625" style="600" customWidth="1"/>
    <col min="8717" max="8717" width="19.08984375" style="600" bestFit="1" customWidth="1"/>
    <col min="8718" max="8718" width="1.81640625" style="600" customWidth="1"/>
    <col min="8719" max="8719" width="6.7265625" style="600" customWidth="1"/>
    <col min="8720" max="8720" width="14.7265625" style="600" customWidth="1"/>
    <col min="8721" max="8721" width="9" style="600" bestFit="1" customWidth="1"/>
    <col min="8722" max="8962" width="5" style="600"/>
    <col min="8963" max="8963" width="4.7265625" style="600" customWidth="1"/>
    <col min="8964" max="8964" width="2" style="600" customWidth="1"/>
    <col min="8965" max="8965" width="40.7265625" style="600" customWidth="1"/>
    <col min="8966" max="8966" width="3.54296875" style="600" customWidth="1"/>
    <col min="8967" max="8967" width="11.08984375" style="600" customWidth="1"/>
    <col min="8968" max="8968" width="2.7265625" style="600" customWidth="1"/>
    <col min="8969" max="8969" width="11.26953125" style="600" customWidth="1"/>
    <col min="8970" max="8970" width="2.7265625" style="600" customWidth="1"/>
    <col min="8971" max="8971" width="11.26953125" style="600" customWidth="1"/>
    <col min="8972" max="8972" width="2.7265625" style="600" customWidth="1"/>
    <col min="8973" max="8973" width="19.08984375" style="600" bestFit="1" customWidth="1"/>
    <col min="8974" max="8974" width="1.81640625" style="600" customWidth="1"/>
    <col min="8975" max="8975" width="6.7265625" style="600" customWidth="1"/>
    <col min="8976" max="8976" width="14.7265625" style="600" customWidth="1"/>
    <col min="8977" max="8977" width="9" style="600" bestFit="1" customWidth="1"/>
    <col min="8978" max="9218" width="5" style="600"/>
    <col min="9219" max="9219" width="4.7265625" style="600" customWidth="1"/>
    <col min="9220" max="9220" width="2" style="600" customWidth="1"/>
    <col min="9221" max="9221" width="40.7265625" style="600" customWidth="1"/>
    <col min="9222" max="9222" width="3.54296875" style="600" customWidth="1"/>
    <col min="9223" max="9223" width="11.08984375" style="600" customWidth="1"/>
    <col min="9224" max="9224" width="2.7265625" style="600" customWidth="1"/>
    <col min="9225" max="9225" width="11.26953125" style="600" customWidth="1"/>
    <col min="9226" max="9226" width="2.7265625" style="600" customWidth="1"/>
    <col min="9227" max="9227" width="11.26953125" style="600" customWidth="1"/>
    <col min="9228" max="9228" width="2.7265625" style="600" customWidth="1"/>
    <col min="9229" max="9229" width="19.08984375" style="600" bestFit="1" customWidth="1"/>
    <col min="9230" max="9230" width="1.81640625" style="600" customWidth="1"/>
    <col min="9231" max="9231" width="6.7265625" style="600" customWidth="1"/>
    <col min="9232" max="9232" width="14.7265625" style="600" customWidth="1"/>
    <col min="9233" max="9233" width="9" style="600" bestFit="1" customWidth="1"/>
    <col min="9234" max="9474" width="5" style="600"/>
    <col min="9475" max="9475" width="4.7265625" style="600" customWidth="1"/>
    <col min="9476" max="9476" width="2" style="600" customWidth="1"/>
    <col min="9477" max="9477" width="40.7265625" style="600" customWidth="1"/>
    <col min="9478" max="9478" width="3.54296875" style="600" customWidth="1"/>
    <col min="9479" max="9479" width="11.08984375" style="600" customWidth="1"/>
    <col min="9480" max="9480" width="2.7265625" style="600" customWidth="1"/>
    <col min="9481" max="9481" width="11.26953125" style="600" customWidth="1"/>
    <col min="9482" max="9482" width="2.7265625" style="600" customWidth="1"/>
    <col min="9483" max="9483" width="11.26953125" style="600" customWidth="1"/>
    <col min="9484" max="9484" width="2.7265625" style="600" customWidth="1"/>
    <col min="9485" max="9485" width="19.08984375" style="600" bestFit="1" customWidth="1"/>
    <col min="9486" max="9486" width="1.81640625" style="600" customWidth="1"/>
    <col min="9487" max="9487" width="6.7265625" style="600" customWidth="1"/>
    <col min="9488" max="9488" width="14.7265625" style="600" customWidth="1"/>
    <col min="9489" max="9489" width="9" style="600" bestFit="1" customWidth="1"/>
    <col min="9490" max="9730" width="5" style="600"/>
    <col min="9731" max="9731" width="4.7265625" style="600" customWidth="1"/>
    <col min="9732" max="9732" width="2" style="600" customWidth="1"/>
    <col min="9733" max="9733" width="40.7265625" style="600" customWidth="1"/>
    <col min="9734" max="9734" width="3.54296875" style="600" customWidth="1"/>
    <col min="9735" max="9735" width="11.08984375" style="600" customWidth="1"/>
    <col min="9736" max="9736" width="2.7265625" style="600" customWidth="1"/>
    <col min="9737" max="9737" width="11.26953125" style="600" customWidth="1"/>
    <col min="9738" max="9738" width="2.7265625" style="600" customWidth="1"/>
    <col min="9739" max="9739" width="11.26953125" style="600" customWidth="1"/>
    <col min="9740" max="9740" width="2.7265625" style="600" customWidth="1"/>
    <col min="9741" max="9741" width="19.08984375" style="600" bestFit="1" customWidth="1"/>
    <col min="9742" max="9742" width="1.81640625" style="600" customWidth="1"/>
    <col min="9743" max="9743" width="6.7265625" style="600" customWidth="1"/>
    <col min="9744" max="9744" width="14.7265625" style="600" customWidth="1"/>
    <col min="9745" max="9745" width="9" style="600" bestFit="1" customWidth="1"/>
    <col min="9746" max="9986" width="5" style="600"/>
    <col min="9987" max="9987" width="4.7265625" style="600" customWidth="1"/>
    <col min="9988" max="9988" width="2" style="600" customWidth="1"/>
    <col min="9989" max="9989" width="40.7265625" style="600" customWidth="1"/>
    <col min="9990" max="9990" width="3.54296875" style="600" customWidth="1"/>
    <col min="9991" max="9991" width="11.08984375" style="600" customWidth="1"/>
    <col min="9992" max="9992" width="2.7265625" style="600" customWidth="1"/>
    <col min="9993" max="9993" width="11.26953125" style="600" customWidth="1"/>
    <col min="9994" max="9994" width="2.7265625" style="600" customWidth="1"/>
    <col min="9995" max="9995" width="11.26953125" style="600" customWidth="1"/>
    <col min="9996" max="9996" width="2.7265625" style="600" customWidth="1"/>
    <col min="9997" max="9997" width="19.08984375" style="600" bestFit="1" customWidth="1"/>
    <col min="9998" max="9998" width="1.81640625" style="600" customWidth="1"/>
    <col min="9999" max="9999" width="6.7265625" style="600" customWidth="1"/>
    <col min="10000" max="10000" width="14.7265625" style="600" customWidth="1"/>
    <col min="10001" max="10001" width="9" style="600" bestFit="1" customWidth="1"/>
    <col min="10002" max="10242" width="5" style="600"/>
    <col min="10243" max="10243" width="4.7265625" style="600" customWidth="1"/>
    <col min="10244" max="10244" width="2" style="600" customWidth="1"/>
    <col min="10245" max="10245" width="40.7265625" style="600" customWidth="1"/>
    <col min="10246" max="10246" width="3.54296875" style="600" customWidth="1"/>
    <col min="10247" max="10247" width="11.08984375" style="600" customWidth="1"/>
    <col min="10248" max="10248" width="2.7265625" style="600" customWidth="1"/>
    <col min="10249" max="10249" width="11.26953125" style="600" customWidth="1"/>
    <col min="10250" max="10250" width="2.7265625" style="600" customWidth="1"/>
    <col min="10251" max="10251" width="11.26953125" style="600" customWidth="1"/>
    <col min="10252" max="10252" width="2.7265625" style="600" customWidth="1"/>
    <col min="10253" max="10253" width="19.08984375" style="600" bestFit="1" customWidth="1"/>
    <col min="10254" max="10254" width="1.81640625" style="600" customWidth="1"/>
    <col min="10255" max="10255" width="6.7265625" style="600" customWidth="1"/>
    <col min="10256" max="10256" width="14.7265625" style="600" customWidth="1"/>
    <col min="10257" max="10257" width="9" style="600" bestFit="1" customWidth="1"/>
    <col min="10258" max="10498" width="5" style="600"/>
    <col min="10499" max="10499" width="4.7265625" style="600" customWidth="1"/>
    <col min="10500" max="10500" width="2" style="600" customWidth="1"/>
    <col min="10501" max="10501" width="40.7265625" style="600" customWidth="1"/>
    <col min="10502" max="10502" width="3.54296875" style="600" customWidth="1"/>
    <col min="10503" max="10503" width="11.08984375" style="600" customWidth="1"/>
    <col min="10504" max="10504" width="2.7265625" style="600" customWidth="1"/>
    <col min="10505" max="10505" width="11.26953125" style="600" customWidth="1"/>
    <col min="10506" max="10506" width="2.7265625" style="600" customWidth="1"/>
    <col min="10507" max="10507" width="11.26953125" style="600" customWidth="1"/>
    <col min="10508" max="10508" width="2.7265625" style="600" customWidth="1"/>
    <col min="10509" max="10509" width="19.08984375" style="600" bestFit="1" customWidth="1"/>
    <col min="10510" max="10510" width="1.81640625" style="600" customWidth="1"/>
    <col min="10511" max="10511" width="6.7265625" style="600" customWidth="1"/>
    <col min="10512" max="10512" width="14.7265625" style="600" customWidth="1"/>
    <col min="10513" max="10513" width="9" style="600" bestFit="1" customWidth="1"/>
    <col min="10514" max="10754" width="5" style="600"/>
    <col min="10755" max="10755" width="4.7265625" style="600" customWidth="1"/>
    <col min="10756" max="10756" width="2" style="600" customWidth="1"/>
    <col min="10757" max="10757" width="40.7265625" style="600" customWidth="1"/>
    <col min="10758" max="10758" width="3.54296875" style="600" customWidth="1"/>
    <col min="10759" max="10759" width="11.08984375" style="600" customWidth="1"/>
    <col min="10760" max="10760" width="2.7265625" style="600" customWidth="1"/>
    <col min="10761" max="10761" width="11.26953125" style="600" customWidth="1"/>
    <col min="10762" max="10762" width="2.7265625" style="600" customWidth="1"/>
    <col min="10763" max="10763" width="11.26953125" style="600" customWidth="1"/>
    <col min="10764" max="10764" width="2.7265625" style="600" customWidth="1"/>
    <col min="10765" max="10765" width="19.08984375" style="600" bestFit="1" customWidth="1"/>
    <col min="10766" max="10766" width="1.81640625" style="600" customWidth="1"/>
    <col min="10767" max="10767" width="6.7265625" style="600" customWidth="1"/>
    <col min="10768" max="10768" width="14.7265625" style="600" customWidth="1"/>
    <col min="10769" max="10769" width="9" style="600" bestFit="1" customWidth="1"/>
    <col min="10770" max="11010" width="5" style="600"/>
    <col min="11011" max="11011" width="4.7265625" style="600" customWidth="1"/>
    <col min="11012" max="11012" width="2" style="600" customWidth="1"/>
    <col min="11013" max="11013" width="40.7265625" style="600" customWidth="1"/>
    <col min="11014" max="11014" width="3.54296875" style="600" customWidth="1"/>
    <col min="11015" max="11015" width="11.08984375" style="600" customWidth="1"/>
    <col min="11016" max="11016" width="2.7265625" style="600" customWidth="1"/>
    <col min="11017" max="11017" width="11.26953125" style="600" customWidth="1"/>
    <col min="11018" max="11018" width="2.7265625" style="600" customWidth="1"/>
    <col min="11019" max="11019" width="11.26953125" style="600" customWidth="1"/>
    <col min="11020" max="11020" width="2.7265625" style="600" customWidth="1"/>
    <col min="11021" max="11021" width="19.08984375" style="600" bestFit="1" customWidth="1"/>
    <col min="11022" max="11022" width="1.81640625" style="600" customWidth="1"/>
    <col min="11023" max="11023" width="6.7265625" style="600" customWidth="1"/>
    <col min="11024" max="11024" width="14.7265625" style="600" customWidth="1"/>
    <col min="11025" max="11025" width="9" style="600" bestFit="1" customWidth="1"/>
    <col min="11026" max="11266" width="5" style="600"/>
    <col min="11267" max="11267" width="4.7265625" style="600" customWidth="1"/>
    <col min="11268" max="11268" width="2" style="600" customWidth="1"/>
    <col min="11269" max="11269" width="40.7265625" style="600" customWidth="1"/>
    <col min="11270" max="11270" width="3.54296875" style="600" customWidth="1"/>
    <col min="11271" max="11271" width="11.08984375" style="600" customWidth="1"/>
    <col min="11272" max="11272" width="2.7265625" style="600" customWidth="1"/>
    <col min="11273" max="11273" width="11.26953125" style="600" customWidth="1"/>
    <col min="11274" max="11274" width="2.7265625" style="600" customWidth="1"/>
    <col min="11275" max="11275" width="11.26953125" style="600" customWidth="1"/>
    <col min="11276" max="11276" width="2.7265625" style="600" customWidth="1"/>
    <col min="11277" max="11277" width="19.08984375" style="600" bestFit="1" customWidth="1"/>
    <col min="11278" max="11278" width="1.81640625" style="600" customWidth="1"/>
    <col min="11279" max="11279" width="6.7265625" style="600" customWidth="1"/>
    <col min="11280" max="11280" width="14.7265625" style="600" customWidth="1"/>
    <col min="11281" max="11281" width="9" style="600" bestFit="1" customWidth="1"/>
    <col min="11282" max="11522" width="5" style="600"/>
    <col min="11523" max="11523" width="4.7265625" style="600" customWidth="1"/>
    <col min="11524" max="11524" width="2" style="600" customWidth="1"/>
    <col min="11525" max="11525" width="40.7265625" style="600" customWidth="1"/>
    <col min="11526" max="11526" width="3.54296875" style="600" customWidth="1"/>
    <col min="11527" max="11527" width="11.08984375" style="600" customWidth="1"/>
    <col min="11528" max="11528" width="2.7265625" style="600" customWidth="1"/>
    <col min="11529" max="11529" width="11.26953125" style="600" customWidth="1"/>
    <col min="11530" max="11530" width="2.7265625" style="600" customWidth="1"/>
    <col min="11531" max="11531" width="11.26953125" style="600" customWidth="1"/>
    <col min="11532" max="11532" width="2.7265625" style="600" customWidth="1"/>
    <col min="11533" max="11533" width="19.08984375" style="600" bestFit="1" customWidth="1"/>
    <col min="11534" max="11534" width="1.81640625" style="600" customWidth="1"/>
    <col min="11535" max="11535" width="6.7265625" style="600" customWidth="1"/>
    <col min="11536" max="11536" width="14.7265625" style="600" customWidth="1"/>
    <col min="11537" max="11537" width="9" style="600" bestFit="1" customWidth="1"/>
    <col min="11538" max="11778" width="5" style="600"/>
    <col min="11779" max="11779" width="4.7265625" style="600" customWidth="1"/>
    <col min="11780" max="11780" width="2" style="600" customWidth="1"/>
    <col min="11781" max="11781" width="40.7265625" style="600" customWidth="1"/>
    <col min="11782" max="11782" width="3.54296875" style="600" customWidth="1"/>
    <col min="11783" max="11783" width="11.08984375" style="600" customWidth="1"/>
    <col min="11784" max="11784" width="2.7265625" style="600" customWidth="1"/>
    <col min="11785" max="11785" width="11.26953125" style="600" customWidth="1"/>
    <col min="11786" max="11786" width="2.7265625" style="600" customWidth="1"/>
    <col min="11787" max="11787" width="11.26953125" style="600" customWidth="1"/>
    <col min="11788" max="11788" width="2.7265625" style="600" customWidth="1"/>
    <col min="11789" max="11789" width="19.08984375" style="600" bestFit="1" customWidth="1"/>
    <col min="11790" max="11790" width="1.81640625" style="600" customWidth="1"/>
    <col min="11791" max="11791" width="6.7265625" style="600" customWidth="1"/>
    <col min="11792" max="11792" width="14.7265625" style="600" customWidth="1"/>
    <col min="11793" max="11793" width="9" style="600" bestFit="1" customWidth="1"/>
    <col min="11794" max="12034" width="5" style="600"/>
    <col min="12035" max="12035" width="4.7265625" style="600" customWidth="1"/>
    <col min="12036" max="12036" width="2" style="600" customWidth="1"/>
    <col min="12037" max="12037" width="40.7265625" style="600" customWidth="1"/>
    <col min="12038" max="12038" width="3.54296875" style="600" customWidth="1"/>
    <col min="12039" max="12039" width="11.08984375" style="600" customWidth="1"/>
    <col min="12040" max="12040" width="2.7265625" style="600" customWidth="1"/>
    <col min="12041" max="12041" width="11.26953125" style="600" customWidth="1"/>
    <col min="12042" max="12042" width="2.7265625" style="600" customWidth="1"/>
    <col min="12043" max="12043" width="11.26953125" style="600" customWidth="1"/>
    <col min="12044" max="12044" width="2.7265625" style="600" customWidth="1"/>
    <col min="12045" max="12045" width="19.08984375" style="600" bestFit="1" customWidth="1"/>
    <col min="12046" max="12046" width="1.81640625" style="600" customWidth="1"/>
    <col min="12047" max="12047" width="6.7265625" style="600" customWidth="1"/>
    <col min="12048" max="12048" width="14.7265625" style="600" customWidth="1"/>
    <col min="12049" max="12049" width="9" style="600" bestFit="1" customWidth="1"/>
    <col min="12050" max="12290" width="5" style="600"/>
    <col min="12291" max="12291" width="4.7265625" style="600" customWidth="1"/>
    <col min="12292" max="12292" width="2" style="600" customWidth="1"/>
    <col min="12293" max="12293" width="40.7265625" style="600" customWidth="1"/>
    <col min="12294" max="12294" width="3.54296875" style="600" customWidth="1"/>
    <col min="12295" max="12295" width="11.08984375" style="600" customWidth="1"/>
    <col min="12296" max="12296" width="2.7265625" style="600" customWidth="1"/>
    <col min="12297" max="12297" width="11.26953125" style="600" customWidth="1"/>
    <col min="12298" max="12298" width="2.7265625" style="600" customWidth="1"/>
    <col min="12299" max="12299" width="11.26953125" style="600" customWidth="1"/>
    <col min="12300" max="12300" width="2.7265625" style="600" customWidth="1"/>
    <col min="12301" max="12301" width="19.08984375" style="600" bestFit="1" customWidth="1"/>
    <col min="12302" max="12302" width="1.81640625" style="600" customWidth="1"/>
    <col min="12303" max="12303" width="6.7265625" style="600" customWidth="1"/>
    <col min="12304" max="12304" width="14.7265625" style="600" customWidth="1"/>
    <col min="12305" max="12305" width="9" style="600" bestFit="1" customWidth="1"/>
    <col min="12306" max="12546" width="5" style="600"/>
    <col min="12547" max="12547" width="4.7265625" style="600" customWidth="1"/>
    <col min="12548" max="12548" width="2" style="600" customWidth="1"/>
    <col min="12549" max="12549" width="40.7265625" style="600" customWidth="1"/>
    <col min="12550" max="12550" width="3.54296875" style="600" customWidth="1"/>
    <col min="12551" max="12551" width="11.08984375" style="600" customWidth="1"/>
    <col min="12552" max="12552" width="2.7265625" style="600" customWidth="1"/>
    <col min="12553" max="12553" width="11.26953125" style="600" customWidth="1"/>
    <col min="12554" max="12554" width="2.7265625" style="600" customWidth="1"/>
    <col min="12555" max="12555" width="11.26953125" style="600" customWidth="1"/>
    <col min="12556" max="12556" width="2.7265625" style="600" customWidth="1"/>
    <col min="12557" max="12557" width="19.08984375" style="600" bestFit="1" customWidth="1"/>
    <col min="12558" max="12558" width="1.81640625" style="600" customWidth="1"/>
    <col min="12559" max="12559" width="6.7265625" style="600" customWidth="1"/>
    <col min="12560" max="12560" width="14.7265625" style="600" customWidth="1"/>
    <col min="12561" max="12561" width="9" style="600" bestFit="1" customWidth="1"/>
    <col min="12562" max="12802" width="5" style="600"/>
    <col min="12803" max="12803" width="4.7265625" style="600" customWidth="1"/>
    <col min="12804" max="12804" width="2" style="600" customWidth="1"/>
    <col min="12805" max="12805" width="40.7265625" style="600" customWidth="1"/>
    <col min="12806" max="12806" width="3.54296875" style="600" customWidth="1"/>
    <col min="12807" max="12807" width="11.08984375" style="600" customWidth="1"/>
    <col min="12808" max="12808" width="2.7265625" style="600" customWidth="1"/>
    <col min="12809" max="12809" width="11.26953125" style="600" customWidth="1"/>
    <col min="12810" max="12810" width="2.7265625" style="600" customWidth="1"/>
    <col min="12811" max="12811" width="11.26953125" style="600" customWidth="1"/>
    <col min="12812" max="12812" width="2.7265625" style="600" customWidth="1"/>
    <col min="12813" max="12813" width="19.08984375" style="600" bestFit="1" customWidth="1"/>
    <col min="12814" max="12814" width="1.81640625" style="600" customWidth="1"/>
    <col min="12815" max="12815" width="6.7265625" style="600" customWidth="1"/>
    <col min="12816" max="12816" width="14.7265625" style="600" customWidth="1"/>
    <col min="12817" max="12817" width="9" style="600" bestFit="1" customWidth="1"/>
    <col min="12818" max="13058" width="5" style="600"/>
    <col min="13059" max="13059" width="4.7265625" style="600" customWidth="1"/>
    <col min="13060" max="13060" width="2" style="600" customWidth="1"/>
    <col min="13061" max="13061" width="40.7265625" style="600" customWidth="1"/>
    <col min="13062" max="13062" width="3.54296875" style="600" customWidth="1"/>
    <col min="13063" max="13063" width="11.08984375" style="600" customWidth="1"/>
    <col min="13064" max="13064" width="2.7265625" style="600" customWidth="1"/>
    <col min="13065" max="13065" width="11.26953125" style="600" customWidth="1"/>
    <col min="13066" max="13066" width="2.7265625" style="600" customWidth="1"/>
    <col min="13067" max="13067" width="11.26953125" style="600" customWidth="1"/>
    <col min="13068" max="13068" width="2.7265625" style="600" customWidth="1"/>
    <col min="13069" max="13069" width="19.08984375" style="600" bestFit="1" customWidth="1"/>
    <col min="13070" max="13070" width="1.81640625" style="600" customWidth="1"/>
    <col min="13071" max="13071" width="6.7265625" style="600" customWidth="1"/>
    <col min="13072" max="13072" width="14.7265625" style="600" customWidth="1"/>
    <col min="13073" max="13073" width="9" style="600" bestFit="1" customWidth="1"/>
    <col min="13074" max="13314" width="5" style="600"/>
    <col min="13315" max="13315" width="4.7265625" style="600" customWidth="1"/>
    <col min="13316" max="13316" width="2" style="600" customWidth="1"/>
    <col min="13317" max="13317" width="40.7265625" style="600" customWidth="1"/>
    <col min="13318" max="13318" width="3.54296875" style="600" customWidth="1"/>
    <col min="13319" max="13319" width="11.08984375" style="600" customWidth="1"/>
    <col min="13320" max="13320" width="2.7265625" style="600" customWidth="1"/>
    <col min="13321" max="13321" width="11.26953125" style="600" customWidth="1"/>
    <col min="13322" max="13322" width="2.7265625" style="600" customWidth="1"/>
    <col min="13323" max="13323" width="11.26953125" style="600" customWidth="1"/>
    <col min="13324" max="13324" width="2.7265625" style="600" customWidth="1"/>
    <col min="13325" max="13325" width="19.08984375" style="600" bestFit="1" customWidth="1"/>
    <col min="13326" max="13326" width="1.81640625" style="600" customWidth="1"/>
    <col min="13327" max="13327" width="6.7265625" style="600" customWidth="1"/>
    <col min="13328" max="13328" width="14.7265625" style="600" customWidth="1"/>
    <col min="13329" max="13329" width="9" style="600" bestFit="1" customWidth="1"/>
    <col min="13330" max="13570" width="5" style="600"/>
    <col min="13571" max="13571" width="4.7265625" style="600" customWidth="1"/>
    <col min="13572" max="13572" width="2" style="600" customWidth="1"/>
    <col min="13573" max="13573" width="40.7265625" style="600" customWidth="1"/>
    <col min="13574" max="13574" width="3.54296875" style="600" customWidth="1"/>
    <col min="13575" max="13575" width="11.08984375" style="600" customWidth="1"/>
    <col min="13576" max="13576" width="2.7265625" style="600" customWidth="1"/>
    <col min="13577" max="13577" width="11.26953125" style="600" customWidth="1"/>
    <col min="13578" max="13578" width="2.7265625" style="600" customWidth="1"/>
    <col min="13579" max="13579" width="11.26953125" style="600" customWidth="1"/>
    <col min="13580" max="13580" width="2.7265625" style="600" customWidth="1"/>
    <col min="13581" max="13581" width="19.08984375" style="600" bestFit="1" customWidth="1"/>
    <col min="13582" max="13582" width="1.81640625" style="600" customWidth="1"/>
    <col min="13583" max="13583" width="6.7265625" style="600" customWidth="1"/>
    <col min="13584" max="13584" width="14.7265625" style="600" customWidth="1"/>
    <col min="13585" max="13585" width="9" style="600" bestFit="1" customWidth="1"/>
    <col min="13586" max="13826" width="5" style="600"/>
    <col min="13827" max="13827" width="4.7265625" style="600" customWidth="1"/>
    <col min="13828" max="13828" width="2" style="600" customWidth="1"/>
    <col min="13829" max="13829" width="40.7265625" style="600" customWidth="1"/>
    <col min="13830" max="13830" width="3.54296875" style="600" customWidth="1"/>
    <col min="13831" max="13831" width="11.08984375" style="600" customWidth="1"/>
    <col min="13832" max="13832" width="2.7265625" style="600" customWidth="1"/>
    <col min="13833" max="13833" width="11.26953125" style="600" customWidth="1"/>
    <col min="13834" max="13834" width="2.7265625" style="600" customWidth="1"/>
    <col min="13835" max="13835" width="11.26953125" style="600" customWidth="1"/>
    <col min="13836" max="13836" width="2.7265625" style="600" customWidth="1"/>
    <col min="13837" max="13837" width="19.08984375" style="600" bestFit="1" customWidth="1"/>
    <col min="13838" max="13838" width="1.81640625" style="600" customWidth="1"/>
    <col min="13839" max="13839" width="6.7265625" style="600" customWidth="1"/>
    <col min="13840" max="13840" width="14.7265625" style="600" customWidth="1"/>
    <col min="13841" max="13841" width="9" style="600" bestFit="1" customWidth="1"/>
    <col min="13842" max="14082" width="5" style="600"/>
    <col min="14083" max="14083" width="4.7265625" style="600" customWidth="1"/>
    <col min="14084" max="14084" width="2" style="600" customWidth="1"/>
    <col min="14085" max="14085" width="40.7265625" style="600" customWidth="1"/>
    <col min="14086" max="14086" width="3.54296875" style="600" customWidth="1"/>
    <col min="14087" max="14087" width="11.08984375" style="600" customWidth="1"/>
    <col min="14088" max="14088" width="2.7265625" style="600" customWidth="1"/>
    <col min="14089" max="14089" width="11.26953125" style="600" customWidth="1"/>
    <col min="14090" max="14090" width="2.7265625" style="600" customWidth="1"/>
    <col min="14091" max="14091" width="11.26953125" style="600" customWidth="1"/>
    <col min="14092" max="14092" width="2.7265625" style="600" customWidth="1"/>
    <col min="14093" max="14093" width="19.08984375" style="600" bestFit="1" customWidth="1"/>
    <col min="14094" max="14094" width="1.81640625" style="600" customWidth="1"/>
    <col min="14095" max="14095" width="6.7265625" style="600" customWidth="1"/>
    <col min="14096" max="14096" width="14.7265625" style="600" customWidth="1"/>
    <col min="14097" max="14097" width="9" style="600" bestFit="1" customWidth="1"/>
    <col min="14098" max="14338" width="5" style="600"/>
    <col min="14339" max="14339" width="4.7265625" style="600" customWidth="1"/>
    <col min="14340" max="14340" width="2" style="600" customWidth="1"/>
    <col min="14341" max="14341" width="40.7265625" style="600" customWidth="1"/>
    <col min="14342" max="14342" width="3.54296875" style="600" customWidth="1"/>
    <col min="14343" max="14343" width="11.08984375" style="600" customWidth="1"/>
    <col min="14344" max="14344" width="2.7265625" style="600" customWidth="1"/>
    <col min="14345" max="14345" width="11.26953125" style="600" customWidth="1"/>
    <col min="14346" max="14346" width="2.7265625" style="600" customWidth="1"/>
    <col min="14347" max="14347" width="11.26953125" style="600" customWidth="1"/>
    <col min="14348" max="14348" width="2.7265625" style="600" customWidth="1"/>
    <col min="14349" max="14349" width="19.08984375" style="600" bestFit="1" customWidth="1"/>
    <col min="14350" max="14350" width="1.81640625" style="600" customWidth="1"/>
    <col min="14351" max="14351" width="6.7265625" style="600" customWidth="1"/>
    <col min="14352" max="14352" width="14.7265625" style="600" customWidth="1"/>
    <col min="14353" max="14353" width="9" style="600" bestFit="1" customWidth="1"/>
    <col min="14354" max="14594" width="5" style="600"/>
    <col min="14595" max="14595" width="4.7265625" style="600" customWidth="1"/>
    <col min="14596" max="14596" width="2" style="600" customWidth="1"/>
    <col min="14597" max="14597" width="40.7265625" style="600" customWidth="1"/>
    <col min="14598" max="14598" width="3.54296875" style="600" customWidth="1"/>
    <col min="14599" max="14599" width="11.08984375" style="600" customWidth="1"/>
    <col min="14600" max="14600" width="2.7265625" style="600" customWidth="1"/>
    <col min="14601" max="14601" width="11.26953125" style="600" customWidth="1"/>
    <col min="14602" max="14602" width="2.7265625" style="600" customWidth="1"/>
    <col min="14603" max="14603" width="11.26953125" style="600" customWidth="1"/>
    <col min="14604" max="14604" width="2.7265625" style="600" customWidth="1"/>
    <col min="14605" max="14605" width="19.08984375" style="600" bestFit="1" customWidth="1"/>
    <col min="14606" max="14606" width="1.81640625" style="600" customWidth="1"/>
    <col min="14607" max="14607" width="6.7265625" style="600" customWidth="1"/>
    <col min="14608" max="14608" width="14.7265625" style="600" customWidth="1"/>
    <col min="14609" max="14609" width="9" style="600" bestFit="1" customWidth="1"/>
    <col min="14610" max="14850" width="5" style="600"/>
    <col min="14851" max="14851" width="4.7265625" style="600" customWidth="1"/>
    <col min="14852" max="14852" width="2" style="600" customWidth="1"/>
    <col min="14853" max="14853" width="40.7265625" style="600" customWidth="1"/>
    <col min="14854" max="14854" width="3.54296875" style="600" customWidth="1"/>
    <col min="14855" max="14855" width="11.08984375" style="600" customWidth="1"/>
    <col min="14856" max="14856" width="2.7265625" style="600" customWidth="1"/>
    <col min="14857" max="14857" width="11.26953125" style="600" customWidth="1"/>
    <col min="14858" max="14858" width="2.7265625" style="600" customWidth="1"/>
    <col min="14859" max="14859" width="11.26953125" style="600" customWidth="1"/>
    <col min="14860" max="14860" width="2.7265625" style="600" customWidth="1"/>
    <col min="14861" max="14861" width="19.08984375" style="600" bestFit="1" customWidth="1"/>
    <col min="14862" max="14862" width="1.81640625" style="600" customWidth="1"/>
    <col min="14863" max="14863" width="6.7265625" style="600" customWidth="1"/>
    <col min="14864" max="14864" width="14.7265625" style="600" customWidth="1"/>
    <col min="14865" max="14865" width="9" style="600" bestFit="1" customWidth="1"/>
    <col min="14866" max="15106" width="5" style="600"/>
    <col min="15107" max="15107" width="4.7265625" style="600" customWidth="1"/>
    <col min="15108" max="15108" width="2" style="600" customWidth="1"/>
    <col min="15109" max="15109" width="40.7265625" style="600" customWidth="1"/>
    <col min="15110" max="15110" width="3.54296875" style="600" customWidth="1"/>
    <col min="15111" max="15111" width="11.08984375" style="600" customWidth="1"/>
    <col min="15112" max="15112" width="2.7265625" style="600" customWidth="1"/>
    <col min="15113" max="15113" width="11.26953125" style="600" customWidth="1"/>
    <col min="15114" max="15114" width="2.7265625" style="600" customWidth="1"/>
    <col min="15115" max="15115" width="11.26953125" style="600" customWidth="1"/>
    <col min="15116" max="15116" width="2.7265625" style="600" customWidth="1"/>
    <col min="15117" max="15117" width="19.08984375" style="600" bestFit="1" customWidth="1"/>
    <col min="15118" max="15118" width="1.81640625" style="600" customWidth="1"/>
    <col min="15119" max="15119" width="6.7265625" style="600" customWidth="1"/>
    <col min="15120" max="15120" width="14.7265625" style="600" customWidth="1"/>
    <col min="15121" max="15121" width="9" style="600" bestFit="1" customWidth="1"/>
    <col min="15122" max="15362" width="5" style="600"/>
    <col min="15363" max="15363" width="4.7265625" style="600" customWidth="1"/>
    <col min="15364" max="15364" width="2" style="600" customWidth="1"/>
    <col min="15365" max="15365" width="40.7265625" style="600" customWidth="1"/>
    <col min="15366" max="15366" width="3.54296875" style="600" customWidth="1"/>
    <col min="15367" max="15367" width="11.08984375" style="600" customWidth="1"/>
    <col min="15368" max="15368" width="2.7265625" style="600" customWidth="1"/>
    <col min="15369" max="15369" width="11.26953125" style="600" customWidth="1"/>
    <col min="15370" max="15370" width="2.7265625" style="600" customWidth="1"/>
    <col min="15371" max="15371" width="11.26953125" style="600" customWidth="1"/>
    <col min="15372" max="15372" width="2.7265625" style="600" customWidth="1"/>
    <col min="15373" max="15373" width="19.08984375" style="600" bestFit="1" customWidth="1"/>
    <col min="15374" max="15374" width="1.81640625" style="600" customWidth="1"/>
    <col min="15375" max="15375" width="6.7265625" style="600" customWidth="1"/>
    <col min="15376" max="15376" width="14.7265625" style="600" customWidth="1"/>
    <col min="15377" max="15377" width="9" style="600" bestFit="1" customWidth="1"/>
    <col min="15378" max="15618" width="5" style="600"/>
    <col min="15619" max="15619" width="4.7265625" style="600" customWidth="1"/>
    <col min="15620" max="15620" width="2" style="600" customWidth="1"/>
    <col min="15621" max="15621" width="40.7265625" style="600" customWidth="1"/>
    <col min="15622" max="15622" width="3.54296875" style="600" customWidth="1"/>
    <col min="15623" max="15623" width="11.08984375" style="600" customWidth="1"/>
    <col min="15624" max="15624" width="2.7265625" style="600" customWidth="1"/>
    <col min="15625" max="15625" width="11.26953125" style="600" customWidth="1"/>
    <col min="15626" max="15626" width="2.7265625" style="600" customWidth="1"/>
    <col min="15627" max="15627" width="11.26953125" style="600" customWidth="1"/>
    <col min="15628" max="15628" width="2.7265625" style="600" customWidth="1"/>
    <col min="15629" max="15629" width="19.08984375" style="600" bestFit="1" customWidth="1"/>
    <col min="15630" max="15630" width="1.81640625" style="600" customWidth="1"/>
    <col min="15631" max="15631" width="6.7265625" style="600" customWidth="1"/>
    <col min="15632" max="15632" width="14.7265625" style="600" customWidth="1"/>
    <col min="15633" max="15633" width="9" style="600" bestFit="1" customWidth="1"/>
    <col min="15634" max="15874" width="5" style="600"/>
    <col min="15875" max="15875" width="4.7265625" style="600" customWidth="1"/>
    <col min="15876" max="15876" width="2" style="600" customWidth="1"/>
    <col min="15877" max="15877" width="40.7265625" style="600" customWidth="1"/>
    <col min="15878" max="15878" width="3.54296875" style="600" customWidth="1"/>
    <col min="15879" max="15879" width="11.08984375" style="600" customWidth="1"/>
    <col min="15880" max="15880" width="2.7265625" style="600" customWidth="1"/>
    <col min="15881" max="15881" width="11.26953125" style="600" customWidth="1"/>
    <col min="15882" max="15882" width="2.7265625" style="600" customWidth="1"/>
    <col min="15883" max="15883" width="11.26953125" style="600" customWidth="1"/>
    <col min="15884" max="15884" width="2.7265625" style="600" customWidth="1"/>
    <col min="15885" max="15885" width="19.08984375" style="600" bestFit="1" customWidth="1"/>
    <col min="15886" max="15886" width="1.81640625" style="600" customWidth="1"/>
    <col min="15887" max="15887" width="6.7265625" style="600" customWidth="1"/>
    <col min="15888" max="15888" width="14.7265625" style="600" customWidth="1"/>
    <col min="15889" max="15889" width="9" style="600" bestFit="1" customWidth="1"/>
    <col min="15890" max="16130" width="5" style="600"/>
    <col min="16131" max="16131" width="4.7265625" style="600" customWidth="1"/>
    <col min="16132" max="16132" width="2" style="600" customWidth="1"/>
    <col min="16133" max="16133" width="40.7265625" style="600" customWidth="1"/>
    <col min="16134" max="16134" width="3.54296875" style="600" customWidth="1"/>
    <col min="16135" max="16135" width="11.08984375" style="600" customWidth="1"/>
    <col min="16136" max="16136" width="2.7265625" style="600" customWidth="1"/>
    <col min="16137" max="16137" width="11.26953125" style="600" customWidth="1"/>
    <col min="16138" max="16138" width="2.7265625" style="600" customWidth="1"/>
    <col min="16139" max="16139" width="11.26953125" style="600" customWidth="1"/>
    <col min="16140" max="16140" width="2.7265625" style="600" customWidth="1"/>
    <col min="16141" max="16141" width="19.08984375" style="600" bestFit="1" customWidth="1"/>
    <col min="16142" max="16142" width="1.81640625" style="600" customWidth="1"/>
    <col min="16143" max="16143" width="6.7265625" style="600" customWidth="1"/>
    <col min="16144" max="16144" width="14.7265625" style="600" customWidth="1"/>
    <col min="16145" max="16145" width="9" style="600" bestFit="1" customWidth="1"/>
    <col min="16146" max="16384" width="5" style="600"/>
  </cols>
  <sheetData>
    <row r="1" spans="1:44" ht="15.6" customHeight="1">
      <c r="G1" s="1058"/>
      <c r="H1" s="1058"/>
      <c r="I1" s="1058"/>
      <c r="J1" s="1058"/>
      <c r="K1" s="1058"/>
      <c r="L1" s="1058"/>
      <c r="M1" s="1058"/>
      <c r="N1" s="1058"/>
      <c r="O1" s="1058"/>
      <c r="P1" s="1058"/>
      <c r="Q1" s="1058"/>
      <c r="AK1" s="671" t="s">
        <v>984</v>
      </c>
      <c r="AL1" s="671"/>
      <c r="AM1" s="671"/>
    </row>
    <row r="2" spans="1:44">
      <c r="G2" s="1058"/>
      <c r="H2" s="1058"/>
      <c r="I2" s="1058"/>
      <c r="J2" s="1058"/>
      <c r="K2" s="1058"/>
      <c r="L2" s="1058"/>
      <c r="M2" s="1058"/>
      <c r="N2" s="1058"/>
      <c r="O2" s="1058"/>
      <c r="P2" s="1058"/>
      <c r="Q2" s="1058"/>
      <c r="AK2" s="671" t="s">
        <v>144</v>
      </c>
      <c r="AL2" s="671"/>
      <c r="AM2" s="671"/>
    </row>
    <row r="3" spans="1:44">
      <c r="G3" s="1058"/>
      <c r="H3" s="1058"/>
      <c r="I3" s="1058"/>
      <c r="J3" s="1058"/>
      <c r="K3" s="1058"/>
      <c r="L3" s="1058"/>
      <c r="M3" s="1058"/>
      <c r="N3" s="1058"/>
      <c r="O3" s="1058"/>
      <c r="P3" s="1058"/>
      <c r="Q3" s="1058"/>
      <c r="AK3" s="671" t="str">
        <f>'Attachment 13b - PJM Billings'!J3</f>
        <v>For the 12 months ended 12/31/2023</v>
      </c>
      <c r="AL3" s="671"/>
      <c r="AM3" s="671"/>
    </row>
    <row r="4" spans="1:44">
      <c r="G4" s="1058"/>
      <c r="H4" s="1058"/>
      <c r="I4" s="1058"/>
      <c r="J4" s="1058"/>
      <c r="K4" s="1058"/>
      <c r="L4" s="1058"/>
      <c r="M4" s="1058"/>
      <c r="N4" s="1058"/>
      <c r="O4" s="1058"/>
      <c r="P4" s="1058"/>
      <c r="Q4" s="1058"/>
    </row>
    <row r="5" spans="1:44">
      <c r="B5" s="600"/>
      <c r="C5" s="620" t="s">
        <v>627</v>
      </c>
      <c r="E5" s="620" t="str">
        <f>"("&amp;CHAR(CODE(MID(C5,2,1))+1)&amp;")"</f>
        <v>(B)</v>
      </c>
      <c r="F5" s="620"/>
      <c r="G5" s="620" t="str">
        <f t="shared" ref="G5" si="0">"("&amp;CHAR(CODE(MID(E5,2,1))+1)&amp;")"</f>
        <v>(C)</v>
      </c>
      <c r="I5" s="620" t="str">
        <f>"("&amp;CHAR(CODE(MID(G5,2,1))+1)&amp;")"</f>
        <v>(D)</v>
      </c>
      <c r="K5" s="620" t="str">
        <f>"("&amp;CHAR(CODE(MID(I5,2,1))+1)&amp;")"</f>
        <v>(E)</v>
      </c>
      <c r="M5" s="620" t="str">
        <f>"("&amp;CHAR(CODE(MID(K5,2,1))+1)&amp;")"</f>
        <v>(F)</v>
      </c>
      <c r="O5" s="620" t="str">
        <f>"("&amp;CHAR(CODE(MID(M5,2,1))+1)&amp;")"</f>
        <v>(G)</v>
      </c>
      <c r="Q5" s="620" t="str">
        <f>"("&amp;CHAR(CODE(MID(O5,2,1))+1)&amp;")"</f>
        <v>(H)</v>
      </c>
      <c r="S5" s="620" t="str">
        <f>"("&amp;CHAR(CODE(MID(Q5,2,1))+1)&amp;")"</f>
        <v>(I)</v>
      </c>
      <c r="U5" s="620" t="str">
        <f>"("&amp;CHAR(CODE(MID(S5,2,1))+1)&amp;")"</f>
        <v>(J)</v>
      </c>
      <c r="W5" s="620" t="str">
        <f>"("&amp;CHAR(CODE(MID(U5,2,1))+1)&amp;")"</f>
        <v>(K)</v>
      </c>
      <c r="Y5" s="620" t="str">
        <f>"("&amp;CHAR(CODE(MID(W5,2,1))+1)&amp;")"</f>
        <v>(L)</v>
      </c>
      <c r="AA5" s="620" t="str">
        <f>"("&amp;CHAR(CODE(MID(Y5,2,1))+1)&amp;")"</f>
        <v>(M)</v>
      </c>
      <c r="AC5" s="620" t="str">
        <f>"("&amp;CHAR(CODE(MID(AA5,2,1))+1)&amp;")"</f>
        <v>(N)</v>
      </c>
      <c r="AE5" s="620" t="str">
        <f>"("&amp;CHAR(CODE(MID(AC5,2,1))+1)&amp;")"</f>
        <v>(O)</v>
      </c>
      <c r="AG5" s="620" t="str">
        <f>"("&amp;CHAR(CODE(MID(AE5,2,1))+1)&amp;")"</f>
        <v>(P)</v>
      </c>
      <c r="AI5" s="620" t="str">
        <f>"("&amp;CHAR(CODE(MID(AG5,2,1))+1)&amp;")"</f>
        <v>(Q)</v>
      </c>
      <c r="AJ5" s="620"/>
      <c r="AK5" s="620" t="str">
        <f t="shared" ref="AK5" si="1">"("&amp;CHAR(CODE(MID(AI5,2,1))+1)&amp;")"</f>
        <v>(R)</v>
      </c>
      <c r="AL5" s="620"/>
      <c r="AM5" s="620" t="str">
        <f t="shared" ref="AM5" si="2">"("&amp;CHAR(CODE(MID(AK5,2,1))+1)&amp;")"</f>
        <v>(S)</v>
      </c>
      <c r="AN5" s="600"/>
      <c r="AO5" s="600"/>
      <c r="AP5" s="600"/>
    </row>
    <row r="6" spans="1:44">
      <c r="B6" s="600"/>
      <c r="G6" s="620"/>
      <c r="I6" s="620"/>
      <c r="K6" s="620"/>
      <c r="M6" s="620"/>
      <c r="O6" s="620"/>
      <c r="Q6" s="620"/>
      <c r="S6" s="620"/>
      <c r="U6" s="620"/>
      <c r="W6" s="620"/>
      <c r="Y6" s="620"/>
      <c r="AA6" s="620"/>
      <c r="AC6" s="620"/>
      <c r="AE6" s="620"/>
      <c r="AG6" s="620"/>
      <c r="AH6" s="601"/>
      <c r="AI6" s="620"/>
      <c r="AJ6" s="601"/>
      <c r="AL6" s="601"/>
      <c r="AR6" s="601"/>
    </row>
    <row r="7" spans="1:44">
      <c r="B7" s="600"/>
      <c r="G7" s="620"/>
      <c r="I7" s="658">
        <v>2022</v>
      </c>
      <c r="K7" s="619">
        <f>$I$7+1</f>
        <v>2023</v>
      </c>
      <c r="M7" s="619">
        <f>$I$7+1</f>
        <v>2023</v>
      </c>
      <c r="O7" s="619">
        <f>$I$7+1</f>
        <v>2023</v>
      </c>
      <c r="Q7" s="619">
        <f>$I$7+1</f>
        <v>2023</v>
      </c>
      <c r="S7" s="619">
        <f>$I$7+1</f>
        <v>2023</v>
      </c>
      <c r="U7" s="619">
        <f>$I$7+1</f>
        <v>2023</v>
      </c>
      <c r="W7" s="619">
        <f>$I$7+1</f>
        <v>2023</v>
      </c>
      <c r="Y7" s="619">
        <f>$I$7+1</f>
        <v>2023</v>
      </c>
      <c r="AA7" s="619">
        <f>$I$7+1</f>
        <v>2023</v>
      </c>
      <c r="AC7" s="619">
        <f>$I$7+1</f>
        <v>2023</v>
      </c>
      <c r="AE7" s="619">
        <f>$I$7+1</f>
        <v>2023</v>
      </c>
      <c r="AG7" s="619">
        <f>$I$7+1</f>
        <v>2023</v>
      </c>
      <c r="AH7" s="601"/>
      <c r="AI7" s="601"/>
      <c r="AJ7" s="601"/>
      <c r="AL7" s="601"/>
      <c r="AM7" s="600"/>
      <c r="AO7" s="600"/>
      <c r="AP7" s="600"/>
    </row>
    <row r="8" spans="1:44" ht="31.2">
      <c r="A8" s="618" t="s">
        <v>630</v>
      </c>
      <c r="B8" s="609"/>
      <c r="C8" s="616" t="s">
        <v>625</v>
      </c>
      <c r="D8" s="609"/>
      <c r="E8" s="888" t="s">
        <v>1020</v>
      </c>
      <c r="F8" s="609"/>
      <c r="G8" s="888" t="s">
        <v>814</v>
      </c>
      <c r="H8" s="609"/>
      <c r="I8" s="615" t="s">
        <v>188</v>
      </c>
      <c r="J8" s="609"/>
      <c r="K8" s="615" t="s">
        <v>623</v>
      </c>
      <c r="L8" s="609"/>
      <c r="M8" s="615" t="s">
        <v>622</v>
      </c>
      <c r="N8" s="609"/>
      <c r="O8" s="615" t="s">
        <v>621</v>
      </c>
      <c r="P8" s="609"/>
      <c r="Q8" s="615" t="s">
        <v>620</v>
      </c>
      <c r="R8" s="609"/>
      <c r="S8" s="615" t="s">
        <v>619</v>
      </c>
      <c r="T8" s="609"/>
      <c r="U8" s="615" t="s">
        <v>618</v>
      </c>
      <c r="V8" s="609"/>
      <c r="W8" s="615" t="s">
        <v>617</v>
      </c>
      <c r="X8" s="609"/>
      <c r="Y8" s="615" t="s">
        <v>616</v>
      </c>
      <c r="Z8" s="609"/>
      <c r="AA8" s="615" t="s">
        <v>615</v>
      </c>
      <c r="AB8" s="609"/>
      <c r="AC8" s="615" t="s">
        <v>614</v>
      </c>
      <c r="AD8" s="609"/>
      <c r="AE8" s="615" t="s">
        <v>613</v>
      </c>
      <c r="AF8" s="609"/>
      <c r="AG8" s="615" t="s">
        <v>188</v>
      </c>
      <c r="AH8" s="607"/>
      <c r="AI8" s="615" t="s">
        <v>738</v>
      </c>
      <c r="AJ8" s="758" t="s">
        <v>642</v>
      </c>
      <c r="AK8" s="888" t="s">
        <v>783</v>
      </c>
      <c r="AL8" s="923" t="s">
        <v>60</v>
      </c>
      <c r="AM8" s="889" t="s">
        <v>809</v>
      </c>
      <c r="AN8" s="607"/>
      <c r="AO8" s="822"/>
      <c r="AP8" s="822"/>
      <c r="AQ8" s="822"/>
    </row>
    <row r="9" spans="1:44">
      <c r="A9" s="611"/>
      <c r="B9" s="609"/>
      <c r="C9" s="610"/>
      <c r="D9" s="609"/>
      <c r="E9" s="608"/>
      <c r="F9" s="609"/>
      <c r="G9" s="608"/>
      <c r="H9" s="609"/>
      <c r="I9" s="608"/>
      <c r="J9" s="609"/>
      <c r="K9" s="608"/>
      <c r="L9" s="609"/>
      <c r="M9" s="608"/>
      <c r="N9" s="609"/>
      <c r="O9" s="608"/>
      <c r="P9" s="609"/>
      <c r="Q9" s="608"/>
      <c r="R9" s="609"/>
      <c r="S9" s="608"/>
      <c r="T9" s="609"/>
      <c r="U9" s="608"/>
      <c r="V9" s="609"/>
      <c r="W9" s="608"/>
      <c r="X9" s="609"/>
      <c r="Y9" s="608"/>
      <c r="Z9" s="609"/>
      <c r="AA9" s="608"/>
      <c r="AB9" s="609"/>
      <c r="AC9" s="608"/>
      <c r="AD9" s="609"/>
      <c r="AE9" s="608"/>
      <c r="AF9" s="609"/>
      <c r="AG9" s="608"/>
      <c r="AH9" s="609"/>
      <c r="AI9" s="608"/>
      <c r="AJ9" s="609"/>
      <c r="AK9" s="608"/>
      <c r="AL9" s="607"/>
      <c r="AM9" s="608"/>
      <c r="AN9" s="608"/>
      <c r="AO9" s="608"/>
      <c r="AP9" s="608"/>
      <c r="AQ9" s="612"/>
      <c r="AR9" s="607"/>
    </row>
    <row r="10" spans="1:44">
      <c r="A10" s="611">
        <v>1</v>
      </c>
      <c r="B10" s="609"/>
      <c r="C10" s="610" t="s">
        <v>612</v>
      </c>
      <c r="D10" s="609"/>
      <c r="E10" s="608"/>
      <c r="F10" s="609"/>
      <c r="G10" s="608"/>
      <c r="H10" s="609"/>
      <c r="I10" s="608"/>
      <c r="J10" s="609"/>
      <c r="K10" s="608"/>
      <c r="L10" s="609"/>
      <c r="M10" s="608"/>
      <c r="N10" s="609"/>
      <c r="O10" s="608"/>
      <c r="P10" s="609"/>
      <c r="Q10" s="608"/>
      <c r="R10" s="609"/>
      <c r="S10" s="608"/>
      <c r="T10" s="609"/>
      <c r="U10" s="608"/>
      <c r="V10" s="609"/>
      <c r="W10" s="608"/>
      <c r="X10" s="609"/>
      <c r="Y10" s="608"/>
      <c r="Z10" s="609"/>
      <c r="AA10" s="608"/>
      <c r="AB10" s="609"/>
      <c r="AC10" s="608"/>
      <c r="AD10" s="609"/>
      <c r="AE10" s="608"/>
      <c r="AF10" s="609"/>
      <c r="AG10" s="608"/>
      <c r="AH10" s="609"/>
      <c r="AI10" s="608"/>
      <c r="AJ10" s="609"/>
      <c r="AK10" s="608"/>
      <c r="AL10" s="607"/>
      <c r="AM10" s="608"/>
      <c r="AN10" s="608"/>
      <c r="AO10" s="608"/>
      <c r="AP10" s="608"/>
      <c r="AQ10" s="608"/>
      <c r="AR10" s="607"/>
    </row>
    <row r="11" spans="1:44">
      <c r="C11" s="601"/>
      <c r="D11" s="601"/>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L11" s="601"/>
      <c r="AQ11" s="601"/>
      <c r="AR11" s="601"/>
    </row>
    <row r="12" spans="1:44">
      <c r="A12" s="735">
        <f>A10+0.01</f>
        <v>1.01</v>
      </c>
      <c r="B12" s="600"/>
      <c r="C12" s="655" t="s">
        <v>1147</v>
      </c>
      <c r="E12" s="723" t="s">
        <v>1088</v>
      </c>
      <c r="G12" s="661"/>
      <c r="I12" s="656">
        <v>23393723.02</v>
      </c>
      <c r="K12" s="656">
        <v>23393774.09</v>
      </c>
      <c r="M12" s="656">
        <v>25468023.079999998</v>
      </c>
      <c r="O12" s="656">
        <v>24738580.390000001</v>
      </c>
      <c r="Q12" s="656">
        <v>24168419.849999998</v>
      </c>
      <c r="S12" s="656">
        <v>79478594.409999996</v>
      </c>
      <c r="U12" s="656">
        <v>77965024.859999999</v>
      </c>
      <c r="W12" s="656">
        <v>73424529.939999998</v>
      </c>
      <c r="Y12" s="656">
        <v>59385914.769999996</v>
      </c>
      <c r="AA12" s="656">
        <v>53029960.870000005</v>
      </c>
      <c r="AC12" s="656">
        <v>43548670.049999997</v>
      </c>
      <c r="AE12" s="656">
        <v>34735742.039999999</v>
      </c>
      <c r="AG12" s="656">
        <v>31094402.75</v>
      </c>
      <c r="AI12" s="602">
        <f>SUM(I12:AG12)/13</f>
        <v>44140412.316923074</v>
      </c>
      <c r="AJ12" s="602"/>
      <c r="AK12" s="642">
        <f ca="1">IFERROR(INDIRECT(E12),0)</f>
        <v>0</v>
      </c>
      <c r="AL12" s="602"/>
      <c r="AM12" s="606">
        <f ca="1">AI12*AK12</f>
        <v>0</v>
      </c>
      <c r="AN12" s="600"/>
      <c r="AO12" s="600"/>
      <c r="AP12" s="600"/>
    </row>
    <row r="13" spans="1:44">
      <c r="A13" s="735">
        <f>A12+0.01</f>
        <v>1.02</v>
      </c>
      <c r="B13" s="600"/>
      <c r="C13" s="655" t="s">
        <v>1146</v>
      </c>
      <c r="E13" s="723" t="s">
        <v>1088</v>
      </c>
      <c r="G13" s="661"/>
      <c r="I13" s="656">
        <v>2968641.21</v>
      </c>
      <c r="K13" s="656">
        <v>2626308.9899999998</v>
      </c>
      <c r="M13" s="656">
        <v>2788267.39</v>
      </c>
      <c r="O13" s="656">
        <v>3968936.93</v>
      </c>
      <c r="Q13" s="656">
        <v>2889731.53</v>
      </c>
      <c r="S13" s="656">
        <v>1941860.2999999998</v>
      </c>
      <c r="U13" s="656">
        <v>1049466.8700000001</v>
      </c>
      <c r="W13" s="656">
        <v>3112029.64</v>
      </c>
      <c r="Y13" s="656">
        <v>2578633.3000000003</v>
      </c>
      <c r="AA13" s="656">
        <v>2725230.6399999997</v>
      </c>
      <c r="AC13" s="656">
        <v>4322094.0999999996</v>
      </c>
      <c r="AE13" s="656">
        <v>4505534.7200000007</v>
      </c>
      <c r="AG13" s="656">
        <v>3926508.62</v>
      </c>
      <c r="AI13" s="602">
        <f>SUM(I13:AG13)/13</f>
        <v>3031018.7876923075</v>
      </c>
      <c r="AJ13" s="602"/>
      <c r="AK13" s="642">
        <f t="shared" ref="AK13" ca="1" si="3">IFERROR(INDIRECT(E13),0)</f>
        <v>0</v>
      </c>
      <c r="AL13" s="602"/>
      <c r="AM13" s="606">
        <f ca="1">AI13*AK13</f>
        <v>0</v>
      </c>
      <c r="AN13" s="600"/>
      <c r="AO13" s="600"/>
      <c r="AP13" s="600"/>
    </row>
    <row r="14" spans="1:44">
      <c r="A14" s="601">
        <f>A10+1</f>
        <v>2</v>
      </c>
      <c r="B14" s="600"/>
      <c r="C14" s="300" t="str">
        <f ca="1">"Sum of Lines "&amp;A12&amp;" through "&amp;OFFSET(A14,-1,0)</f>
        <v>Sum of Lines 1.01 through 1.02</v>
      </c>
      <c r="G14" s="643"/>
      <c r="I14" s="605">
        <f>SUM(I12:I13)</f>
        <v>26362364.23</v>
      </c>
      <c r="K14" s="605">
        <f>SUM(K12:K13)</f>
        <v>26020083.079999998</v>
      </c>
      <c r="M14" s="605">
        <f>SUM(M12:M13)</f>
        <v>28256290.469999999</v>
      </c>
      <c r="O14" s="605">
        <f>SUM(O12:O13)</f>
        <v>28707517.32</v>
      </c>
      <c r="Q14" s="605">
        <f>SUM(Q12:Q13)</f>
        <v>27058151.379999999</v>
      </c>
      <c r="S14" s="605">
        <f>SUM(S12:S13)</f>
        <v>81420454.709999993</v>
      </c>
      <c r="U14" s="605">
        <f>SUM(U12:U13)</f>
        <v>79014491.730000004</v>
      </c>
      <c r="W14" s="605">
        <f>SUM(W12:W13)</f>
        <v>76536559.579999998</v>
      </c>
      <c r="Y14" s="605">
        <f>SUM(Y12:Y13)</f>
        <v>61964548.069999993</v>
      </c>
      <c r="AA14" s="605">
        <f>SUM(AA12:AA13)</f>
        <v>55755191.510000005</v>
      </c>
      <c r="AC14" s="605">
        <f>SUM(AC12:AC13)</f>
        <v>47870764.149999999</v>
      </c>
      <c r="AE14" s="605">
        <f>SUM(AE12:AE13)</f>
        <v>39241276.759999998</v>
      </c>
      <c r="AG14" s="605">
        <f>SUM(AG12:AG13)</f>
        <v>35020911.369999997</v>
      </c>
      <c r="AI14" s="605">
        <f>SUM(AI12:AI13)</f>
        <v>47171431.104615383</v>
      </c>
      <c r="AJ14" s="643"/>
      <c r="AK14" s="759"/>
      <c r="AL14" s="643"/>
      <c r="AM14" s="604">
        <f ca="1">SUM(AM12:AM13)</f>
        <v>0</v>
      </c>
      <c r="AN14" s="600"/>
      <c r="AO14" s="600"/>
      <c r="AP14" s="600"/>
    </row>
    <row r="15" spans="1:44">
      <c r="A15" s="601">
        <f>A14+1</f>
        <v>3</v>
      </c>
      <c r="B15" s="600"/>
      <c r="C15" s="692" t="s">
        <v>733</v>
      </c>
      <c r="I15" s="656">
        <v>26362364</v>
      </c>
      <c r="AE15" s="621"/>
      <c r="AG15" s="656">
        <v>35020911</v>
      </c>
      <c r="AJ15" s="602"/>
      <c r="AK15" s="642"/>
      <c r="AL15" s="602"/>
      <c r="AM15" s="600"/>
      <c r="AN15" s="600"/>
      <c r="AO15" s="600"/>
      <c r="AP15" s="600"/>
    </row>
    <row r="16" spans="1:44">
      <c r="AK16" s="632"/>
    </row>
    <row r="17" spans="1:42">
      <c r="A17" s="601">
        <f>A15+1</f>
        <v>4</v>
      </c>
      <c r="C17" s="662" t="s">
        <v>735</v>
      </c>
      <c r="E17" s="723"/>
      <c r="G17" s="600"/>
      <c r="I17" s="692">
        <f>I18</f>
        <v>0</v>
      </c>
      <c r="K17" s="656">
        <v>0</v>
      </c>
      <c r="M17" s="656">
        <v>0</v>
      </c>
      <c r="O17" s="656">
        <v>0</v>
      </c>
      <c r="Q17" s="656">
        <v>0</v>
      </c>
      <c r="S17" s="656">
        <v>0</v>
      </c>
      <c r="U17" s="656">
        <v>0</v>
      </c>
      <c r="W17" s="656">
        <v>0</v>
      </c>
      <c r="Y17" s="656">
        <v>0</v>
      </c>
      <c r="AA17" s="656">
        <v>0</v>
      </c>
      <c r="AC17" s="656">
        <v>0</v>
      </c>
      <c r="AE17" s="656">
        <v>0</v>
      </c>
      <c r="AG17" s="692">
        <f>AG18</f>
        <v>0</v>
      </c>
      <c r="AI17" s="602">
        <f>SUM(I17:AG17)/13</f>
        <v>0</v>
      </c>
      <c r="AJ17" s="602"/>
      <c r="AK17" s="642">
        <f ca="1">IFERROR(INDIRECT(E17),0)</f>
        <v>0</v>
      </c>
      <c r="AL17" s="602"/>
      <c r="AM17" s="606">
        <f ca="1">AI17*AK17</f>
        <v>0</v>
      </c>
      <c r="AN17" s="600"/>
      <c r="AO17" s="600"/>
      <c r="AP17" s="600"/>
    </row>
    <row r="18" spans="1:42">
      <c r="C18" s="761" t="s">
        <v>734</v>
      </c>
      <c r="G18" s="600"/>
      <c r="I18" s="656">
        <v>0</v>
      </c>
      <c r="L18" s="602"/>
      <c r="AE18" s="621"/>
      <c r="AG18" s="656">
        <v>0</v>
      </c>
      <c r="AI18" s="601"/>
      <c r="AJ18" s="601"/>
      <c r="AL18" s="601"/>
      <c r="AM18" s="600"/>
      <c r="AN18" s="600"/>
      <c r="AO18" s="600"/>
      <c r="AP18" s="600"/>
    </row>
    <row r="19" spans="1:42">
      <c r="G19" s="600"/>
      <c r="I19" s="600"/>
    </row>
    <row r="20" spans="1:42">
      <c r="A20" s="601">
        <f>A17+1</f>
        <v>5</v>
      </c>
      <c r="C20" s="662" t="s">
        <v>782</v>
      </c>
      <c r="E20" s="723"/>
      <c r="G20" s="600"/>
      <c r="I20" s="692">
        <f>I21</f>
        <v>0</v>
      </c>
      <c r="K20" s="656">
        <v>0</v>
      </c>
      <c r="M20" s="656">
        <v>0</v>
      </c>
      <c r="O20" s="656">
        <v>0</v>
      </c>
      <c r="Q20" s="656">
        <v>0</v>
      </c>
      <c r="S20" s="656">
        <v>0</v>
      </c>
      <c r="U20" s="656">
        <v>0</v>
      </c>
      <c r="W20" s="656">
        <v>0</v>
      </c>
      <c r="Y20" s="656">
        <v>0</v>
      </c>
      <c r="AA20" s="656">
        <v>0</v>
      </c>
      <c r="AC20" s="656">
        <v>0</v>
      </c>
      <c r="AE20" s="656">
        <v>0</v>
      </c>
      <c r="AG20" s="692">
        <f>AG21</f>
        <v>0</v>
      </c>
      <c r="AI20" s="602">
        <f>SUM(I20:AG20)/13</f>
        <v>0</v>
      </c>
      <c r="AJ20" s="602"/>
      <c r="AK20" s="642">
        <f ca="1">IFERROR(INDIRECT(E20),0)</f>
        <v>0</v>
      </c>
      <c r="AL20" s="602"/>
      <c r="AM20" s="606">
        <f ca="1">AI20*AK20</f>
        <v>0</v>
      </c>
    </row>
    <row r="21" spans="1:42">
      <c r="C21" s="890" t="s">
        <v>1046</v>
      </c>
      <c r="G21" s="600"/>
      <c r="I21" s="656">
        <v>0</v>
      </c>
      <c r="L21" s="602"/>
      <c r="AE21" s="621"/>
      <c r="AG21" s="656">
        <v>0</v>
      </c>
      <c r="AI21" s="601"/>
      <c r="AJ21" s="601"/>
      <c r="AL21" s="601"/>
      <c r="AM21" s="600"/>
    </row>
    <row r="22" spans="1:42">
      <c r="G22" s="600"/>
      <c r="I22" s="600"/>
    </row>
    <row r="23" spans="1:42">
      <c r="G23" s="600"/>
      <c r="I23" s="600"/>
      <c r="M23" s="788"/>
      <c r="N23" s="788"/>
      <c r="O23" s="788"/>
    </row>
    <row r="24" spans="1:42" ht="15.6" customHeight="1">
      <c r="A24" s="600"/>
      <c r="B24" s="600"/>
      <c r="C24" s="603" t="s">
        <v>153</v>
      </c>
      <c r="D24" s="601"/>
      <c r="E24" s="601"/>
      <c r="F24" s="601"/>
      <c r="G24" s="600"/>
      <c r="I24" s="600"/>
      <c r="M24" s="788"/>
      <c r="N24" s="788"/>
      <c r="O24" s="788"/>
      <c r="P24" s="793"/>
      <c r="Q24" s="793"/>
      <c r="R24" s="793"/>
      <c r="S24" s="793"/>
      <c r="AK24" s="642"/>
    </row>
    <row r="25" spans="1:42">
      <c r="A25" s="600"/>
      <c r="B25" s="600"/>
      <c r="M25" s="788"/>
      <c r="N25" s="788"/>
      <c r="O25" s="788"/>
      <c r="P25" s="793"/>
      <c r="Q25" s="793"/>
      <c r="R25" s="793"/>
      <c r="S25" s="793"/>
      <c r="AK25" s="632"/>
    </row>
    <row r="26" spans="1:42" ht="15.6" customHeight="1">
      <c r="A26" s="600"/>
      <c r="B26" s="600"/>
      <c r="C26" s="1018" t="s">
        <v>628</v>
      </c>
      <c r="D26" s="1018"/>
      <c r="E26" s="1018"/>
      <c r="F26" s="1018"/>
      <c r="G26" s="1018"/>
      <c r="H26" s="1018"/>
      <c r="I26" s="1018"/>
      <c r="J26" s="1018"/>
      <c r="K26" s="1018"/>
      <c r="M26" s="788"/>
      <c r="N26" s="788"/>
      <c r="O26" s="788"/>
      <c r="P26" s="793"/>
      <c r="Q26" s="793"/>
      <c r="R26" s="793"/>
      <c r="S26" s="793"/>
      <c r="AK26" s="632"/>
    </row>
    <row r="27" spans="1:42">
      <c r="A27" s="600"/>
      <c r="B27" s="600"/>
      <c r="C27" s="1018" t="s">
        <v>1038</v>
      </c>
      <c r="D27" s="1018"/>
      <c r="E27" s="1018"/>
      <c r="F27" s="1018"/>
      <c r="G27" s="1018"/>
      <c r="H27" s="1018"/>
      <c r="I27" s="1018"/>
      <c r="J27" s="1018"/>
      <c r="K27" s="1018"/>
      <c r="M27" s="788"/>
      <c r="N27" s="788"/>
      <c r="O27" s="788"/>
      <c r="P27" s="793"/>
      <c r="Q27" s="793"/>
      <c r="R27" s="793"/>
      <c r="S27" s="793"/>
      <c r="U27" s="824"/>
      <c r="AK27" s="632"/>
    </row>
    <row r="28" spans="1:42" ht="15.75" customHeight="1">
      <c r="A28" s="600"/>
      <c r="B28" s="600"/>
      <c r="C28" s="997" t="s">
        <v>737</v>
      </c>
      <c r="D28" s="997"/>
      <c r="E28" s="997"/>
      <c r="F28" s="997"/>
      <c r="G28" s="997"/>
      <c r="H28" s="997"/>
      <c r="I28" s="997"/>
      <c r="J28" s="997"/>
      <c r="K28" s="997"/>
      <c r="M28" s="788"/>
      <c r="N28" s="788"/>
      <c r="O28" s="788"/>
      <c r="P28" s="793"/>
      <c r="Q28" s="793"/>
      <c r="R28" s="793"/>
      <c r="S28" s="793"/>
      <c r="AK28" s="632"/>
    </row>
    <row r="29" spans="1:42">
      <c r="C29" s="600" t="s">
        <v>1066</v>
      </c>
      <c r="G29" s="900"/>
      <c r="H29" s="812"/>
      <c r="I29" s="900"/>
      <c r="K29" s="737"/>
      <c r="M29" s="818"/>
      <c r="O29" s="793"/>
      <c r="P29" s="793"/>
      <c r="Q29" s="793"/>
      <c r="R29" s="793"/>
      <c r="S29" s="793"/>
      <c r="Y29" s="824"/>
    </row>
    <row r="30" spans="1:42">
      <c r="C30" s="600" t="s">
        <v>815</v>
      </c>
      <c r="G30" s="737"/>
      <c r="I30" s="737"/>
      <c r="K30" s="737"/>
      <c r="M30" s="818"/>
      <c r="O30" s="793"/>
      <c r="P30" s="793"/>
      <c r="Q30" s="793"/>
      <c r="R30" s="793"/>
      <c r="S30" s="793"/>
      <c r="W30" s="824"/>
      <c r="X30" s="822"/>
      <c r="Y30" s="824"/>
    </row>
    <row r="31" spans="1:42">
      <c r="C31" s="600" t="s">
        <v>831</v>
      </c>
      <c r="G31" s="737"/>
      <c r="I31" s="737"/>
      <c r="K31" s="737"/>
      <c r="O31" s="793"/>
      <c r="P31" s="793"/>
      <c r="Q31" s="793"/>
      <c r="R31" s="793"/>
      <c r="S31" s="793"/>
    </row>
    <row r="32" spans="1:42">
      <c r="O32" s="783"/>
      <c r="P32" s="783"/>
      <c r="Q32" s="783"/>
      <c r="R32" s="783"/>
      <c r="S32" s="783"/>
    </row>
    <row r="33" spans="3:25">
      <c r="C33" s="812"/>
      <c r="O33" s="783"/>
      <c r="P33" s="783"/>
      <c r="Q33" s="783"/>
      <c r="R33" s="783"/>
      <c r="S33" s="783"/>
    </row>
    <row r="34" spans="3:25">
      <c r="C34" s="812"/>
      <c r="K34" s="824"/>
      <c r="L34" s="822"/>
      <c r="M34" s="824"/>
      <c r="N34" s="822"/>
      <c r="O34" s="829"/>
      <c r="P34" s="829"/>
      <c r="Q34" s="829"/>
      <c r="R34" s="829"/>
      <c r="S34" s="829"/>
      <c r="T34" s="822"/>
      <c r="U34" s="824"/>
      <c r="V34" s="822"/>
      <c r="W34" s="824"/>
      <c r="X34" s="822"/>
      <c r="Y34" s="824"/>
    </row>
    <row r="35" spans="3:25">
      <c r="C35" s="812"/>
      <c r="O35" s="829"/>
      <c r="P35" s="829"/>
      <c r="Q35" s="829"/>
      <c r="R35" s="829"/>
      <c r="S35" s="829"/>
    </row>
    <row r="36" spans="3:25">
      <c r="O36" s="782"/>
      <c r="P36" s="782"/>
      <c r="Q36" s="782"/>
      <c r="R36" s="782"/>
      <c r="S36" s="782"/>
    </row>
    <row r="37" spans="3:25">
      <c r="O37" s="782"/>
      <c r="P37" s="782"/>
      <c r="Q37" s="782"/>
      <c r="R37" s="782"/>
      <c r="S37" s="782"/>
    </row>
  </sheetData>
  <mergeCells count="3">
    <mergeCell ref="C26:K26"/>
    <mergeCell ref="C27:K27"/>
    <mergeCell ref="C28:K28"/>
  </mergeCells>
  <dataValidations count="1">
    <dataValidation type="list" allowBlank="1" showInputMessage="1" showErrorMessage="1" sqref="E12:E13 E17 E20" xr:uid="{00000000-0002-0000-1300-000000000000}">
      <formula1>"DA, TE, TP, GP, WS, CE, EXCL,"</formula1>
    </dataValidation>
  </dataValidations>
  <pageMargins left="0" right="0" top="1" bottom="0.5" header="0" footer="0"/>
  <pageSetup scale="31" fitToHeight="0" orientation="landscape" r:id="rId1"/>
  <headerFooter>
    <oddFooter xml:space="preserve">&amp;L&amp;"Times New Roman,Bold"&amp;10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pageSetUpPr fitToPage="1"/>
  </sheetPr>
  <dimension ref="A1:AL60"/>
  <sheetViews>
    <sheetView showWhiteSpace="0" zoomScale="60" zoomScaleNormal="60" zoomScalePageLayoutView="50" workbookViewId="0">
      <selection activeCell="C2" sqref="C2"/>
    </sheetView>
  </sheetViews>
  <sheetFormatPr defaultColWidth="5" defaultRowHeight="15.6"/>
  <cols>
    <col min="1" max="1" width="7.81640625" style="601" customWidth="1"/>
    <col min="2" max="2" width="0.7265625" style="601" customWidth="1"/>
    <col min="3" max="3" width="69.7265625" style="600" customWidth="1"/>
    <col min="4" max="4" width="0.7265625" style="600" customWidth="1"/>
    <col min="5" max="5" width="13" style="602" customWidth="1"/>
    <col min="6" max="6" width="0.7265625" style="600" customWidth="1"/>
    <col min="7" max="7" width="16.08984375" style="602" customWidth="1"/>
    <col min="8" max="8" width="0.7265625" style="600" customWidth="1"/>
    <col min="9" max="9" width="16.08984375" style="602" customWidth="1"/>
    <col min="10" max="10" width="0.7265625" style="600" customWidth="1"/>
    <col min="11" max="11" width="16.08984375" style="602" customWidth="1"/>
    <col min="12" max="12" width="0.7265625" style="600" customWidth="1"/>
    <col min="13" max="13" width="16.08984375" style="602" customWidth="1"/>
    <col min="14" max="14" width="0.7265625" style="600" customWidth="1"/>
    <col min="15" max="15" width="16.08984375" style="602" customWidth="1"/>
    <col min="16" max="16" width="0.7265625" style="600" customWidth="1"/>
    <col min="17" max="17" width="16.08984375" style="602" customWidth="1"/>
    <col min="18" max="18" width="0.7265625" style="600" customWidth="1"/>
    <col min="19" max="19" width="16.08984375" style="602" customWidth="1"/>
    <col min="20" max="20" width="0.7265625" style="600" customWidth="1"/>
    <col min="21" max="21" width="16.08984375" style="602" customWidth="1"/>
    <col min="22" max="22" width="0.7265625" style="600" customWidth="1"/>
    <col min="23" max="23" width="16.08984375" style="602" customWidth="1"/>
    <col min="24" max="24" width="0.7265625" style="600" customWidth="1"/>
    <col min="25" max="25" width="16.08984375" style="602" customWidth="1"/>
    <col min="26" max="26" width="0.7265625" style="600" customWidth="1"/>
    <col min="27" max="27" width="16.08984375" style="602" customWidth="1"/>
    <col min="28" max="28" width="0.7265625" style="600" customWidth="1"/>
    <col min="29" max="29" width="16.08984375" style="602" customWidth="1"/>
    <col min="30" max="30" width="0.7265625" style="600" customWidth="1"/>
    <col min="31" max="31" width="16.08984375" style="602" customWidth="1"/>
    <col min="32" max="32" width="0.7265625" style="600" customWidth="1"/>
    <col min="33" max="33" width="16.08984375" style="601" customWidth="1"/>
    <col min="34" max="35" width="14.453125" style="600" customWidth="1"/>
    <col min="36" max="36" width="2.26953125" style="600" customWidth="1"/>
    <col min="37" max="37" width="20.7265625" style="601" customWidth="1"/>
    <col min="38" max="38" width="0.54296875" style="600" customWidth="1"/>
    <col min="39" max="252" width="5" style="600"/>
    <col min="253" max="253" width="4.7265625" style="600" customWidth="1"/>
    <col min="254" max="254" width="2" style="600" customWidth="1"/>
    <col min="255" max="255" width="40.7265625" style="600" customWidth="1"/>
    <col min="256" max="256" width="3.54296875" style="600" customWidth="1"/>
    <col min="257" max="257" width="11.08984375" style="600" customWidth="1"/>
    <col min="258" max="258" width="2.7265625" style="600" customWidth="1"/>
    <col min="259" max="259" width="11.26953125" style="600" customWidth="1"/>
    <col min="260" max="260" width="2.7265625" style="600" customWidth="1"/>
    <col min="261" max="261" width="11.26953125" style="600" customWidth="1"/>
    <col min="262" max="262" width="2.7265625" style="600" customWidth="1"/>
    <col min="263" max="263" width="19.08984375" style="600" bestFit="1" customWidth="1"/>
    <col min="264" max="264" width="1.81640625" style="600" customWidth="1"/>
    <col min="265" max="265" width="6.7265625" style="600" customWidth="1"/>
    <col min="266" max="266" width="14.7265625" style="600" customWidth="1"/>
    <col min="267" max="267" width="9" style="600" bestFit="1" customWidth="1"/>
    <col min="268" max="508" width="5" style="600"/>
    <col min="509" max="509" width="4.7265625" style="600" customWidth="1"/>
    <col min="510" max="510" width="2" style="600" customWidth="1"/>
    <col min="511" max="511" width="40.7265625" style="600" customWidth="1"/>
    <col min="512" max="512" width="3.54296875" style="600" customWidth="1"/>
    <col min="513" max="513" width="11.08984375" style="600" customWidth="1"/>
    <col min="514" max="514" width="2.7265625" style="600" customWidth="1"/>
    <col min="515" max="515" width="11.26953125" style="600" customWidth="1"/>
    <col min="516" max="516" width="2.7265625" style="600" customWidth="1"/>
    <col min="517" max="517" width="11.26953125" style="600" customWidth="1"/>
    <col min="518" max="518" width="2.7265625" style="600" customWidth="1"/>
    <col min="519" max="519" width="19.08984375" style="600" bestFit="1" customWidth="1"/>
    <col min="520" max="520" width="1.81640625" style="600" customWidth="1"/>
    <col min="521" max="521" width="6.7265625" style="600" customWidth="1"/>
    <col min="522" max="522" width="14.7265625" style="600" customWidth="1"/>
    <col min="523" max="523" width="9" style="600" bestFit="1" customWidth="1"/>
    <col min="524" max="764" width="5" style="600"/>
    <col min="765" max="765" width="4.7265625" style="600" customWidth="1"/>
    <col min="766" max="766" width="2" style="600" customWidth="1"/>
    <col min="767" max="767" width="40.7265625" style="600" customWidth="1"/>
    <col min="768" max="768" width="3.54296875" style="600" customWidth="1"/>
    <col min="769" max="769" width="11.08984375" style="600" customWidth="1"/>
    <col min="770" max="770" width="2.7265625" style="600" customWidth="1"/>
    <col min="771" max="771" width="11.26953125" style="600" customWidth="1"/>
    <col min="772" max="772" width="2.7265625" style="600" customWidth="1"/>
    <col min="773" max="773" width="11.26953125" style="600" customWidth="1"/>
    <col min="774" max="774" width="2.7265625" style="600" customWidth="1"/>
    <col min="775" max="775" width="19.08984375" style="600" bestFit="1" customWidth="1"/>
    <col min="776" max="776" width="1.81640625" style="600" customWidth="1"/>
    <col min="777" max="777" width="6.7265625" style="600" customWidth="1"/>
    <col min="778" max="778" width="14.7265625" style="600" customWidth="1"/>
    <col min="779" max="779" width="9" style="600" bestFit="1" customWidth="1"/>
    <col min="780" max="1020" width="5" style="600"/>
    <col min="1021" max="1021" width="4.7265625" style="600" customWidth="1"/>
    <col min="1022" max="1022" width="2" style="600" customWidth="1"/>
    <col min="1023" max="1023" width="40.7265625" style="600" customWidth="1"/>
    <col min="1024" max="1024" width="3.54296875" style="600" customWidth="1"/>
    <col min="1025" max="1025" width="11.08984375" style="600" customWidth="1"/>
    <col min="1026" max="1026" width="2.7265625" style="600" customWidth="1"/>
    <col min="1027" max="1027" width="11.26953125" style="600" customWidth="1"/>
    <col min="1028" max="1028" width="2.7265625" style="600" customWidth="1"/>
    <col min="1029" max="1029" width="11.26953125" style="600" customWidth="1"/>
    <col min="1030" max="1030" width="2.7265625" style="600" customWidth="1"/>
    <col min="1031" max="1031" width="19.08984375" style="600" bestFit="1" customWidth="1"/>
    <col min="1032" max="1032" width="1.81640625" style="600" customWidth="1"/>
    <col min="1033" max="1033" width="6.7265625" style="600" customWidth="1"/>
    <col min="1034" max="1034" width="14.7265625" style="600" customWidth="1"/>
    <col min="1035" max="1035" width="9" style="600" bestFit="1" customWidth="1"/>
    <col min="1036" max="1276" width="5" style="600"/>
    <col min="1277" max="1277" width="4.7265625" style="600" customWidth="1"/>
    <col min="1278" max="1278" width="2" style="600" customWidth="1"/>
    <col min="1279" max="1279" width="40.7265625" style="600" customWidth="1"/>
    <col min="1280" max="1280" width="3.54296875" style="600" customWidth="1"/>
    <col min="1281" max="1281" width="11.08984375" style="600" customWidth="1"/>
    <col min="1282" max="1282" width="2.7265625" style="600" customWidth="1"/>
    <col min="1283" max="1283" width="11.26953125" style="600" customWidth="1"/>
    <col min="1284" max="1284" width="2.7265625" style="600" customWidth="1"/>
    <col min="1285" max="1285" width="11.26953125" style="600" customWidth="1"/>
    <col min="1286" max="1286" width="2.7265625" style="600" customWidth="1"/>
    <col min="1287" max="1287" width="19.08984375" style="600" bestFit="1" customWidth="1"/>
    <col min="1288" max="1288" width="1.81640625" style="600" customWidth="1"/>
    <col min="1289" max="1289" width="6.7265625" style="600" customWidth="1"/>
    <col min="1290" max="1290" width="14.7265625" style="600" customWidth="1"/>
    <col min="1291" max="1291" width="9" style="600" bestFit="1" customWidth="1"/>
    <col min="1292" max="1532" width="5" style="600"/>
    <col min="1533" max="1533" width="4.7265625" style="600" customWidth="1"/>
    <col min="1534" max="1534" width="2" style="600" customWidth="1"/>
    <col min="1535" max="1535" width="40.7265625" style="600" customWidth="1"/>
    <col min="1536" max="1536" width="3.54296875" style="600" customWidth="1"/>
    <col min="1537" max="1537" width="11.08984375" style="600" customWidth="1"/>
    <col min="1538" max="1538" width="2.7265625" style="600" customWidth="1"/>
    <col min="1539" max="1539" width="11.26953125" style="600" customWidth="1"/>
    <col min="1540" max="1540" width="2.7265625" style="600" customWidth="1"/>
    <col min="1541" max="1541" width="11.26953125" style="600" customWidth="1"/>
    <col min="1542" max="1542" width="2.7265625" style="600" customWidth="1"/>
    <col min="1543" max="1543" width="19.08984375" style="600" bestFit="1" customWidth="1"/>
    <col min="1544" max="1544" width="1.81640625" style="600" customWidth="1"/>
    <col min="1545" max="1545" width="6.7265625" style="600" customWidth="1"/>
    <col min="1546" max="1546" width="14.7265625" style="600" customWidth="1"/>
    <col min="1547" max="1547" width="9" style="600" bestFit="1" customWidth="1"/>
    <col min="1548" max="1788" width="5" style="600"/>
    <col min="1789" max="1789" width="4.7265625" style="600" customWidth="1"/>
    <col min="1790" max="1790" width="2" style="600" customWidth="1"/>
    <col min="1791" max="1791" width="40.7265625" style="600" customWidth="1"/>
    <col min="1792" max="1792" width="3.54296875" style="600" customWidth="1"/>
    <col min="1793" max="1793" width="11.08984375" style="600" customWidth="1"/>
    <col min="1794" max="1794" width="2.7265625" style="600" customWidth="1"/>
    <col min="1795" max="1795" width="11.26953125" style="600" customWidth="1"/>
    <col min="1796" max="1796" width="2.7265625" style="600" customWidth="1"/>
    <col min="1797" max="1797" width="11.26953125" style="600" customWidth="1"/>
    <col min="1798" max="1798" width="2.7265625" style="600" customWidth="1"/>
    <col min="1799" max="1799" width="19.08984375" style="600" bestFit="1" customWidth="1"/>
    <col min="1800" max="1800" width="1.81640625" style="600" customWidth="1"/>
    <col min="1801" max="1801" width="6.7265625" style="600" customWidth="1"/>
    <col min="1802" max="1802" width="14.7265625" style="600" customWidth="1"/>
    <col min="1803" max="1803" width="9" style="600" bestFit="1" customWidth="1"/>
    <col min="1804" max="2044" width="5" style="600"/>
    <col min="2045" max="2045" width="4.7265625" style="600" customWidth="1"/>
    <col min="2046" max="2046" width="2" style="600" customWidth="1"/>
    <col min="2047" max="2047" width="40.7265625" style="600" customWidth="1"/>
    <col min="2048" max="2048" width="3.54296875" style="600" customWidth="1"/>
    <col min="2049" max="2049" width="11.08984375" style="600" customWidth="1"/>
    <col min="2050" max="2050" width="2.7265625" style="600" customWidth="1"/>
    <col min="2051" max="2051" width="11.26953125" style="600" customWidth="1"/>
    <col min="2052" max="2052" width="2.7265625" style="600" customWidth="1"/>
    <col min="2053" max="2053" width="11.26953125" style="600" customWidth="1"/>
    <col min="2054" max="2054" width="2.7265625" style="600" customWidth="1"/>
    <col min="2055" max="2055" width="19.08984375" style="600" bestFit="1" customWidth="1"/>
    <col min="2056" max="2056" width="1.81640625" style="600" customWidth="1"/>
    <col min="2057" max="2057" width="6.7265625" style="600" customWidth="1"/>
    <col min="2058" max="2058" width="14.7265625" style="600" customWidth="1"/>
    <col min="2059" max="2059" width="9" style="600" bestFit="1" customWidth="1"/>
    <col min="2060" max="2300" width="5" style="600"/>
    <col min="2301" max="2301" width="4.7265625" style="600" customWidth="1"/>
    <col min="2302" max="2302" width="2" style="600" customWidth="1"/>
    <col min="2303" max="2303" width="40.7265625" style="600" customWidth="1"/>
    <col min="2304" max="2304" width="3.54296875" style="600" customWidth="1"/>
    <col min="2305" max="2305" width="11.08984375" style="600" customWidth="1"/>
    <col min="2306" max="2306" width="2.7265625" style="600" customWidth="1"/>
    <col min="2307" max="2307" width="11.26953125" style="600" customWidth="1"/>
    <col min="2308" max="2308" width="2.7265625" style="600" customWidth="1"/>
    <col min="2309" max="2309" width="11.26953125" style="600" customWidth="1"/>
    <col min="2310" max="2310" width="2.7265625" style="600" customWidth="1"/>
    <col min="2311" max="2311" width="19.08984375" style="600" bestFit="1" customWidth="1"/>
    <col min="2312" max="2312" width="1.81640625" style="600" customWidth="1"/>
    <col min="2313" max="2313" width="6.7265625" style="600" customWidth="1"/>
    <col min="2314" max="2314" width="14.7265625" style="600" customWidth="1"/>
    <col min="2315" max="2315" width="9" style="600" bestFit="1" customWidth="1"/>
    <col min="2316" max="2556" width="5" style="600"/>
    <col min="2557" max="2557" width="4.7265625" style="600" customWidth="1"/>
    <col min="2558" max="2558" width="2" style="600" customWidth="1"/>
    <col min="2559" max="2559" width="40.7265625" style="600" customWidth="1"/>
    <col min="2560" max="2560" width="3.54296875" style="600" customWidth="1"/>
    <col min="2561" max="2561" width="11.08984375" style="600" customWidth="1"/>
    <col min="2562" max="2562" width="2.7265625" style="600" customWidth="1"/>
    <col min="2563" max="2563" width="11.26953125" style="600" customWidth="1"/>
    <col min="2564" max="2564" width="2.7265625" style="600" customWidth="1"/>
    <col min="2565" max="2565" width="11.26953125" style="600" customWidth="1"/>
    <col min="2566" max="2566" width="2.7265625" style="600" customWidth="1"/>
    <col min="2567" max="2567" width="19.08984375" style="600" bestFit="1" customWidth="1"/>
    <col min="2568" max="2568" width="1.81640625" style="600" customWidth="1"/>
    <col min="2569" max="2569" width="6.7265625" style="600" customWidth="1"/>
    <col min="2570" max="2570" width="14.7265625" style="600" customWidth="1"/>
    <col min="2571" max="2571" width="9" style="600" bestFit="1" customWidth="1"/>
    <col min="2572" max="2812" width="5" style="600"/>
    <col min="2813" max="2813" width="4.7265625" style="600" customWidth="1"/>
    <col min="2814" max="2814" width="2" style="600" customWidth="1"/>
    <col min="2815" max="2815" width="40.7265625" style="600" customWidth="1"/>
    <col min="2816" max="2816" width="3.54296875" style="600" customWidth="1"/>
    <col min="2817" max="2817" width="11.08984375" style="600" customWidth="1"/>
    <col min="2818" max="2818" width="2.7265625" style="600" customWidth="1"/>
    <col min="2819" max="2819" width="11.26953125" style="600" customWidth="1"/>
    <col min="2820" max="2820" width="2.7265625" style="600" customWidth="1"/>
    <col min="2821" max="2821" width="11.26953125" style="600" customWidth="1"/>
    <col min="2822" max="2822" width="2.7265625" style="600" customWidth="1"/>
    <col min="2823" max="2823" width="19.08984375" style="600" bestFit="1" customWidth="1"/>
    <col min="2824" max="2824" width="1.81640625" style="600" customWidth="1"/>
    <col min="2825" max="2825" width="6.7265625" style="600" customWidth="1"/>
    <col min="2826" max="2826" width="14.7265625" style="600" customWidth="1"/>
    <col min="2827" max="2827" width="9" style="600" bestFit="1" customWidth="1"/>
    <col min="2828" max="3068" width="5" style="600"/>
    <col min="3069" max="3069" width="4.7265625" style="600" customWidth="1"/>
    <col min="3070" max="3070" width="2" style="600" customWidth="1"/>
    <col min="3071" max="3071" width="40.7265625" style="600" customWidth="1"/>
    <col min="3072" max="3072" width="3.54296875" style="600" customWidth="1"/>
    <col min="3073" max="3073" width="11.08984375" style="600" customWidth="1"/>
    <col min="3074" max="3074" width="2.7265625" style="600" customWidth="1"/>
    <col min="3075" max="3075" width="11.26953125" style="600" customWidth="1"/>
    <col min="3076" max="3076" width="2.7265625" style="600" customWidth="1"/>
    <col min="3077" max="3077" width="11.26953125" style="600" customWidth="1"/>
    <col min="3078" max="3078" width="2.7265625" style="600" customWidth="1"/>
    <col min="3079" max="3079" width="19.08984375" style="600" bestFit="1" customWidth="1"/>
    <col min="3080" max="3080" width="1.81640625" style="600" customWidth="1"/>
    <col min="3081" max="3081" width="6.7265625" style="600" customWidth="1"/>
    <col min="3082" max="3082" width="14.7265625" style="600" customWidth="1"/>
    <col min="3083" max="3083" width="9" style="600" bestFit="1" customWidth="1"/>
    <col min="3084" max="3324" width="5" style="600"/>
    <col min="3325" max="3325" width="4.7265625" style="600" customWidth="1"/>
    <col min="3326" max="3326" width="2" style="600" customWidth="1"/>
    <col min="3327" max="3327" width="40.7265625" style="600" customWidth="1"/>
    <col min="3328" max="3328" width="3.54296875" style="600" customWidth="1"/>
    <col min="3329" max="3329" width="11.08984375" style="600" customWidth="1"/>
    <col min="3330" max="3330" width="2.7265625" style="600" customWidth="1"/>
    <col min="3331" max="3331" width="11.26953125" style="600" customWidth="1"/>
    <col min="3332" max="3332" width="2.7265625" style="600" customWidth="1"/>
    <col min="3333" max="3333" width="11.26953125" style="600" customWidth="1"/>
    <col min="3334" max="3334" width="2.7265625" style="600" customWidth="1"/>
    <col min="3335" max="3335" width="19.08984375" style="600" bestFit="1" customWidth="1"/>
    <col min="3336" max="3336" width="1.81640625" style="600" customWidth="1"/>
    <col min="3337" max="3337" width="6.7265625" style="600" customWidth="1"/>
    <col min="3338" max="3338" width="14.7265625" style="600" customWidth="1"/>
    <col min="3339" max="3339" width="9" style="600" bestFit="1" customWidth="1"/>
    <col min="3340" max="3580" width="5" style="600"/>
    <col min="3581" max="3581" width="4.7265625" style="600" customWidth="1"/>
    <col min="3582" max="3582" width="2" style="600" customWidth="1"/>
    <col min="3583" max="3583" width="40.7265625" style="600" customWidth="1"/>
    <col min="3584" max="3584" width="3.54296875" style="600" customWidth="1"/>
    <col min="3585" max="3585" width="11.08984375" style="600" customWidth="1"/>
    <col min="3586" max="3586" width="2.7265625" style="600" customWidth="1"/>
    <col min="3587" max="3587" width="11.26953125" style="600" customWidth="1"/>
    <col min="3588" max="3588" width="2.7265625" style="600" customWidth="1"/>
    <col min="3589" max="3589" width="11.26953125" style="600" customWidth="1"/>
    <col min="3590" max="3590" width="2.7265625" style="600" customWidth="1"/>
    <col min="3591" max="3591" width="19.08984375" style="600" bestFit="1" customWidth="1"/>
    <col min="3592" max="3592" width="1.81640625" style="600" customWidth="1"/>
    <col min="3593" max="3593" width="6.7265625" style="600" customWidth="1"/>
    <col min="3594" max="3594" width="14.7265625" style="600" customWidth="1"/>
    <col min="3595" max="3595" width="9" style="600" bestFit="1" customWidth="1"/>
    <col min="3596" max="3836" width="5" style="600"/>
    <col min="3837" max="3837" width="4.7265625" style="600" customWidth="1"/>
    <col min="3838" max="3838" width="2" style="600" customWidth="1"/>
    <col min="3839" max="3839" width="40.7265625" style="600" customWidth="1"/>
    <col min="3840" max="3840" width="3.54296875" style="600" customWidth="1"/>
    <col min="3841" max="3841" width="11.08984375" style="600" customWidth="1"/>
    <col min="3842" max="3842" width="2.7265625" style="600" customWidth="1"/>
    <col min="3843" max="3843" width="11.26953125" style="600" customWidth="1"/>
    <col min="3844" max="3844" width="2.7265625" style="600" customWidth="1"/>
    <col min="3845" max="3845" width="11.26953125" style="600" customWidth="1"/>
    <col min="3846" max="3846" width="2.7265625" style="600" customWidth="1"/>
    <col min="3847" max="3847" width="19.08984375" style="600" bestFit="1" customWidth="1"/>
    <col min="3848" max="3848" width="1.81640625" style="600" customWidth="1"/>
    <col min="3849" max="3849" width="6.7265625" style="600" customWidth="1"/>
    <col min="3850" max="3850" width="14.7265625" style="600" customWidth="1"/>
    <col min="3851" max="3851" width="9" style="600" bestFit="1" customWidth="1"/>
    <col min="3852" max="4092" width="5" style="600"/>
    <col min="4093" max="4093" width="4.7265625" style="600" customWidth="1"/>
    <col min="4094" max="4094" width="2" style="600" customWidth="1"/>
    <col min="4095" max="4095" width="40.7265625" style="600" customWidth="1"/>
    <col min="4096" max="4096" width="3.54296875" style="600" customWidth="1"/>
    <col min="4097" max="4097" width="11.08984375" style="600" customWidth="1"/>
    <col min="4098" max="4098" width="2.7265625" style="600" customWidth="1"/>
    <col min="4099" max="4099" width="11.26953125" style="600" customWidth="1"/>
    <col min="4100" max="4100" width="2.7265625" style="600" customWidth="1"/>
    <col min="4101" max="4101" width="11.26953125" style="600" customWidth="1"/>
    <col min="4102" max="4102" width="2.7265625" style="600" customWidth="1"/>
    <col min="4103" max="4103" width="19.08984375" style="600" bestFit="1" customWidth="1"/>
    <col min="4104" max="4104" width="1.81640625" style="600" customWidth="1"/>
    <col min="4105" max="4105" width="6.7265625" style="600" customWidth="1"/>
    <col min="4106" max="4106" width="14.7265625" style="600" customWidth="1"/>
    <col min="4107" max="4107" width="9" style="600" bestFit="1" customWidth="1"/>
    <col min="4108" max="4348" width="5" style="600"/>
    <col min="4349" max="4349" width="4.7265625" style="600" customWidth="1"/>
    <col min="4350" max="4350" width="2" style="600" customWidth="1"/>
    <col min="4351" max="4351" width="40.7265625" style="600" customWidth="1"/>
    <col min="4352" max="4352" width="3.54296875" style="600" customWidth="1"/>
    <col min="4353" max="4353" width="11.08984375" style="600" customWidth="1"/>
    <col min="4354" max="4354" width="2.7265625" style="600" customWidth="1"/>
    <col min="4355" max="4355" width="11.26953125" style="600" customWidth="1"/>
    <col min="4356" max="4356" width="2.7265625" style="600" customWidth="1"/>
    <col min="4357" max="4357" width="11.26953125" style="600" customWidth="1"/>
    <col min="4358" max="4358" width="2.7265625" style="600" customWidth="1"/>
    <col min="4359" max="4359" width="19.08984375" style="600" bestFit="1" customWidth="1"/>
    <col min="4360" max="4360" width="1.81640625" style="600" customWidth="1"/>
    <col min="4361" max="4361" width="6.7265625" style="600" customWidth="1"/>
    <col min="4362" max="4362" width="14.7265625" style="600" customWidth="1"/>
    <col min="4363" max="4363" width="9" style="600" bestFit="1" customWidth="1"/>
    <col min="4364" max="4604" width="5" style="600"/>
    <col min="4605" max="4605" width="4.7265625" style="600" customWidth="1"/>
    <col min="4606" max="4606" width="2" style="600" customWidth="1"/>
    <col min="4607" max="4607" width="40.7265625" style="600" customWidth="1"/>
    <col min="4608" max="4608" width="3.54296875" style="600" customWidth="1"/>
    <col min="4609" max="4609" width="11.08984375" style="600" customWidth="1"/>
    <col min="4610" max="4610" width="2.7265625" style="600" customWidth="1"/>
    <col min="4611" max="4611" width="11.26953125" style="600" customWidth="1"/>
    <col min="4612" max="4612" width="2.7265625" style="600" customWidth="1"/>
    <col min="4613" max="4613" width="11.26953125" style="600" customWidth="1"/>
    <col min="4614" max="4614" width="2.7265625" style="600" customWidth="1"/>
    <col min="4615" max="4615" width="19.08984375" style="600" bestFit="1" customWidth="1"/>
    <col min="4616" max="4616" width="1.81640625" style="600" customWidth="1"/>
    <col min="4617" max="4617" width="6.7265625" style="600" customWidth="1"/>
    <col min="4618" max="4618" width="14.7265625" style="600" customWidth="1"/>
    <col min="4619" max="4619" width="9" style="600" bestFit="1" customWidth="1"/>
    <col min="4620" max="4860" width="5" style="600"/>
    <col min="4861" max="4861" width="4.7265625" style="600" customWidth="1"/>
    <col min="4862" max="4862" width="2" style="600" customWidth="1"/>
    <col min="4863" max="4863" width="40.7265625" style="600" customWidth="1"/>
    <col min="4864" max="4864" width="3.54296875" style="600" customWidth="1"/>
    <col min="4865" max="4865" width="11.08984375" style="600" customWidth="1"/>
    <col min="4866" max="4866" width="2.7265625" style="600" customWidth="1"/>
    <col min="4867" max="4867" width="11.26953125" style="600" customWidth="1"/>
    <col min="4868" max="4868" width="2.7265625" style="600" customWidth="1"/>
    <col min="4869" max="4869" width="11.26953125" style="600" customWidth="1"/>
    <col min="4870" max="4870" width="2.7265625" style="600" customWidth="1"/>
    <col min="4871" max="4871" width="19.08984375" style="600" bestFit="1" customWidth="1"/>
    <col min="4872" max="4872" width="1.81640625" style="600" customWidth="1"/>
    <col min="4873" max="4873" width="6.7265625" style="600" customWidth="1"/>
    <col min="4874" max="4874" width="14.7265625" style="600" customWidth="1"/>
    <col min="4875" max="4875" width="9" style="600" bestFit="1" customWidth="1"/>
    <col min="4876" max="5116" width="5" style="600"/>
    <col min="5117" max="5117" width="4.7265625" style="600" customWidth="1"/>
    <col min="5118" max="5118" width="2" style="600" customWidth="1"/>
    <col min="5119" max="5119" width="40.7265625" style="600" customWidth="1"/>
    <col min="5120" max="5120" width="3.54296875" style="600" customWidth="1"/>
    <col min="5121" max="5121" width="11.08984375" style="600" customWidth="1"/>
    <col min="5122" max="5122" width="2.7265625" style="600" customWidth="1"/>
    <col min="5123" max="5123" width="11.26953125" style="600" customWidth="1"/>
    <col min="5124" max="5124" width="2.7265625" style="600" customWidth="1"/>
    <col min="5125" max="5125" width="11.26953125" style="600" customWidth="1"/>
    <col min="5126" max="5126" width="2.7265625" style="600" customWidth="1"/>
    <col min="5127" max="5127" width="19.08984375" style="600" bestFit="1" customWidth="1"/>
    <col min="5128" max="5128" width="1.81640625" style="600" customWidth="1"/>
    <col min="5129" max="5129" width="6.7265625" style="600" customWidth="1"/>
    <col min="5130" max="5130" width="14.7265625" style="600" customWidth="1"/>
    <col min="5131" max="5131" width="9" style="600" bestFit="1" customWidth="1"/>
    <col min="5132" max="5372" width="5" style="600"/>
    <col min="5373" max="5373" width="4.7265625" style="600" customWidth="1"/>
    <col min="5374" max="5374" width="2" style="600" customWidth="1"/>
    <col min="5375" max="5375" width="40.7265625" style="600" customWidth="1"/>
    <col min="5376" max="5376" width="3.54296875" style="600" customWidth="1"/>
    <col min="5377" max="5377" width="11.08984375" style="600" customWidth="1"/>
    <col min="5378" max="5378" width="2.7265625" style="600" customWidth="1"/>
    <col min="5379" max="5379" width="11.26953125" style="600" customWidth="1"/>
    <col min="5380" max="5380" width="2.7265625" style="600" customWidth="1"/>
    <col min="5381" max="5381" width="11.26953125" style="600" customWidth="1"/>
    <col min="5382" max="5382" width="2.7265625" style="600" customWidth="1"/>
    <col min="5383" max="5383" width="19.08984375" style="600" bestFit="1" customWidth="1"/>
    <col min="5384" max="5384" width="1.81640625" style="600" customWidth="1"/>
    <col min="5385" max="5385" width="6.7265625" style="600" customWidth="1"/>
    <col min="5386" max="5386" width="14.7265625" style="600" customWidth="1"/>
    <col min="5387" max="5387" width="9" style="600" bestFit="1" customWidth="1"/>
    <col min="5388" max="5628" width="5" style="600"/>
    <col min="5629" max="5629" width="4.7265625" style="600" customWidth="1"/>
    <col min="5630" max="5630" width="2" style="600" customWidth="1"/>
    <col min="5631" max="5631" width="40.7265625" style="600" customWidth="1"/>
    <col min="5632" max="5632" width="3.54296875" style="600" customWidth="1"/>
    <col min="5633" max="5633" width="11.08984375" style="600" customWidth="1"/>
    <col min="5634" max="5634" width="2.7265625" style="600" customWidth="1"/>
    <col min="5635" max="5635" width="11.26953125" style="600" customWidth="1"/>
    <col min="5636" max="5636" width="2.7265625" style="600" customWidth="1"/>
    <col min="5637" max="5637" width="11.26953125" style="600" customWidth="1"/>
    <col min="5638" max="5638" width="2.7265625" style="600" customWidth="1"/>
    <col min="5639" max="5639" width="19.08984375" style="600" bestFit="1" customWidth="1"/>
    <col min="5640" max="5640" width="1.81640625" style="600" customWidth="1"/>
    <col min="5641" max="5641" width="6.7265625" style="600" customWidth="1"/>
    <col min="5642" max="5642" width="14.7265625" style="600" customWidth="1"/>
    <col min="5643" max="5643" width="9" style="600" bestFit="1" customWidth="1"/>
    <col min="5644" max="5884" width="5" style="600"/>
    <col min="5885" max="5885" width="4.7265625" style="600" customWidth="1"/>
    <col min="5886" max="5886" width="2" style="600" customWidth="1"/>
    <col min="5887" max="5887" width="40.7265625" style="600" customWidth="1"/>
    <col min="5888" max="5888" width="3.54296875" style="600" customWidth="1"/>
    <col min="5889" max="5889" width="11.08984375" style="600" customWidth="1"/>
    <col min="5890" max="5890" width="2.7265625" style="600" customWidth="1"/>
    <col min="5891" max="5891" width="11.26953125" style="600" customWidth="1"/>
    <col min="5892" max="5892" width="2.7265625" style="600" customWidth="1"/>
    <col min="5893" max="5893" width="11.26953125" style="600" customWidth="1"/>
    <col min="5894" max="5894" width="2.7265625" style="600" customWidth="1"/>
    <col min="5895" max="5895" width="19.08984375" style="600" bestFit="1" customWidth="1"/>
    <col min="5896" max="5896" width="1.81640625" style="600" customWidth="1"/>
    <col min="5897" max="5897" width="6.7265625" style="600" customWidth="1"/>
    <col min="5898" max="5898" width="14.7265625" style="600" customWidth="1"/>
    <col min="5899" max="5899" width="9" style="600" bestFit="1" customWidth="1"/>
    <col min="5900" max="6140" width="5" style="600"/>
    <col min="6141" max="6141" width="4.7265625" style="600" customWidth="1"/>
    <col min="6142" max="6142" width="2" style="600" customWidth="1"/>
    <col min="6143" max="6143" width="40.7265625" style="600" customWidth="1"/>
    <col min="6144" max="6144" width="3.54296875" style="600" customWidth="1"/>
    <col min="6145" max="6145" width="11.08984375" style="600" customWidth="1"/>
    <col min="6146" max="6146" width="2.7265625" style="600" customWidth="1"/>
    <col min="6147" max="6147" width="11.26953125" style="600" customWidth="1"/>
    <col min="6148" max="6148" width="2.7265625" style="600" customWidth="1"/>
    <col min="6149" max="6149" width="11.26953125" style="600" customWidth="1"/>
    <col min="6150" max="6150" width="2.7265625" style="600" customWidth="1"/>
    <col min="6151" max="6151" width="19.08984375" style="600" bestFit="1" customWidth="1"/>
    <col min="6152" max="6152" width="1.81640625" style="600" customWidth="1"/>
    <col min="6153" max="6153" width="6.7265625" style="600" customWidth="1"/>
    <col min="6154" max="6154" width="14.7265625" style="600" customWidth="1"/>
    <col min="6155" max="6155" width="9" style="600" bestFit="1" customWidth="1"/>
    <col min="6156" max="6396" width="5" style="600"/>
    <col min="6397" max="6397" width="4.7265625" style="600" customWidth="1"/>
    <col min="6398" max="6398" width="2" style="600" customWidth="1"/>
    <col min="6399" max="6399" width="40.7265625" style="600" customWidth="1"/>
    <col min="6400" max="6400" width="3.54296875" style="600" customWidth="1"/>
    <col min="6401" max="6401" width="11.08984375" style="600" customWidth="1"/>
    <col min="6402" max="6402" width="2.7265625" style="600" customWidth="1"/>
    <col min="6403" max="6403" width="11.26953125" style="600" customWidth="1"/>
    <col min="6404" max="6404" width="2.7265625" style="600" customWidth="1"/>
    <col min="6405" max="6405" width="11.26953125" style="600" customWidth="1"/>
    <col min="6406" max="6406" width="2.7265625" style="600" customWidth="1"/>
    <col min="6407" max="6407" width="19.08984375" style="600" bestFit="1" customWidth="1"/>
    <col min="6408" max="6408" width="1.81640625" style="600" customWidth="1"/>
    <col min="6409" max="6409" width="6.7265625" style="600" customWidth="1"/>
    <col min="6410" max="6410" width="14.7265625" style="600" customWidth="1"/>
    <col min="6411" max="6411" width="9" style="600" bestFit="1" customWidth="1"/>
    <col min="6412" max="6652" width="5" style="600"/>
    <col min="6653" max="6653" width="4.7265625" style="600" customWidth="1"/>
    <col min="6654" max="6654" width="2" style="600" customWidth="1"/>
    <col min="6655" max="6655" width="40.7265625" style="600" customWidth="1"/>
    <col min="6656" max="6656" width="3.54296875" style="600" customWidth="1"/>
    <col min="6657" max="6657" width="11.08984375" style="600" customWidth="1"/>
    <col min="6658" max="6658" width="2.7265625" style="600" customWidth="1"/>
    <col min="6659" max="6659" width="11.26953125" style="600" customWidth="1"/>
    <col min="6660" max="6660" width="2.7265625" style="600" customWidth="1"/>
    <col min="6661" max="6661" width="11.26953125" style="600" customWidth="1"/>
    <col min="6662" max="6662" width="2.7265625" style="600" customWidth="1"/>
    <col min="6663" max="6663" width="19.08984375" style="600" bestFit="1" customWidth="1"/>
    <col min="6664" max="6664" width="1.81640625" style="600" customWidth="1"/>
    <col min="6665" max="6665" width="6.7265625" style="600" customWidth="1"/>
    <col min="6666" max="6666" width="14.7265625" style="600" customWidth="1"/>
    <col min="6667" max="6667" width="9" style="600" bestFit="1" customWidth="1"/>
    <col min="6668" max="6908" width="5" style="600"/>
    <col min="6909" max="6909" width="4.7265625" style="600" customWidth="1"/>
    <col min="6910" max="6910" width="2" style="600" customWidth="1"/>
    <col min="6911" max="6911" width="40.7265625" style="600" customWidth="1"/>
    <col min="6912" max="6912" width="3.54296875" style="600" customWidth="1"/>
    <col min="6913" max="6913" width="11.08984375" style="600" customWidth="1"/>
    <col min="6914" max="6914" width="2.7265625" style="600" customWidth="1"/>
    <col min="6915" max="6915" width="11.26953125" style="600" customWidth="1"/>
    <col min="6916" max="6916" width="2.7265625" style="600" customWidth="1"/>
    <col min="6917" max="6917" width="11.26953125" style="600" customWidth="1"/>
    <col min="6918" max="6918" width="2.7265625" style="600" customWidth="1"/>
    <col min="6919" max="6919" width="19.08984375" style="600" bestFit="1" customWidth="1"/>
    <col min="6920" max="6920" width="1.81640625" style="600" customWidth="1"/>
    <col min="6921" max="6921" width="6.7265625" style="600" customWidth="1"/>
    <col min="6922" max="6922" width="14.7265625" style="600" customWidth="1"/>
    <col min="6923" max="6923" width="9" style="600" bestFit="1" customWidth="1"/>
    <col min="6924" max="7164" width="5" style="600"/>
    <col min="7165" max="7165" width="4.7265625" style="600" customWidth="1"/>
    <col min="7166" max="7166" width="2" style="600" customWidth="1"/>
    <col min="7167" max="7167" width="40.7265625" style="600" customWidth="1"/>
    <col min="7168" max="7168" width="3.54296875" style="600" customWidth="1"/>
    <col min="7169" max="7169" width="11.08984375" style="600" customWidth="1"/>
    <col min="7170" max="7170" width="2.7265625" style="600" customWidth="1"/>
    <col min="7171" max="7171" width="11.26953125" style="600" customWidth="1"/>
    <col min="7172" max="7172" width="2.7265625" style="600" customWidth="1"/>
    <col min="7173" max="7173" width="11.26953125" style="600" customWidth="1"/>
    <col min="7174" max="7174" width="2.7265625" style="600" customWidth="1"/>
    <col min="7175" max="7175" width="19.08984375" style="600" bestFit="1" customWidth="1"/>
    <col min="7176" max="7176" width="1.81640625" style="600" customWidth="1"/>
    <col min="7177" max="7177" width="6.7265625" style="600" customWidth="1"/>
    <col min="7178" max="7178" width="14.7265625" style="600" customWidth="1"/>
    <col min="7179" max="7179" width="9" style="600" bestFit="1" customWidth="1"/>
    <col min="7180" max="7420" width="5" style="600"/>
    <col min="7421" max="7421" width="4.7265625" style="600" customWidth="1"/>
    <col min="7422" max="7422" width="2" style="600" customWidth="1"/>
    <col min="7423" max="7423" width="40.7265625" style="600" customWidth="1"/>
    <col min="7424" max="7424" width="3.54296875" style="600" customWidth="1"/>
    <col min="7425" max="7425" width="11.08984375" style="600" customWidth="1"/>
    <col min="7426" max="7426" width="2.7265625" style="600" customWidth="1"/>
    <col min="7427" max="7427" width="11.26953125" style="600" customWidth="1"/>
    <col min="7428" max="7428" width="2.7265625" style="600" customWidth="1"/>
    <col min="7429" max="7429" width="11.26953125" style="600" customWidth="1"/>
    <col min="7430" max="7430" width="2.7265625" style="600" customWidth="1"/>
    <col min="7431" max="7431" width="19.08984375" style="600" bestFit="1" customWidth="1"/>
    <col min="7432" max="7432" width="1.81640625" style="600" customWidth="1"/>
    <col min="7433" max="7433" width="6.7265625" style="600" customWidth="1"/>
    <col min="7434" max="7434" width="14.7265625" style="600" customWidth="1"/>
    <col min="7435" max="7435" width="9" style="600" bestFit="1" customWidth="1"/>
    <col min="7436" max="7676" width="5" style="600"/>
    <col min="7677" max="7677" width="4.7265625" style="600" customWidth="1"/>
    <col min="7678" max="7678" width="2" style="600" customWidth="1"/>
    <col min="7679" max="7679" width="40.7265625" style="600" customWidth="1"/>
    <col min="7680" max="7680" width="3.54296875" style="600" customWidth="1"/>
    <col min="7681" max="7681" width="11.08984375" style="600" customWidth="1"/>
    <col min="7682" max="7682" width="2.7265625" style="600" customWidth="1"/>
    <col min="7683" max="7683" width="11.26953125" style="600" customWidth="1"/>
    <col min="7684" max="7684" width="2.7265625" style="600" customWidth="1"/>
    <col min="7685" max="7685" width="11.26953125" style="600" customWidth="1"/>
    <col min="7686" max="7686" width="2.7265625" style="600" customWidth="1"/>
    <col min="7687" max="7687" width="19.08984375" style="600" bestFit="1" customWidth="1"/>
    <col min="7688" max="7688" width="1.81640625" style="600" customWidth="1"/>
    <col min="7689" max="7689" width="6.7265625" style="600" customWidth="1"/>
    <col min="7690" max="7690" width="14.7265625" style="600" customWidth="1"/>
    <col min="7691" max="7691" width="9" style="600" bestFit="1" customWidth="1"/>
    <col min="7692" max="7932" width="5" style="600"/>
    <col min="7933" max="7933" width="4.7265625" style="600" customWidth="1"/>
    <col min="7934" max="7934" width="2" style="600" customWidth="1"/>
    <col min="7935" max="7935" width="40.7265625" style="600" customWidth="1"/>
    <col min="7936" max="7936" width="3.54296875" style="600" customWidth="1"/>
    <col min="7937" max="7937" width="11.08984375" style="600" customWidth="1"/>
    <col min="7938" max="7938" width="2.7265625" style="600" customWidth="1"/>
    <col min="7939" max="7939" width="11.26953125" style="600" customWidth="1"/>
    <col min="7940" max="7940" width="2.7265625" style="600" customWidth="1"/>
    <col min="7941" max="7941" width="11.26953125" style="600" customWidth="1"/>
    <col min="7942" max="7942" width="2.7265625" style="600" customWidth="1"/>
    <col min="7943" max="7943" width="19.08984375" style="600" bestFit="1" customWidth="1"/>
    <col min="7944" max="7944" width="1.81640625" style="600" customWidth="1"/>
    <col min="7945" max="7945" width="6.7265625" style="600" customWidth="1"/>
    <col min="7946" max="7946" width="14.7265625" style="600" customWidth="1"/>
    <col min="7947" max="7947" width="9" style="600" bestFit="1" customWidth="1"/>
    <col min="7948" max="8188" width="5" style="600"/>
    <col min="8189" max="8189" width="4.7265625" style="600" customWidth="1"/>
    <col min="8190" max="8190" width="2" style="600" customWidth="1"/>
    <col min="8191" max="8191" width="40.7265625" style="600" customWidth="1"/>
    <col min="8192" max="8192" width="3.54296875" style="600" customWidth="1"/>
    <col min="8193" max="8193" width="11.08984375" style="600" customWidth="1"/>
    <col min="8194" max="8194" width="2.7265625" style="600" customWidth="1"/>
    <col min="8195" max="8195" width="11.26953125" style="600" customWidth="1"/>
    <col min="8196" max="8196" width="2.7265625" style="600" customWidth="1"/>
    <col min="8197" max="8197" width="11.26953125" style="600" customWidth="1"/>
    <col min="8198" max="8198" width="2.7265625" style="600" customWidth="1"/>
    <col min="8199" max="8199" width="19.08984375" style="600" bestFit="1" customWidth="1"/>
    <col min="8200" max="8200" width="1.81640625" style="600" customWidth="1"/>
    <col min="8201" max="8201" width="6.7265625" style="600" customWidth="1"/>
    <col min="8202" max="8202" width="14.7265625" style="600" customWidth="1"/>
    <col min="8203" max="8203" width="9" style="600" bestFit="1" customWidth="1"/>
    <col min="8204" max="8444" width="5" style="600"/>
    <col min="8445" max="8445" width="4.7265625" style="600" customWidth="1"/>
    <col min="8446" max="8446" width="2" style="600" customWidth="1"/>
    <col min="8447" max="8447" width="40.7265625" style="600" customWidth="1"/>
    <col min="8448" max="8448" width="3.54296875" style="600" customWidth="1"/>
    <col min="8449" max="8449" width="11.08984375" style="600" customWidth="1"/>
    <col min="8450" max="8450" width="2.7265625" style="600" customWidth="1"/>
    <col min="8451" max="8451" width="11.26953125" style="600" customWidth="1"/>
    <col min="8452" max="8452" width="2.7265625" style="600" customWidth="1"/>
    <col min="8453" max="8453" width="11.26953125" style="600" customWidth="1"/>
    <col min="8454" max="8454" width="2.7265625" style="600" customWidth="1"/>
    <col min="8455" max="8455" width="19.08984375" style="600" bestFit="1" customWidth="1"/>
    <col min="8456" max="8456" width="1.81640625" style="600" customWidth="1"/>
    <col min="8457" max="8457" width="6.7265625" style="600" customWidth="1"/>
    <col min="8458" max="8458" width="14.7265625" style="600" customWidth="1"/>
    <col min="8459" max="8459" width="9" style="600" bestFit="1" customWidth="1"/>
    <col min="8460" max="8700" width="5" style="600"/>
    <col min="8701" max="8701" width="4.7265625" style="600" customWidth="1"/>
    <col min="8702" max="8702" width="2" style="600" customWidth="1"/>
    <col min="8703" max="8703" width="40.7265625" style="600" customWidth="1"/>
    <col min="8704" max="8704" width="3.54296875" style="600" customWidth="1"/>
    <col min="8705" max="8705" width="11.08984375" style="600" customWidth="1"/>
    <col min="8706" max="8706" width="2.7265625" style="600" customWidth="1"/>
    <col min="8707" max="8707" width="11.26953125" style="600" customWidth="1"/>
    <col min="8708" max="8708" width="2.7265625" style="600" customWidth="1"/>
    <col min="8709" max="8709" width="11.26953125" style="600" customWidth="1"/>
    <col min="8710" max="8710" width="2.7265625" style="600" customWidth="1"/>
    <col min="8711" max="8711" width="19.08984375" style="600" bestFit="1" customWidth="1"/>
    <col min="8712" max="8712" width="1.81640625" style="600" customWidth="1"/>
    <col min="8713" max="8713" width="6.7265625" style="600" customWidth="1"/>
    <col min="8714" max="8714" width="14.7265625" style="600" customWidth="1"/>
    <col min="8715" max="8715" width="9" style="600" bestFit="1" customWidth="1"/>
    <col min="8716" max="8956" width="5" style="600"/>
    <col min="8957" max="8957" width="4.7265625" style="600" customWidth="1"/>
    <col min="8958" max="8958" width="2" style="600" customWidth="1"/>
    <col min="8959" max="8959" width="40.7265625" style="600" customWidth="1"/>
    <col min="8960" max="8960" width="3.54296875" style="600" customWidth="1"/>
    <col min="8961" max="8961" width="11.08984375" style="600" customWidth="1"/>
    <col min="8962" max="8962" width="2.7265625" style="600" customWidth="1"/>
    <col min="8963" max="8963" width="11.26953125" style="600" customWidth="1"/>
    <col min="8964" max="8964" width="2.7265625" style="600" customWidth="1"/>
    <col min="8965" max="8965" width="11.26953125" style="600" customWidth="1"/>
    <col min="8966" max="8966" width="2.7265625" style="600" customWidth="1"/>
    <col min="8967" max="8967" width="19.08984375" style="600" bestFit="1" customWidth="1"/>
    <col min="8968" max="8968" width="1.81640625" style="600" customWidth="1"/>
    <col min="8969" max="8969" width="6.7265625" style="600" customWidth="1"/>
    <col min="8970" max="8970" width="14.7265625" style="600" customWidth="1"/>
    <col min="8971" max="8971" width="9" style="600" bestFit="1" customWidth="1"/>
    <col min="8972" max="9212" width="5" style="600"/>
    <col min="9213" max="9213" width="4.7265625" style="600" customWidth="1"/>
    <col min="9214" max="9214" width="2" style="600" customWidth="1"/>
    <col min="9215" max="9215" width="40.7265625" style="600" customWidth="1"/>
    <col min="9216" max="9216" width="3.54296875" style="600" customWidth="1"/>
    <col min="9217" max="9217" width="11.08984375" style="600" customWidth="1"/>
    <col min="9218" max="9218" width="2.7265625" style="600" customWidth="1"/>
    <col min="9219" max="9219" width="11.26953125" style="600" customWidth="1"/>
    <col min="9220" max="9220" width="2.7265625" style="600" customWidth="1"/>
    <col min="9221" max="9221" width="11.26953125" style="600" customWidth="1"/>
    <col min="9222" max="9222" width="2.7265625" style="600" customWidth="1"/>
    <col min="9223" max="9223" width="19.08984375" style="600" bestFit="1" customWidth="1"/>
    <col min="9224" max="9224" width="1.81640625" style="600" customWidth="1"/>
    <col min="9225" max="9225" width="6.7265625" style="600" customWidth="1"/>
    <col min="9226" max="9226" width="14.7265625" style="600" customWidth="1"/>
    <col min="9227" max="9227" width="9" style="600" bestFit="1" customWidth="1"/>
    <col min="9228" max="9468" width="5" style="600"/>
    <col min="9469" max="9469" width="4.7265625" style="600" customWidth="1"/>
    <col min="9470" max="9470" width="2" style="600" customWidth="1"/>
    <col min="9471" max="9471" width="40.7265625" style="600" customWidth="1"/>
    <col min="9472" max="9472" width="3.54296875" style="600" customWidth="1"/>
    <col min="9473" max="9473" width="11.08984375" style="600" customWidth="1"/>
    <col min="9474" max="9474" width="2.7265625" style="600" customWidth="1"/>
    <col min="9475" max="9475" width="11.26953125" style="600" customWidth="1"/>
    <col min="9476" max="9476" width="2.7265625" style="600" customWidth="1"/>
    <col min="9477" max="9477" width="11.26953125" style="600" customWidth="1"/>
    <col min="9478" max="9478" width="2.7265625" style="600" customWidth="1"/>
    <col min="9479" max="9479" width="19.08984375" style="600" bestFit="1" customWidth="1"/>
    <col min="9480" max="9480" width="1.81640625" style="600" customWidth="1"/>
    <col min="9481" max="9481" width="6.7265625" style="600" customWidth="1"/>
    <col min="9482" max="9482" width="14.7265625" style="600" customWidth="1"/>
    <col min="9483" max="9483" width="9" style="600" bestFit="1" customWidth="1"/>
    <col min="9484" max="9724" width="5" style="600"/>
    <col min="9725" max="9725" width="4.7265625" style="600" customWidth="1"/>
    <col min="9726" max="9726" width="2" style="600" customWidth="1"/>
    <col min="9727" max="9727" width="40.7265625" style="600" customWidth="1"/>
    <col min="9728" max="9728" width="3.54296875" style="600" customWidth="1"/>
    <col min="9729" max="9729" width="11.08984375" style="600" customWidth="1"/>
    <col min="9730" max="9730" width="2.7265625" style="600" customWidth="1"/>
    <col min="9731" max="9731" width="11.26953125" style="600" customWidth="1"/>
    <col min="9732" max="9732" width="2.7265625" style="600" customWidth="1"/>
    <col min="9733" max="9733" width="11.26953125" style="600" customWidth="1"/>
    <col min="9734" max="9734" width="2.7265625" style="600" customWidth="1"/>
    <col min="9735" max="9735" width="19.08984375" style="600" bestFit="1" customWidth="1"/>
    <col min="9736" max="9736" width="1.81640625" style="600" customWidth="1"/>
    <col min="9737" max="9737" width="6.7265625" style="600" customWidth="1"/>
    <col min="9738" max="9738" width="14.7265625" style="600" customWidth="1"/>
    <col min="9739" max="9739" width="9" style="600" bestFit="1" customWidth="1"/>
    <col min="9740" max="9980" width="5" style="600"/>
    <col min="9981" max="9981" width="4.7265625" style="600" customWidth="1"/>
    <col min="9982" max="9982" width="2" style="600" customWidth="1"/>
    <col min="9983" max="9983" width="40.7265625" style="600" customWidth="1"/>
    <col min="9984" max="9984" width="3.54296875" style="600" customWidth="1"/>
    <col min="9985" max="9985" width="11.08984375" style="600" customWidth="1"/>
    <col min="9986" max="9986" width="2.7265625" style="600" customWidth="1"/>
    <col min="9987" max="9987" width="11.26953125" style="600" customWidth="1"/>
    <col min="9988" max="9988" width="2.7265625" style="600" customWidth="1"/>
    <col min="9989" max="9989" width="11.26953125" style="600" customWidth="1"/>
    <col min="9990" max="9990" width="2.7265625" style="600" customWidth="1"/>
    <col min="9991" max="9991" width="19.08984375" style="600" bestFit="1" customWidth="1"/>
    <col min="9992" max="9992" width="1.81640625" style="600" customWidth="1"/>
    <col min="9993" max="9993" width="6.7265625" style="600" customWidth="1"/>
    <col min="9994" max="9994" width="14.7265625" style="600" customWidth="1"/>
    <col min="9995" max="9995" width="9" style="600" bestFit="1" customWidth="1"/>
    <col min="9996" max="10236" width="5" style="600"/>
    <col min="10237" max="10237" width="4.7265625" style="600" customWidth="1"/>
    <col min="10238" max="10238" width="2" style="600" customWidth="1"/>
    <col min="10239" max="10239" width="40.7265625" style="600" customWidth="1"/>
    <col min="10240" max="10240" width="3.54296875" style="600" customWidth="1"/>
    <col min="10241" max="10241" width="11.08984375" style="600" customWidth="1"/>
    <col min="10242" max="10242" width="2.7265625" style="600" customWidth="1"/>
    <col min="10243" max="10243" width="11.26953125" style="600" customWidth="1"/>
    <col min="10244" max="10244" width="2.7265625" style="600" customWidth="1"/>
    <col min="10245" max="10245" width="11.26953125" style="600" customWidth="1"/>
    <col min="10246" max="10246" width="2.7265625" style="600" customWidth="1"/>
    <col min="10247" max="10247" width="19.08984375" style="600" bestFit="1" customWidth="1"/>
    <col min="10248" max="10248" width="1.81640625" style="600" customWidth="1"/>
    <col min="10249" max="10249" width="6.7265625" style="600" customWidth="1"/>
    <col min="10250" max="10250" width="14.7265625" style="600" customWidth="1"/>
    <col min="10251" max="10251" width="9" style="600" bestFit="1" customWidth="1"/>
    <col min="10252" max="10492" width="5" style="600"/>
    <col min="10493" max="10493" width="4.7265625" style="600" customWidth="1"/>
    <col min="10494" max="10494" width="2" style="600" customWidth="1"/>
    <col min="10495" max="10495" width="40.7265625" style="600" customWidth="1"/>
    <col min="10496" max="10496" width="3.54296875" style="600" customWidth="1"/>
    <col min="10497" max="10497" width="11.08984375" style="600" customWidth="1"/>
    <col min="10498" max="10498" width="2.7265625" style="600" customWidth="1"/>
    <col min="10499" max="10499" width="11.26953125" style="600" customWidth="1"/>
    <col min="10500" max="10500" width="2.7265625" style="600" customWidth="1"/>
    <col min="10501" max="10501" width="11.26953125" style="600" customWidth="1"/>
    <col min="10502" max="10502" width="2.7265625" style="600" customWidth="1"/>
    <col min="10503" max="10503" width="19.08984375" style="600" bestFit="1" customWidth="1"/>
    <col min="10504" max="10504" width="1.81640625" style="600" customWidth="1"/>
    <col min="10505" max="10505" width="6.7265625" style="600" customWidth="1"/>
    <col min="10506" max="10506" width="14.7265625" style="600" customWidth="1"/>
    <col min="10507" max="10507" width="9" style="600" bestFit="1" customWidth="1"/>
    <col min="10508" max="10748" width="5" style="600"/>
    <col min="10749" max="10749" width="4.7265625" style="600" customWidth="1"/>
    <col min="10750" max="10750" width="2" style="600" customWidth="1"/>
    <col min="10751" max="10751" width="40.7265625" style="600" customWidth="1"/>
    <col min="10752" max="10752" width="3.54296875" style="600" customWidth="1"/>
    <col min="10753" max="10753" width="11.08984375" style="600" customWidth="1"/>
    <col min="10754" max="10754" width="2.7265625" style="600" customWidth="1"/>
    <col min="10755" max="10755" width="11.26953125" style="600" customWidth="1"/>
    <col min="10756" max="10756" width="2.7265625" style="600" customWidth="1"/>
    <col min="10757" max="10757" width="11.26953125" style="600" customWidth="1"/>
    <col min="10758" max="10758" width="2.7265625" style="600" customWidth="1"/>
    <col min="10759" max="10759" width="19.08984375" style="600" bestFit="1" customWidth="1"/>
    <col min="10760" max="10760" width="1.81640625" style="600" customWidth="1"/>
    <col min="10761" max="10761" width="6.7265625" style="600" customWidth="1"/>
    <col min="10762" max="10762" width="14.7265625" style="600" customWidth="1"/>
    <col min="10763" max="10763" width="9" style="600" bestFit="1" customWidth="1"/>
    <col min="10764" max="11004" width="5" style="600"/>
    <col min="11005" max="11005" width="4.7265625" style="600" customWidth="1"/>
    <col min="11006" max="11006" width="2" style="600" customWidth="1"/>
    <col min="11007" max="11007" width="40.7265625" style="600" customWidth="1"/>
    <col min="11008" max="11008" width="3.54296875" style="600" customWidth="1"/>
    <col min="11009" max="11009" width="11.08984375" style="600" customWidth="1"/>
    <col min="11010" max="11010" width="2.7265625" style="600" customWidth="1"/>
    <col min="11011" max="11011" width="11.26953125" style="600" customWidth="1"/>
    <col min="11012" max="11012" width="2.7265625" style="600" customWidth="1"/>
    <col min="11013" max="11013" width="11.26953125" style="600" customWidth="1"/>
    <col min="11014" max="11014" width="2.7265625" style="600" customWidth="1"/>
    <col min="11015" max="11015" width="19.08984375" style="600" bestFit="1" customWidth="1"/>
    <col min="11016" max="11016" width="1.81640625" style="600" customWidth="1"/>
    <col min="11017" max="11017" width="6.7265625" style="600" customWidth="1"/>
    <col min="11018" max="11018" width="14.7265625" style="600" customWidth="1"/>
    <col min="11019" max="11019" width="9" style="600" bestFit="1" customWidth="1"/>
    <col min="11020" max="11260" width="5" style="600"/>
    <col min="11261" max="11261" width="4.7265625" style="600" customWidth="1"/>
    <col min="11262" max="11262" width="2" style="600" customWidth="1"/>
    <col min="11263" max="11263" width="40.7265625" style="600" customWidth="1"/>
    <col min="11264" max="11264" width="3.54296875" style="600" customWidth="1"/>
    <col min="11265" max="11265" width="11.08984375" style="600" customWidth="1"/>
    <col min="11266" max="11266" width="2.7265625" style="600" customWidth="1"/>
    <col min="11267" max="11267" width="11.26953125" style="600" customWidth="1"/>
    <col min="11268" max="11268" width="2.7265625" style="600" customWidth="1"/>
    <col min="11269" max="11269" width="11.26953125" style="600" customWidth="1"/>
    <col min="11270" max="11270" width="2.7265625" style="600" customWidth="1"/>
    <col min="11271" max="11271" width="19.08984375" style="600" bestFit="1" customWidth="1"/>
    <col min="11272" max="11272" width="1.81640625" style="600" customWidth="1"/>
    <col min="11273" max="11273" width="6.7265625" style="600" customWidth="1"/>
    <col min="11274" max="11274" width="14.7265625" style="600" customWidth="1"/>
    <col min="11275" max="11275" width="9" style="600" bestFit="1" customWidth="1"/>
    <col min="11276" max="11516" width="5" style="600"/>
    <col min="11517" max="11517" width="4.7265625" style="600" customWidth="1"/>
    <col min="11518" max="11518" width="2" style="600" customWidth="1"/>
    <col min="11519" max="11519" width="40.7265625" style="600" customWidth="1"/>
    <col min="11520" max="11520" width="3.54296875" style="600" customWidth="1"/>
    <col min="11521" max="11521" width="11.08984375" style="600" customWidth="1"/>
    <col min="11522" max="11522" width="2.7265625" style="600" customWidth="1"/>
    <col min="11523" max="11523" width="11.26953125" style="600" customWidth="1"/>
    <col min="11524" max="11524" width="2.7265625" style="600" customWidth="1"/>
    <col min="11525" max="11525" width="11.26953125" style="600" customWidth="1"/>
    <col min="11526" max="11526" width="2.7265625" style="600" customWidth="1"/>
    <col min="11527" max="11527" width="19.08984375" style="600" bestFit="1" customWidth="1"/>
    <col min="11528" max="11528" width="1.81640625" style="600" customWidth="1"/>
    <col min="11529" max="11529" width="6.7265625" style="600" customWidth="1"/>
    <col min="11530" max="11530" width="14.7265625" style="600" customWidth="1"/>
    <col min="11531" max="11531" width="9" style="600" bestFit="1" customWidth="1"/>
    <col min="11532" max="11772" width="5" style="600"/>
    <col min="11773" max="11773" width="4.7265625" style="600" customWidth="1"/>
    <col min="11774" max="11774" width="2" style="600" customWidth="1"/>
    <col min="11775" max="11775" width="40.7265625" style="600" customWidth="1"/>
    <col min="11776" max="11776" width="3.54296875" style="600" customWidth="1"/>
    <col min="11777" max="11777" width="11.08984375" style="600" customWidth="1"/>
    <col min="11778" max="11778" width="2.7265625" style="600" customWidth="1"/>
    <col min="11779" max="11779" width="11.26953125" style="600" customWidth="1"/>
    <col min="11780" max="11780" width="2.7265625" style="600" customWidth="1"/>
    <col min="11781" max="11781" width="11.26953125" style="600" customWidth="1"/>
    <col min="11782" max="11782" width="2.7265625" style="600" customWidth="1"/>
    <col min="11783" max="11783" width="19.08984375" style="600" bestFit="1" customWidth="1"/>
    <col min="11784" max="11784" width="1.81640625" style="600" customWidth="1"/>
    <col min="11785" max="11785" width="6.7265625" style="600" customWidth="1"/>
    <col min="11786" max="11786" width="14.7265625" style="600" customWidth="1"/>
    <col min="11787" max="11787" width="9" style="600" bestFit="1" customWidth="1"/>
    <col min="11788" max="12028" width="5" style="600"/>
    <col min="12029" max="12029" width="4.7265625" style="600" customWidth="1"/>
    <col min="12030" max="12030" width="2" style="600" customWidth="1"/>
    <col min="12031" max="12031" width="40.7265625" style="600" customWidth="1"/>
    <col min="12032" max="12032" width="3.54296875" style="600" customWidth="1"/>
    <col min="12033" max="12033" width="11.08984375" style="600" customWidth="1"/>
    <col min="12034" max="12034" width="2.7265625" style="600" customWidth="1"/>
    <col min="12035" max="12035" width="11.26953125" style="600" customWidth="1"/>
    <col min="12036" max="12036" width="2.7265625" style="600" customWidth="1"/>
    <col min="12037" max="12037" width="11.26953125" style="600" customWidth="1"/>
    <col min="12038" max="12038" width="2.7265625" style="600" customWidth="1"/>
    <col min="12039" max="12039" width="19.08984375" style="600" bestFit="1" customWidth="1"/>
    <col min="12040" max="12040" width="1.81640625" style="600" customWidth="1"/>
    <col min="12041" max="12041" width="6.7265625" style="600" customWidth="1"/>
    <col min="12042" max="12042" width="14.7265625" style="600" customWidth="1"/>
    <col min="12043" max="12043" width="9" style="600" bestFit="1" customWidth="1"/>
    <col min="12044" max="12284" width="5" style="600"/>
    <col min="12285" max="12285" width="4.7265625" style="600" customWidth="1"/>
    <col min="12286" max="12286" width="2" style="600" customWidth="1"/>
    <col min="12287" max="12287" width="40.7265625" style="600" customWidth="1"/>
    <col min="12288" max="12288" width="3.54296875" style="600" customWidth="1"/>
    <col min="12289" max="12289" width="11.08984375" style="600" customWidth="1"/>
    <col min="12290" max="12290" width="2.7265625" style="600" customWidth="1"/>
    <col min="12291" max="12291" width="11.26953125" style="600" customWidth="1"/>
    <col min="12292" max="12292" width="2.7265625" style="600" customWidth="1"/>
    <col min="12293" max="12293" width="11.26953125" style="600" customWidth="1"/>
    <col min="12294" max="12294" width="2.7265625" style="600" customWidth="1"/>
    <col min="12295" max="12295" width="19.08984375" style="600" bestFit="1" customWidth="1"/>
    <col min="12296" max="12296" width="1.81640625" style="600" customWidth="1"/>
    <col min="12297" max="12297" width="6.7265625" style="600" customWidth="1"/>
    <col min="12298" max="12298" width="14.7265625" style="600" customWidth="1"/>
    <col min="12299" max="12299" width="9" style="600" bestFit="1" customWidth="1"/>
    <col min="12300" max="12540" width="5" style="600"/>
    <col min="12541" max="12541" width="4.7265625" style="600" customWidth="1"/>
    <col min="12542" max="12542" width="2" style="600" customWidth="1"/>
    <col min="12543" max="12543" width="40.7265625" style="600" customWidth="1"/>
    <col min="12544" max="12544" width="3.54296875" style="600" customWidth="1"/>
    <col min="12545" max="12545" width="11.08984375" style="600" customWidth="1"/>
    <col min="12546" max="12546" width="2.7265625" style="600" customWidth="1"/>
    <col min="12547" max="12547" width="11.26953125" style="600" customWidth="1"/>
    <col min="12548" max="12548" width="2.7265625" style="600" customWidth="1"/>
    <col min="12549" max="12549" width="11.26953125" style="600" customWidth="1"/>
    <col min="12550" max="12550" width="2.7265625" style="600" customWidth="1"/>
    <col min="12551" max="12551" width="19.08984375" style="600" bestFit="1" customWidth="1"/>
    <col min="12552" max="12552" width="1.81640625" style="600" customWidth="1"/>
    <col min="12553" max="12553" width="6.7265625" style="600" customWidth="1"/>
    <col min="12554" max="12554" width="14.7265625" style="600" customWidth="1"/>
    <col min="12555" max="12555" width="9" style="600" bestFit="1" customWidth="1"/>
    <col min="12556" max="12796" width="5" style="600"/>
    <col min="12797" max="12797" width="4.7265625" style="600" customWidth="1"/>
    <col min="12798" max="12798" width="2" style="600" customWidth="1"/>
    <col min="12799" max="12799" width="40.7265625" style="600" customWidth="1"/>
    <col min="12800" max="12800" width="3.54296875" style="600" customWidth="1"/>
    <col min="12801" max="12801" width="11.08984375" style="600" customWidth="1"/>
    <col min="12802" max="12802" width="2.7265625" style="600" customWidth="1"/>
    <col min="12803" max="12803" width="11.26953125" style="600" customWidth="1"/>
    <col min="12804" max="12804" width="2.7265625" style="600" customWidth="1"/>
    <col min="12805" max="12805" width="11.26953125" style="600" customWidth="1"/>
    <col min="12806" max="12806" width="2.7265625" style="600" customWidth="1"/>
    <col min="12807" max="12807" width="19.08984375" style="600" bestFit="1" customWidth="1"/>
    <col min="12808" max="12808" width="1.81640625" style="600" customWidth="1"/>
    <col min="12809" max="12809" width="6.7265625" style="600" customWidth="1"/>
    <col min="12810" max="12810" width="14.7265625" style="600" customWidth="1"/>
    <col min="12811" max="12811" width="9" style="600" bestFit="1" customWidth="1"/>
    <col min="12812" max="13052" width="5" style="600"/>
    <col min="13053" max="13053" width="4.7265625" style="600" customWidth="1"/>
    <col min="13054" max="13054" width="2" style="600" customWidth="1"/>
    <col min="13055" max="13055" width="40.7265625" style="600" customWidth="1"/>
    <col min="13056" max="13056" width="3.54296875" style="600" customWidth="1"/>
    <col min="13057" max="13057" width="11.08984375" style="600" customWidth="1"/>
    <col min="13058" max="13058" width="2.7265625" style="600" customWidth="1"/>
    <col min="13059" max="13059" width="11.26953125" style="600" customWidth="1"/>
    <col min="13060" max="13060" width="2.7265625" style="600" customWidth="1"/>
    <col min="13061" max="13061" width="11.26953125" style="600" customWidth="1"/>
    <col min="13062" max="13062" width="2.7265625" style="600" customWidth="1"/>
    <col min="13063" max="13063" width="19.08984375" style="600" bestFit="1" customWidth="1"/>
    <col min="13064" max="13064" width="1.81640625" style="600" customWidth="1"/>
    <col min="13065" max="13065" width="6.7265625" style="600" customWidth="1"/>
    <col min="13066" max="13066" width="14.7265625" style="600" customWidth="1"/>
    <col min="13067" max="13067" width="9" style="600" bestFit="1" customWidth="1"/>
    <col min="13068" max="13308" width="5" style="600"/>
    <col min="13309" max="13309" width="4.7265625" style="600" customWidth="1"/>
    <col min="13310" max="13310" width="2" style="600" customWidth="1"/>
    <col min="13311" max="13311" width="40.7265625" style="600" customWidth="1"/>
    <col min="13312" max="13312" width="3.54296875" style="600" customWidth="1"/>
    <col min="13313" max="13313" width="11.08984375" style="600" customWidth="1"/>
    <col min="13314" max="13314" width="2.7265625" style="600" customWidth="1"/>
    <col min="13315" max="13315" width="11.26953125" style="600" customWidth="1"/>
    <col min="13316" max="13316" width="2.7265625" style="600" customWidth="1"/>
    <col min="13317" max="13317" width="11.26953125" style="600" customWidth="1"/>
    <col min="13318" max="13318" width="2.7265625" style="600" customWidth="1"/>
    <col min="13319" max="13319" width="19.08984375" style="600" bestFit="1" customWidth="1"/>
    <col min="13320" max="13320" width="1.81640625" style="600" customWidth="1"/>
    <col min="13321" max="13321" width="6.7265625" style="600" customWidth="1"/>
    <col min="13322" max="13322" width="14.7265625" style="600" customWidth="1"/>
    <col min="13323" max="13323" width="9" style="600" bestFit="1" customWidth="1"/>
    <col min="13324" max="13564" width="5" style="600"/>
    <col min="13565" max="13565" width="4.7265625" style="600" customWidth="1"/>
    <col min="13566" max="13566" width="2" style="600" customWidth="1"/>
    <col min="13567" max="13567" width="40.7265625" style="600" customWidth="1"/>
    <col min="13568" max="13568" width="3.54296875" style="600" customWidth="1"/>
    <col min="13569" max="13569" width="11.08984375" style="600" customWidth="1"/>
    <col min="13570" max="13570" width="2.7265625" style="600" customWidth="1"/>
    <col min="13571" max="13571" width="11.26953125" style="600" customWidth="1"/>
    <col min="13572" max="13572" width="2.7265625" style="600" customWidth="1"/>
    <col min="13573" max="13573" width="11.26953125" style="600" customWidth="1"/>
    <col min="13574" max="13574" width="2.7265625" style="600" customWidth="1"/>
    <col min="13575" max="13575" width="19.08984375" style="600" bestFit="1" customWidth="1"/>
    <col min="13576" max="13576" width="1.81640625" style="600" customWidth="1"/>
    <col min="13577" max="13577" width="6.7265625" style="600" customWidth="1"/>
    <col min="13578" max="13578" width="14.7265625" style="600" customWidth="1"/>
    <col min="13579" max="13579" width="9" style="600" bestFit="1" customWidth="1"/>
    <col min="13580" max="13820" width="5" style="600"/>
    <col min="13821" max="13821" width="4.7265625" style="600" customWidth="1"/>
    <col min="13822" max="13822" width="2" style="600" customWidth="1"/>
    <col min="13823" max="13823" width="40.7265625" style="600" customWidth="1"/>
    <col min="13824" max="13824" width="3.54296875" style="600" customWidth="1"/>
    <col min="13825" max="13825" width="11.08984375" style="600" customWidth="1"/>
    <col min="13826" max="13826" width="2.7265625" style="600" customWidth="1"/>
    <col min="13827" max="13827" width="11.26953125" style="600" customWidth="1"/>
    <col min="13828" max="13828" width="2.7265625" style="600" customWidth="1"/>
    <col min="13829" max="13829" width="11.26953125" style="600" customWidth="1"/>
    <col min="13830" max="13830" width="2.7265625" style="600" customWidth="1"/>
    <col min="13831" max="13831" width="19.08984375" style="600" bestFit="1" customWidth="1"/>
    <col min="13832" max="13832" width="1.81640625" style="600" customWidth="1"/>
    <col min="13833" max="13833" width="6.7265625" style="600" customWidth="1"/>
    <col min="13834" max="13834" width="14.7265625" style="600" customWidth="1"/>
    <col min="13835" max="13835" width="9" style="600" bestFit="1" customWidth="1"/>
    <col min="13836" max="14076" width="5" style="600"/>
    <col min="14077" max="14077" width="4.7265625" style="600" customWidth="1"/>
    <col min="14078" max="14078" width="2" style="600" customWidth="1"/>
    <col min="14079" max="14079" width="40.7265625" style="600" customWidth="1"/>
    <col min="14080" max="14080" width="3.54296875" style="600" customWidth="1"/>
    <col min="14081" max="14081" width="11.08984375" style="600" customWidth="1"/>
    <col min="14082" max="14082" width="2.7265625" style="600" customWidth="1"/>
    <col min="14083" max="14083" width="11.26953125" style="600" customWidth="1"/>
    <col min="14084" max="14084" width="2.7265625" style="600" customWidth="1"/>
    <col min="14085" max="14085" width="11.26953125" style="600" customWidth="1"/>
    <col min="14086" max="14086" width="2.7265625" style="600" customWidth="1"/>
    <col min="14087" max="14087" width="19.08984375" style="600" bestFit="1" customWidth="1"/>
    <col min="14088" max="14088" width="1.81640625" style="600" customWidth="1"/>
    <col min="14089" max="14089" width="6.7265625" style="600" customWidth="1"/>
    <col min="14090" max="14090" width="14.7265625" style="600" customWidth="1"/>
    <col min="14091" max="14091" width="9" style="600" bestFit="1" customWidth="1"/>
    <col min="14092" max="14332" width="5" style="600"/>
    <col min="14333" max="14333" width="4.7265625" style="600" customWidth="1"/>
    <col min="14334" max="14334" width="2" style="600" customWidth="1"/>
    <col min="14335" max="14335" width="40.7265625" style="600" customWidth="1"/>
    <col min="14336" max="14336" width="3.54296875" style="600" customWidth="1"/>
    <col min="14337" max="14337" width="11.08984375" style="600" customWidth="1"/>
    <col min="14338" max="14338" width="2.7265625" style="600" customWidth="1"/>
    <col min="14339" max="14339" width="11.26953125" style="600" customWidth="1"/>
    <col min="14340" max="14340" width="2.7265625" style="600" customWidth="1"/>
    <col min="14341" max="14341" width="11.26953125" style="600" customWidth="1"/>
    <col min="14342" max="14342" width="2.7265625" style="600" customWidth="1"/>
    <col min="14343" max="14343" width="19.08984375" style="600" bestFit="1" customWidth="1"/>
    <col min="14344" max="14344" width="1.81640625" style="600" customWidth="1"/>
    <col min="14345" max="14345" width="6.7265625" style="600" customWidth="1"/>
    <col min="14346" max="14346" width="14.7265625" style="600" customWidth="1"/>
    <col min="14347" max="14347" width="9" style="600" bestFit="1" customWidth="1"/>
    <col min="14348" max="14588" width="5" style="600"/>
    <col min="14589" max="14589" width="4.7265625" style="600" customWidth="1"/>
    <col min="14590" max="14590" width="2" style="600" customWidth="1"/>
    <col min="14591" max="14591" width="40.7265625" style="600" customWidth="1"/>
    <col min="14592" max="14592" width="3.54296875" style="600" customWidth="1"/>
    <col min="14593" max="14593" width="11.08984375" style="600" customWidth="1"/>
    <col min="14594" max="14594" width="2.7265625" style="600" customWidth="1"/>
    <col min="14595" max="14595" width="11.26953125" style="600" customWidth="1"/>
    <col min="14596" max="14596" width="2.7265625" style="600" customWidth="1"/>
    <col min="14597" max="14597" width="11.26953125" style="600" customWidth="1"/>
    <col min="14598" max="14598" width="2.7265625" style="600" customWidth="1"/>
    <col min="14599" max="14599" width="19.08984375" style="600" bestFit="1" customWidth="1"/>
    <col min="14600" max="14600" width="1.81640625" style="600" customWidth="1"/>
    <col min="14601" max="14601" width="6.7265625" style="600" customWidth="1"/>
    <col min="14602" max="14602" width="14.7265625" style="600" customWidth="1"/>
    <col min="14603" max="14603" width="9" style="600" bestFit="1" customWidth="1"/>
    <col min="14604" max="14844" width="5" style="600"/>
    <col min="14845" max="14845" width="4.7265625" style="600" customWidth="1"/>
    <col min="14846" max="14846" width="2" style="600" customWidth="1"/>
    <col min="14847" max="14847" width="40.7265625" style="600" customWidth="1"/>
    <col min="14848" max="14848" width="3.54296875" style="600" customWidth="1"/>
    <col min="14849" max="14849" width="11.08984375" style="600" customWidth="1"/>
    <col min="14850" max="14850" width="2.7265625" style="600" customWidth="1"/>
    <col min="14851" max="14851" width="11.26953125" style="600" customWidth="1"/>
    <col min="14852" max="14852" width="2.7265625" style="600" customWidth="1"/>
    <col min="14853" max="14853" width="11.26953125" style="600" customWidth="1"/>
    <col min="14854" max="14854" width="2.7265625" style="600" customWidth="1"/>
    <col min="14855" max="14855" width="19.08984375" style="600" bestFit="1" customWidth="1"/>
    <col min="14856" max="14856" width="1.81640625" style="600" customWidth="1"/>
    <col min="14857" max="14857" width="6.7265625" style="600" customWidth="1"/>
    <col min="14858" max="14858" width="14.7265625" style="600" customWidth="1"/>
    <col min="14859" max="14859" width="9" style="600" bestFit="1" customWidth="1"/>
    <col min="14860" max="15100" width="5" style="600"/>
    <col min="15101" max="15101" width="4.7265625" style="600" customWidth="1"/>
    <col min="15102" max="15102" width="2" style="600" customWidth="1"/>
    <col min="15103" max="15103" width="40.7265625" style="600" customWidth="1"/>
    <col min="15104" max="15104" width="3.54296875" style="600" customWidth="1"/>
    <col min="15105" max="15105" width="11.08984375" style="600" customWidth="1"/>
    <col min="15106" max="15106" width="2.7265625" style="600" customWidth="1"/>
    <col min="15107" max="15107" width="11.26953125" style="600" customWidth="1"/>
    <col min="15108" max="15108" width="2.7265625" style="600" customWidth="1"/>
    <col min="15109" max="15109" width="11.26953125" style="600" customWidth="1"/>
    <col min="15110" max="15110" width="2.7265625" style="600" customWidth="1"/>
    <col min="15111" max="15111" width="19.08984375" style="600" bestFit="1" customWidth="1"/>
    <col min="15112" max="15112" width="1.81640625" style="600" customWidth="1"/>
    <col min="15113" max="15113" width="6.7265625" style="600" customWidth="1"/>
    <col min="15114" max="15114" width="14.7265625" style="600" customWidth="1"/>
    <col min="15115" max="15115" width="9" style="600" bestFit="1" customWidth="1"/>
    <col min="15116" max="15356" width="5" style="600"/>
    <col min="15357" max="15357" width="4.7265625" style="600" customWidth="1"/>
    <col min="15358" max="15358" width="2" style="600" customWidth="1"/>
    <col min="15359" max="15359" width="40.7265625" style="600" customWidth="1"/>
    <col min="15360" max="15360" width="3.54296875" style="600" customWidth="1"/>
    <col min="15361" max="15361" width="11.08984375" style="600" customWidth="1"/>
    <col min="15362" max="15362" width="2.7265625" style="600" customWidth="1"/>
    <col min="15363" max="15363" width="11.26953125" style="600" customWidth="1"/>
    <col min="15364" max="15364" width="2.7265625" style="600" customWidth="1"/>
    <col min="15365" max="15365" width="11.26953125" style="600" customWidth="1"/>
    <col min="15366" max="15366" width="2.7265625" style="600" customWidth="1"/>
    <col min="15367" max="15367" width="19.08984375" style="600" bestFit="1" customWidth="1"/>
    <col min="15368" max="15368" width="1.81640625" style="600" customWidth="1"/>
    <col min="15369" max="15369" width="6.7265625" style="600" customWidth="1"/>
    <col min="15370" max="15370" width="14.7265625" style="600" customWidth="1"/>
    <col min="15371" max="15371" width="9" style="600" bestFit="1" customWidth="1"/>
    <col min="15372" max="15612" width="5" style="600"/>
    <col min="15613" max="15613" width="4.7265625" style="600" customWidth="1"/>
    <col min="15614" max="15614" width="2" style="600" customWidth="1"/>
    <col min="15615" max="15615" width="40.7265625" style="600" customWidth="1"/>
    <col min="15616" max="15616" width="3.54296875" style="600" customWidth="1"/>
    <col min="15617" max="15617" width="11.08984375" style="600" customWidth="1"/>
    <col min="15618" max="15618" width="2.7265625" style="600" customWidth="1"/>
    <col min="15619" max="15619" width="11.26953125" style="600" customWidth="1"/>
    <col min="15620" max="15620" width="2.7265625" style="600" customWidth="1"/>
    <col min="15621" max="15621" width="11.26953125" style="600" customWidth="1"/>
    <col min="15622" max="15622" width="2.7265625" style="600" customWidth="1"/>
    <col min="15623" max="15623" width="19.08984375" style="600" bestFit="1" customWidth="1"/>
    <col min="15624" max="15624" width="1.81640625" style="600" customWidth="1"/>
    <col min="15625" max="15625" width="6.7265625" style="600" customWidth="1"/>
    <col min="15626" max="15626" width="14.7265625" style="600" customWidth="1"/>
    <col min="15627" max="15627" width="9" style="600" bestFit="1" customWidth="1"/>
    <col min="15628" max="15868" width="5" style="600"/>
    <col min="15869" max="15869" width="4.7265625" style="600" customWidth="1"/>
    <col min="15870" max="15870" width="2" style="600" customWidth="1"/>
    <col min="15871" max="15871" width="40.7265625" style="600" customWidth="1"/>
    <col min="15872" max="15872" width="3.54296875" style="600" customWidth="1"/>
    <col min="15873" max="15873" width="11.08984375" style="600" customWidth="1"/>
    <col min="15874" max="15874" width="2.7265625" style="600" customWidth="1"/>
    <col min="15875" max="15875" width="11.26953125" style="600" customWidth="1"/>
    <col min="15876" max="15876" width="2.7265625" style="600" customWidth="1"/>
    <col min="15877" max="15877" width="11.26953125" style="600" customWidth="1"/>
    <col min="15878" max="15878" width="2.7265625" style="600" customWidth="1"/>
    <col min="15879" max="15879" width="19.08984375" style="600" bestFit="1" customWidth="1"/>
    <col min="15880" max="15880" width="1.81640625" style="600" customWidth="1"/>
    <col min="15881" max="15881" width="6.7265625" style="600" customWidth="1"/>
    <col min="15882" max="15882" width="14.7265625" style="600" customWidth="1"/>
    <col min="15883" max="15883" width="9" style="600" bestFit="1" customWidth="1"/>
    <col min="15884" max="16124" width="5" style="600"/>
    <col min="16125" max="16125" width="4.7265625" style="600" customWidth="1"/>
    <col min="16126" max="16126" width="2" style="600" customWidth="1"/>
    <col min="16127" max="16127" width="40.7265625" style="600" customWidth="1"/>
    <col min="16128" max="16128" width="3.54296875" style="600" customWidth="1"/>
    <col min="16129" max="16129" width="11.08984375" style="600" customWidth="1"/>
    <col min="16130" max="16130" width="2.7265625" style="600" customWidth="1"/>
    <col min="16131" max="16131" width="11.26953125" style="600" customWidth="1"/>
    <col min="16132" max="16132" width="2.7265625" style="600" customWidth="1"/>
    <col min="16133" max="16133" width="11.26953125" style="600" customWidth="1"/>
    <col min="16134" max="16134" width="2.7265625" style="600" customWidth="1"/>
    <col min="16135" max="16135" width="19.08984375" style="600" bestFit="1" customWidth="1"/>
    <col min="16136" max="16136" width="1.81640625" style="600" customWidth="1"/>
    <col min="16137" max="16137" width="6.7265625" style="600" customWidth="1"/>
    <col min="16138" max="16138" width="14.7265625" style="600" customWidth="1"/>
    <col min="16139" max="16139" width="9" style="600" bestFit="1" customWidth="1"/>
    <col min="16140" max="16384" width="5" style="600"/>
  </cols>
  <sheetData>
    <row r="1" spans="1:38">
      <c r="I1" s="788"/>
      <c r="J1" s="788"/>
      <c r="K1" s="788"/>
      <c r="L1" s="788"/>
      <c r="M1" s="788"/>
      <c r="N1" s="788"/>
      <c r="O1" s="788"/>
      <c r="P1" s="788"/>
      <c r="Q1" s="788"/>
      <c r="R1" s="1053"/>
      <c r="S1" s="1059"/>
      <c r="T1" s="1053"/>
      <c r="U1" s="782"/>
      <c r="V1" s="782"/>
      <c r="W1" s="782"/>
      <c r="X1" s="782"/>
      <c r="Y1" s="782"/>
      <c r="Z1" s="782"/>
      <c r="AA1" s="782"/>
      <c r="AB1" s="782"/>
      <c r="AC1" s="782"/>
      <c r="AD1" s="782"/>
      <c r="AE1" s="782"/>
      <c r="AH1" s="671" t="s">
        <v>985</v>
      </c>
      <c r="AI1" s="671"/>
      <c r="AJ1" s="671"/>
      <c r="AK1" s="671"/>
    </row>
    <row r="2" spans="1:38">
      <c r="I2" s="788"/>
      <c r="J2" s="788"/>
      <c r="K2" s="788"/>
      <c r="L2" s="788"/>
      <c r="M2" s="788"/>
      <c r="N2" s="788"/>
      <c r="O2" s="788"/>
      <c r="P2" s="788"/>
      <c r="Q2" s="788"/>
      <c r="R2" s="1053"/>
      <c r="S2" s="1059"/>
      <c r="T2" s="1053"/>
      <c r="U2" s="782"/>
      <c r="V2" s="782"/>
      <c r="W2" s="782"/>
      <c r="X2" s="782"/>
      <c r="Y2" s="782"/>
      <c r="Z2" s="782"/>
      <c r="AA2" s="782"/>
      <c r="AB2" s="782"/>
      <c r="AC2" s="782"/>
      <c r="AD2" s="782"/>
      <c r="AE2" s="782"/>
      <c r="AH2" s="671" t="s">
        <v>144</v>
      </c>
      <c r="AI2" s="671"/>
      <c r="AJ2" s="671"/>
      <c r="AK2" s="671"/>
    </row>
    <row r="3" spans="1:38">
      <c r="I3" s="788"/>
      <c r="J3" s="788"/>
      <c r="K3" s="788"/>
      <c r="L3" s="788"/>
      <c r="M3" s="788"/>
      <c r="N3" s="788"/>
      <c r="O3" s="788"/>
      <c r="P3" s="788"/>
      <c r="Q3" s="788"/>
      <c r="R3" s="1053"/>
      <c r="S3" s="1059"/>
      <c r="T3" s="1053"/>
      <c r="U3" s="782"/>
      <c r="V3" s="782"/>
      <c r="W3" s="782"/>
      <c r="X3" s="782"/>
      <c r="Y3" s="782"/>
      <c r="Z3" s="782"/>
      <c r="AA3" s="782"/>
      <c r="AB3" s="782"/>
      <c r="AC3" s="782"/>
      <c r="AD3" s="782"/>
      <c r="AE3" s="782"/>
      <c r="AH3" s="671" t="str">
        <f>'Attachment 14a - Working Cap.'!AK3</f>
        <v>For the 12 months ended 12/31/2023</v>
      </c>
      <c r="AI3" s="671"/>
      <c r="AJ3" s="671"/>
      <c r="AK3" s="671"/>
    </row>
    <row r="5" spans="1:38">
      <c r="B5" s="600"/>
      <c r="C5" s="620" t="s">
        <v>627</v>
      </c>
      <c r="E5" s="620" t="str">
        <f>"("&amp;CHAR(CODE(MID(C5,2,1))+1)&amp;")"</f>
        <v>(B)</v>
      </c>
      <c r="F5" s="744"/>
      <c r="G5" s="620" t="str">
        <f t="shared" ref="G5" si="0">"("&amp;CHAR(CODE(MID(E5,2,1))+1)&amp;")"</f>
        <v>(C)</v>
      </c>
      <c r="I5" s="620" t="str">
        <f>"("&amp;CHAR(CODE(MID(G5,2,1))+1)&amp;")"</f>
        <v>(D)</v>
      </c>
      <c r="K5" s="620" t="str">
        <f>"("&amp;CHAR(CODE(MID(I5,2,1))+1)&amp;")"</f>
        <v>(E)</v>
      </c>
      <c r="M5" s="620" t="str">
        <f>"("&amp;CHAR(CODE(MID(K5,2,1))+1)&amp;")"</f>
        <v>(F)</v>
      </c>
      <c r="O5" s="620" t="str">
        <f>"("&amp;CHAR(CODE(MID(M5,2,1))+1)&amp;")"</f>
        <v>(G)</v>
      </c>
      <c r="Q5" s="620" t="str">
        <f>"("&amp;CHAR(CODE(MID(O5,2,1))+1)&amp;")"</f>
        <v>(H)</v>
      </c>
      <c r="S5" s="620" t="str">
        <f>"("&amp;CHAR(CODE(MID(Q5,2,1))+1)&amp;")"</f>
        <v>(I)</v>
      </c>
      <c r="U5" s="620" t="str">
        <f>"("&amp;CHAR(CODE(MID(S5,2,1))+1)&amp;")"</f>
        <v>(J)</v>
      </c>
      <c r="W5" s="620" t="str">
        <f>"("&amp;CHAR(CODE(MID(U5,2,1))+1)&amp;")"</f>
        <v>(K)</v>
      </c>
      <c r="Y5" s="620" t="str">
        <f>"("&amp;CHAR(CODE(MID(W5,2,1))+1)&amp;")"</f>
        <v>(L)</v>
      </c>
      <c r="AA5" s="620" t="str">
        <f>"("&amp;CHAR(CODE(MID(Y5,2,1))+1)&amp;")"</f>
        <v>(M)</v>
      </c>
      <c r="AC5" s="620" t="str">
        <f>"("&amp;CHAR(CODE(MID(AA5,2,1))+1)&amp;")"</f>
        <v>(N)</v>
      </c>
      <c r="AE5" s="620" t="str">
        <f>"("&amp;CHAR(CODE(MID(AC5,2,1))+1)&amp;")"</f>
        <v>(O)</v>
      </c>
      <c r="AG5" s="620" t="str">
        <f>"("&amp;CHAR(CODE(MID(AE5,2,1))+1)&amp;")"</f>
        <v>(P)</v>
      </c>
      <c r="AH5" s="620" t="str">
        <f>"("&amp;CHAR(CODE(MID(AG5,2,1))+1)&amp;")"</f>
        <v>(Q)</v>
      </c>
      <c r="AI5" s="744" t="str">
        <f>"("&amp;CHAR(CODE(MID(AH5,2,1))+1)&amp;")"</f>
        <v>(R)</v>
      </c>
      <c r="AJ5" s="744"/>
      <c r="AK5" s="744" t="str">
        <f>"("&amp;CHAR(CODE(MID(AI5,2,1))+1)&amp;")"</f>
        <v>(S)</v>
      </c>
    </row>
    <row r="6" spans="1:38">
      <c r="B6" s="600"/>
      <c r="E6" s="620"/>
      <c r="G6" s="620"/>
      <c r="I6" s="620"/>
      <c r="K6" s="620"/>
      <c r="M6" s="620"/>
      <c r="O6" s="620"/>
      <c r="Q6" s="620"/>
      <c r="S6" s="620"/>
      <c r="U6" s="620"/>
      <c r="W6" s="620"/>
      <c r="Y6" s="620"/>
      <c r="AA6" s="620"/>
      <c r="AC6" s="620"/>
      <c r="AD6" s="601"/>
      <c r="AE6" s="620"/>
      <c r="AF6" s="601"/>
      <c r="AH6" s="601"/>
      <c r="AI6" s="601"/>
      <c r="AJ6" s="601"/>
      <c r="AL6" s="601"/>
    </row>
    <row r="7" spans="1:38">
      <c r="B7" s="600"/>
      <c r="E7" s="620"/>
      <c r="G7" s="658">
        <v>2022</v>
      </c>
      <c r="I7" s="619">
        <f>$G$7+1</f>
        <v>2023</v>
      </c>
      <c r="K7" s="619">
        <f>$G$7+1</f>
        <v>2023</v>
      </c>
      <c r="M7" s="619">
        <f>$G$7+1</f>
        <v>2023</v>
      </c>
      <c r="O7" s="619">
        <f>$G$7+1</f>
        <v>2023</v>
      </c>
      <c r="Q7" s="619">
        <f>$G$7+1</f>
        <v>2023</v>
      </c>
      <c r="S7" s="619">
        <f>$G$7+1</f>
        <v>2023</v>
      </c>
      <c r="U7" s="619">
        <f>$G$7+1</f>
        <v>2023</v>
      </c>
      <c r="W7" s="619">
        <f>$G$7+1</f>
        <v>2023</v>
      </c>
      <c r="Y7" s="619">
        <f>$G$7+1</f>
        <v>2023</v>
      </c>
      <c r="AA7" s="619">
        <f>$G$7+1</f>
        <v>2023</v>
      </c>
      <c r="AC7" s="619">
        <f>$G$7+1</f>
        <v>2023</v>
      </c>
      <c r="AE7" s="619">
        <f>$G$7+1</f>
        <v>2023</v>
      </c>
      <c r="AF7" s="601"/>
      <c r="AH7" s="601"/>
      <c r="AI7" s="601"/>
      <c r="AJ7" s="601"/>
      <c r="AK7" s="600"/>
    </row>
    <row r="8" spans="1:38" ht="31.2">
      <c r="A8" s="618" t="s">
        <v>630</v>
      </c>
      <c r="B8" s="609"/>
      <c r="C8" s="616" t="s">
        <v>625</v>
      </c>
      <c r="D8" s="745"/>
      <c r="E8" s="615" t="s">
        <v>624</v>
      </c>
      <c r="F8" s="609"/>
      <c r="G8" s="615" t="s">
        <v>188</v>
      </c>
      <c r="H8" s="609"/>
      <c r="I8" s="615" t="s">
        <v>623</v>
      </c>
      <c r="J8" s="609"/>
      <c r="K8" s="615" t="s">
        <v>622</v>
      </c>
      <c r="L8" s="609"/>
      <c r="M8" s="615" t="s">
        <v>621</v>
      </c>
      <c r="N8" s="609"/>
      <c r="O8" s="615" t="s">
        <v>620</v>
      </c>
      <c r="P8" s="609"/>
      <c r="Q8" s="615" t="s">
        <v>619</v>
      </c>
      <c r="R8" s="609"/>
      <c r="S8" s="615" t="s">
        <v>618</v>
      </c>
      <c r="T8" s="609"/>
      <c r="U8" s="615" t="s">
        <v>617</v>
      </c>
      <c r="V8" s="609"/>
      <c r="W8" s="615" t="s">
        <v>616</v>
      </c>
      <c r="X8" s="609"/>
      <c r="Y8" s="615" t="s">
        <v>615</v>
      </c>
      <c r="Z8" s="609"/>
      <c r="AA8" s="615" t="s">
        <v>614</v>
      </c>
      <c r="AB8" s="609"/>
      <c r="AC8" s="615" t="s">
        <v>613</v>
      </c>
      <c r="AD8" s="609"/>
      <c r="AE8" s="615" t="s">
        <v>188</v>
      </c>
      <c r="AF8" s="607"/>
      <c r="AG8" s="888" t="s">
        <v>910</v>
      </c>
      <c r="AH8" s="889" t="s">
        <v>1031</v>
      </c>
      <c r="AI8" s="889" t="s">
        <v>727</v>
      </c>
      <c r="AJ8" s="835" t="s">
        <v>60</v>
      </c>
      <c r="AK8" s="889" t="s">
        <v>1032</v>
      </c>
    </row>
    <row r="9" spans="1:38">
      <c r="A9" s="611">
        <v>1</v>
      </c>
      <c r="B9" s="609"/>
      <c r="C9" s="610"/>
      <c r="D9" s="609"/>
      <c r="E9" s="608"/>
      <c r="F9" s="609"/>
      <c r="G9" s="608"/>
      <c r="H9" s="609"/>
      <c r="I9" s="608"/>
      <c r="J9" s="609"/>
      <c r="K9" s="608"/>
      <c r="L9" s="609"/>
      <c r="M9" s="608"/>
      <c r="N9" s="609"/>
      <c r="O9" s="608"/>
      <c r="P9" s="609"/>
      <c r="Q9" s="608"/>
      <c r="R9" s="609"/>
      <c r="S9" s="608"/>
      <c r="T9" s="609"/>
      <c r="U9" s="608"/>
      <c r="V9" s="609"/>
      <c r="W9" s="608"/>
      <c r="X9" s="609"/>
      <c r="Y9" s="608"/>
      <c r="Z9" s="609"/>
      <c r="AA9" s="608"/>
      <c r="AB9" s="609"/>
      <c r="AC9" s="608"/>
      <c r="AD9" s="609"/>
      <c r="AE9" s="608"/>
      <c r="AF9" s="607"/>
      <c r="AG9" s="608"/>
      <c r="AH9" s="607"/>
      <c r="AI9" s="607"/>
      <c r="AJ9" s="607"/>
      <c r="AK9" s="612"/>
    </row>
    <row r="10" spans="1:38">
      <c r="A10" s="611">
        <v>2</v>
      </c>
      <c r="B10" s="609"/>
      <c r="C10" s="754" t="s">
        <v>1004</v>
      </c>
      <c r="D10" s="609"/>
      <c r="E10" s="608"/>
      <c r="F10" s="609"/>
      <c r="G10" s="608"/>
      <c r="H10" s="609"/>
      <c r="I10" s="608"/>
      <c r="J10" s="609"/>
      <c r="K10" s="608"/>
      <c r="L10" s="609"/>
      <c r="M10" s="608"/>
      <c r="N10" s="609"/>
      <c r="O10" s="608"/>
      <c r="P10" s="609"/>
      <c r="Q10" s="608"/>
      <c r="R10" s="609"/>
      <c r="S10" s="608"/>
      <c r="T10" s="609"/>
      <c r="U10" s="608"/>
      <c r="V10" s="609"/>
      <c r="W10" s="608"/>
      <c r="X10" s="609"/>
      <c r="Y10" s="608"/>
      <c r="Z10" s="609"/>
      <c r="AA10" s="608"/>
      <c r="AB10" s="609"/>
      <c r="AC10" s="608"/>
      <c r="AD10" s="609"/>
      <c r="AE10" s="608"/>
      <c r="AF10" s="607"/>
      <c r="AG10" s="608"/>
      <c r="AH10" s="607"/>
      <c r="AI10" s="607"/>
      <c r="AJ10" s="607"/>
      <c r="AK10" s="922"/>
    </row>
    <row r="11" spans="1:38">
      <c r="C11" s="601"/>
      <c r="D11" s="601"/>
      <c r="E11" s="601"/>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H11" s="601"/>
      <c r="AI11" s="601"/>
      <c r="AJ11" s="601"/>
    </row>
    <row r="12" spans="1:38">
      <c r="A12" s="736">
        <f>A10+0.01</f>
        <v>2.0099999999999998</v>
      </c>
      <c r="B12" s="600"/>
      <c r="C12" s="655"/>
      <c r="E12" s="656"/>
      <c r="G12" s="656"/>
      <c r="I12" s="656"/>
      <c r="K12" s="656"/>
      <c r="M12" s="656"/>
      <c r="O12" s="656"/>
      <c r="Q12" s="656"/>
      <c r="S12" s="656"/>
      <c r="U12" s="656"/>
      <c r="W12" s="656"/>
      <c r="Y12" s="656"/>
      <c r="AA12" s="656"/>
      <c r="AC12" s="656"/>
      <c r="AE12" s="656"/>
      <c r="AG12" s="602">
        <f>SUM(G12:AE12)/13</f>
        <v>0</v>
      </c>
      <c r="AH12" s="723"/>
      <c r="AI12" s="753">
        <f ca="1">IFERROR(INDIRECT(AH12),0)</f>
        <v>0</v>
      </c>
      <c r="AK12" s="606">
        <f ca="1">AG12*AI12</f>
        <v>0</v>
      </c>
    </row>
    <row r="13" spans="1:38">
      <c r="A13" s="735">
        <f>A12+0.01</f>
        <v>2.0199999999999996</v>
      </c>
      <c r="B13" s="600"/>
      <c r="C13" s="655"/>
      <c r="E13" s="661"/>
      <c r="G13" s="656"/>
      <c r="I13" s="656"/>
      <c r="K13" s="656"/>
      <c r="M13" s="656"/>
      <c r="O13" s="656"/>
      <c r="Q13" s="656"/>
      <c r="S13" s="656"/>
      <c r="U13" s="656"/>
      <c r="W13" s="656"/>
      <c r="Y13" s="656"/>
      <c r="AA13" s="656"/>
      <c r="AC13" s="656"/>
      <c r="AE13" s="656"/>
      <c r="AG13" s="602">
        <f t="shared" ref="AG13" si="1">SUM(G13:AE13)/13</f>
        <v>0</v>
      </c>
      <c r="AH13" s="723"/>
      <c r="AI13" s="753">
        <f ca="1">IFERROR(INDIRECT(AH13),0)</f>
        <v>0</v>
      </c>
      <c r="AK13" s="848">
        <f ca="1">AG13*AI13</f>
        <v>0</v>
      </c>
    </row>
    <row r="14" spans="1:38">
      <c r="A14" s="601">
        <f>A10+1</f>
        <v>3</v>
      </c>
      <c r="B14" s="600"/>
      <c r="C14" s="655" t="str">
        <f ca="1">"Sum of Lines "&amp;A12&amp;" through "&amp;OFFSET(A14,-1,0)</f>
        <v>Sum of Lines 2.01 through 2.02</v>
      </c>
      <c r="E14" s="643"/>
      <c r="G14" s="605">
        <f>SUM(G12:G13)</f>
        <v>0</v>
      </c>
      <c r="I14" s="605">
        <f>SUM(I12:I13)</f>
        <v>0</v>
      </c>
      <c r="K14" s="605">
        <f>SUM(K12:K13)</f>
        <v>0</v>
      </c>
      <c r="M14" s="605">
        <f>SUM(M12:M13)</f>
        <v>0</v>
      </c>
      <c r="O14" s="605">
        <f>SUM(O12:O13)</f>
        <v>0</v>
      </c>
      <c r="Q14" s="605">
        <f>SUM(Q12:Q13)</f>
        <v>0</v>
      </c>
      <c r="S14" s="605">
        <f>SUM(S12:S13)</f>
        <v>0</v>
      </c>
      <c r="U14" s="605">
        <f>SUM(U12:U13)</f>
        <v>0</v>
      </c>
      <c r="W14" s="605">
        <f>SUM(W12:W13)</f>
        <v>0</v>
      </c>
      <c r="Y14" s="605">
        <f>SUM(Y12:Y13)</f>
        <v>0</v>
      </c>
      <c r="AA14" s="605">
        <f>SUM(AA12:AA13)</f>
        <v>0</v>
      </c>
      <c r="AC14" s="605">
        <f>SUM(AC12:AC13)</f>
        <v>0</v>
      </c>
      <c r="AE14" s="605">
        <f>SUM(AE12:AE13)</f>
        <v>0</v>
      </c>
      <c r="AG14" s="605">
        <f>SUM(AG12:AG13)</f>
        <v>0</v>
      </c>
      <c r="AK14" s="606">
        <f ca="1">SUM(AK12:AK13)</f>
        <v>0</v>
      </c>
    </row>
    <row r="15" spans="1:38">
      <c r="AA15" s="737"/>
      <c r="AC15" s="737"/>
      <c r="AE15" s="601"/>
      <c r="AK15" s="600"/>
    </row>
    <row r="16" spans="1:38">
      <c r="A16" s="611">
        <f>A14+1</f>
        <v>4</v>
      </c>
      <c r="B16" s="609"/>
      <c r="C16" s="754" t="s">
        <v>1005</v>
      </c>
      <c r="D16" s="609"/>
      <c r="E16" s="608"/>
      <c r="F16" s="609"/>
      <c r="G16" s="608"/>
      <c r="H16" s="609"/>
      <c r="I16" s="608"/>
      <c r="J16" s="609"/>
      <c r="K16" s="608"/>
      <c r="L16" s="609"/>
      <c r="M16" s="608"/>
      <c r="N16" s="609"/>
      <c r="O16" s="608"/>
      <c r="P16" s="609"/>
      <c r="Q16" s="608"/>
      <c r="R16" s="609"/>
      <c r="S16" s="608"/>
      <c r="T16" s="609"/>
      <c r="U16" s="608"/>
      <c r="V16" s="609"/>
      <c r="W16" s="608"/>
      <c r="X16" s="609"/>
      <c r="Y16" s="608"/>
      <c r="Z16" s="609"/>
      <c r="AA16" s="608"/>
      <c r="AB16" s="609"/>
      <c r="AC16" s="608"/>
      <c r="AD16" s="609"/>
      <c r="AE16" s="608"/>
      <c r="AF16" s="607"/>
      <c r="AG16" s="608"/>
      <c r="AH16" s="607"/>
      <c r="AI16" s="607"/>
      <c r="AJ16" s="607"/>
      <c r="AK16" s="922"/>
    </row>
    <row r="17" spans="1:37">
      <c r="C17" s="601"/>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H17" s="601"/>
      <c r="AI17" s="601"/>
      <c r="AJ17" s="601"/>
    </row>
    <row r="18" spans="1:37">
      <c r="A18" s="736">
        <f>A16+0.01</f>
        <v>4.01</v>
      </c>
      <c r="B18" s="600"/>
      <c r="C18" s="655"/>
      <c r="E18" s="656"/>
      <c r="G18" s="656"/>
      <c r="I18" s="656"/>
      <c r="K18" s="656"/>
      <c r="M18" s="656"/>
      <c r="O18" s="656"/>
      <c r="Q18" s="656"/>
      <c r="S18" s="656"/>
      <c r="U18" s="656"/>
      <c r="W18" s="656"/>
      <c r="Y18" s="656"/>
      <c r="AA18" s="656"/>
      <c r="AC18" s="656"/>
      <c r="AE18" s="656"/>
      <c r="AG18" s="602">
        <f>SUM(G18:AE18)/13</f>
        <v>0</v>
      </c>
      <c r="AH18" s="723"/>
      <c r="AI18" s="753">
        <f ca="1">IFERROR(INDIRECT(AH18),0)</f>
        <v>0</v>
      </c>
      <c r="AK18" s="606">
        <f ca="1">AG18*AI18</f>
        <v>0</v>
      </c>
    </row>
    <row r="19" spans="1:37">
      <c r="A19" s="735">
        <f>A18+0.01</f>
        <v>4.0199999999999996</v>
      </c>
      <c r="B19" s="600"/>
      <c r="C19" s="655"/>
      <c r="E19" s="661"/>
      <c r="G19" s="656"/>
      <c r="I19" s="656"/>
      <c r="K19" s="656"/>
      <c r="M19" s="656"/>
      <c r="O19" s="656"/>
      <c r="Q19" s="656"/>
      <c r="S19" s="656"/>
      <c r="U19" s="656"/>
      <c r="W19" s="656"/>
      <c r="Y19" s="656"/>
      <c r="AA19" s="656"/>
      <c r="AC19" s="656"/>
      <c r="AE19" s="656"/>
      <c r="AG19" s="602">
        <f t="shared" ref="AG19" si="2">SUM(G19:AE19)/13</f>
        <v>0</v>
      </c>
      <c r="AH19" s="723"/>
      <c r="AI19" s="753">
        <f ca="1">IFERROR(INDIRECT(AH19),0)</f>
        <v>0</v>
      </c>
      <c r="AK19" s="848">
        <f ca="1">AG19*AI19</f>
        <v>0</v>
      </c>
    </row>
    <row r="20" spans="1:37">
      <c r="A20" s="601">
        <f>A16+1</f>
        <v>5</v>
      </c>
      <c r="B20" s="600"/>
      <c r="C20" s="655" t="str">
        <f ca="1">"Sum of Lines "&amp;A18&amp;" through "&amp;OFFSET(A20,-1,0)</f>
        <v>Sum of Lines 4.01 through 4.02</v>
      </c>
      <c r="E20" s="643"/>
      <c r="G20" s="605">
        <f>SUM(G18:G19)</f>
        <v>0</v>
      </c>
      <c r="I20" s="605">
        <f>SUM(I18:I19)</f>
        <v>0</v>
      </c>
      <c r="K20" s="605">
        <f>SUM(K18:K19)</f>
        <v>0</v>
      </c>
      <c r="M20" s="605">
        <f>SUM(M18:M19)</f>
        <v>0</v>
      </c>
      <c r="O20" s="605">
        <f>SUM(O18:O19)</f>
        <v>0</v>
      </c>
      <c r="Q20" s="605">
        <f>SUM(Q18:Q19)</f>
        <v>0</v>
      </c>
      <c r="S20" s="605">
        <f>SUM(S18:S19)</f>
        <v>0</v>
      </c>
      <c r="U20" s="605">
        <f>SUM(U18:U19)</f>
        <v>0</v>
      </c>
      <c r="W20" s="605">
        <f>SUM(W18:W19)</f>
        <v>0</v>
      </c>
      <c r="Y20" s="605">
        <f>SUM(Y18:Y19)</f>
        <v>0</v>
      </c>
      <c r="AA20" s="605">
        <f>SUM(AA18:AA19)</f>
        <v>0</v>
      </c>
      <c r="AC20" s="605">
        <f>SUM(AC18:AC19)</f>
        <v>0</v>
      </c>
      <c r="AE20" s="605">
        <f>SUM(AE18:AE19)</f>
        <v>0</v>
      </c>
      <c r="AG20" s="605">
        <f>SUM(AG18:AG19)</f>
        <v>0</v>
      </c>
      <c r="AK20" s="606">
        <f ca="1">SUM(AK18:AK19)</f>
        <v>0</v>
      </c>
    </row>
    <row r="21" spans="1:37">
      <c r="AE21" s="601"/>
      <c r="AK21" s="600"/>
    </row>
    <row r="22" spans="1:37">
      <c r="A22" s="611">
        <f>A20+1</f>
        <v>6</v>
      </c>
      <c r="B22" s="609"/>
      <c r="C22" s="754" t="s">
        <v>1006</v>
      </c>
      <c r="D22" s="609"/>
      <c r="E22" s="608"/>
      <c r="F22" s="609"/>
      <c r="G22" s="608"/>
      <c r="H22" s="609"/>
      <c r="I22" s="608"/>
      <c r="J22" s="609"/>
      <c r="K22" s="608"/>
      <c r="L22" s="609"/>
      <c r="M22" s="608"/>
      <c r="N22" s="609"/>
      <c r="O22" s="608"/>
      <c r="P22" s="609"/>
      <c r="Q22" s="608"/>
      <c r="R22" s="609"/>
      <c r="S22" s="608"/>
      <c r="T22" s="609"/>
      <c r="U22" s="608"/>
      <c r="V22" s="609"/>
      <c r="W22" s="608"/>
      <c r="X22" s="609"/>
      <c r="Y22" s="608"/>
      <c r="Z22" s="609"/>
      <c r="AA22" s="608"/>
      <c r="AB22" s="609"/>
      <c r="AC22" s="608"/>
      <c r="AD22" s="609"/>
      <c r="AE22" s="608"/>
      <c r="AF22" s="607"/>
      <c r="AG22" s="608"/>
      <c r="AH22" s="607"/>
      <c r="AI22" s="607"/>
      <c r="AJ22" s="607"/>
      <c r="AK22" s="922"/>
    </row>
    <row r="23" spans="1:37">
      <c r="C23" s="601"/>
      <c r="D23" s="601"/>
      <c r="E23" s="601"/>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H23" s="601"/>
      <c r="AI23" s="601"/>
      <c r="AJ23" s="601"/>
    </row>
    <row r="24" spans="1:37">
      <c r="A24" s="736">
        <f>A22+0.01</f>
        <v>6.01</v>
      </c>
      <c r="B24" s="600"/>
      <c r="C24" s="655"/>
      <c r="E24" s="656"/>
      <c r="G24" s="656"/>
      <c r="I24" s="656"/>
      <c r="K24" s="656"/>
      <c r="M24" s="656"/>
      <c r="O24" s="656"/>
      <c r="Q24" s="656"/>
      <c r="S24" s="656"/>
      <c r="U24" s="656"/>
      <c r="W24" s="656"/>
      <c r="Y24" s="656"/>
      <c r="AA24" s="656"/>
      <c r="AC24" s="656"/>
      <c r="AE24" s="656"/>
      <c r="AG24" s="602">
        <f>SUM(G24:AE24)/13</f>
        <v>0</v>
      </c>
      <c r="AH24" s="723"/>
      <c r="AI24" s="753">
        <f ca="1">IFERROR(INDIRECT(AH24),0)</f>
        <v>0</v>
      </c>
      <c r="AK24" s="606">
        <f ca="1">AG24*AI24</f>
        <v>0</v>
      </c>
    </row>
    <row r="25" spans="1:37">
      <c r="A25" s="735">
        <f>A24+0.01</f>
        <v>6.02</v>
      </c>
      <c r="B25" s="600"/>
      <c r="C25" s="655"/>
      <c r="E25" s="661"/>
      <c r="G25" s="656"/>
      <c r="I25" s="656"/>
      <c r="K25" s="656"/>
      <c r="M25" s="656"/>
      <c r="O25" s="656"/>
      <c r="Q25" s="656"/>
      <c r="S25" s="656"/>
      <c r="U25" s="656"/>
      <c r="W25" s="656"/>
      <c r="Y25" s="656"/>
      <c r="AA25" s="656"/>
      <c r="AC25" s="656"/>
      <c r="AE25" s="656"/>
      <c r="AG25" s="602">
        <f t="shared" ref="AG25" si="3">SUM(G25:AE25)/13</f>
        <v>0</v>
      </c>
      <c r="AH25" s="723"/>
      <c r="AI25" s="753">
        <f ca="1">IFERROR(INDIRECT(AH25),0)</f>
        <v>0</v>
      </c>
      <c r="AK25" s="848">
        <f ca="1">AG25*AI25</f>
        <v>0</v>
      </c>
    </row>
    <row r="26" spans="1:37">
      <c r="A26" s="601">
        <f>A22+1</f>
        <v>7</v>
      </c>
      <c r="B26" s="600"/>
      <c r="C26" s="655" t="str">
        <f ca="1">"Sum of Lines "&amp;A24&amp;" through "&amp;OFFSET(A26,-1,0)</f>
        <v>Sum of Lines 6.01 through 6.02</v>
      </c>
      <c r="E26" s="643"/>
      <c r="G26" s="605">
        <f>SUM(G24:G25)</f>
        <v>0</v>
      </c>
      <c r="I26" s="605">
        <f>SUM(I24:I25)</f>
        <v>0</v>
      </c>
      <c r="K26" s="605">
        <f>SUM(K24:K25)</f>
        <v>0</v>
      </c>
      <c r="M26" s="605">
        <f>SUM(M24:M25)</f>
        <v>0</v>
      </c>
      <c r="O26" s="605">
        <f>SUM(O24:O25)</f>
        <v>0</v>
      </c>
      <c r="Q26" s="605">
        <f>SUM(Q24:Q25)</f>
        <v>0</v>
      </c>
      <c r="S26" s="605">
        <f>SUM(S24:S25)</f>
        <v>0</v>
      </c>
      <c r="U26" s="605">
        <f>SUM(U24:U25)</f>
        <v>0</v>
      </c>
      <c r="W26" s="605">
        <f>SUM(W24:W25)</f>
        <v>0</v>
      </c>
      <c r="Y26" s="605">
        <f>SUM(Y24:Y25)</f>
        <v>0</v>
      </c>
      <c r="AA26" s="605">
        <f>SUM(AA24:AA25)</f>
        <v>0</v>
      </c>
      <c r="AC26" s="605">
        <f>SUM(AC24:AC25)</f>
        <v>0</v>
      </c>
      <c r="AE26" s="605">
        <f>SUM(AE24:AE25)</f>
        <v>0</v>
      </c>
      <c r="AG26" s="605">
        <f>SUM(AG24:AG25)</f>
        <v>0</v>
      </c>
      <c r="AK26" s="606">
        <f ca="1">SUM(AK24:AK25)</f>
        <v>0</v>
      </c>
    </row>
    <row r="27" spans="1:37">
      <c r="AE27" s="601"/>
      <c r="AK27" s="600"/>
    </row>
    <row r="28" spans="1:37">
      <c r="A28" s="611">
        <f>A26+1</f>
        <v>8</v>
      </c>
      <c r="B28" s="609"/>
      <c r="C28" s="754" t="s">
        <v>1007</v>
      </c>
      <c r="D28" s="609"/>
      <c r="E28" s="608"/>
      <c r="F28" s="609"/>
      <c r="G28" s="608"/>
      <c r="H28" s="609"/>
      <c r="I28" s="608"/>
      <c r="J28" s="609"/>
      <c r="K28" s="608"/>
      <c r="L28" s="609"/>
      <c r="M28" s="608"/>
      <c r="N28" s="609"/>
      <c r="O28" s="608"/>
      <c r="P28" s="609"/>
      <c r="Q28" s="608"/>
      <c r="R28" s="609"/>
      <c r="S28" s="608"/>
      <c r="T28" s="609"/>
      <c r="U28" s="608"/>
      <c r="V28" s="609"/>
      <c r="W28" s="608"/>
      <c r="X28" s="609"/>
      <c r="Y28" s="608"/>
      <c r="Z28" s="609"/>
      <c r="AA28" s="608"/>
      <c r="AB28" s="609"/>
      <c r="AC28" s="608"/>
      <c r="AD28" s="609"/>
      <c r="AE28" s="608"/>
      <c r="AF28" s="607"/>
      <c r="AG28" s="608"/>
      <c r="AH28" s="607"/>
      <c r="AI28" s="607"/>
      <c r="AJ28" s="607"/>
      <c r="AK28" s="922"/>
    </row>
    <row r="29" spans="1:37">
      <c r="C29" s="6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H29" s="601"/>
      <c r="AI29" s="601"/>
      <c r="AJ29" s="601"/>
    </row>
    <row r="30" spans="1:37">
      <c r="A30" s="736">
        <f>A28+0.01</f>
        <v>8.01</v>
      </c>
      <c r="B30" s="600"/>
      <c r="C30" s="655"/>
      <c r="E30" s="656"/>
      <c r="G30" s="656"/>
      <c r="I30" s="656"/>
      <c r="K30" s="656"/>
      <c r="M30" s="656"/>
      <c r="O30" s="656"/>
      <c r="Q30" s="656"/>
      <c r="S30" s="656"/>
      <c r="U30" s="656"/>
      <c r="W30" s="656"/>
      <c r="Y30" s="656"/>
      <c r="AA30" s="656"/>
      <c r="AC30" s="656"/>
      <c r="AE30" s="656"/>
      <c r="AG30" s="602">
        <f>SUM(G30:AE30)/13</f>
        <v>0</v>
      </c>
      <c r="AH30" s="723"/>
      <c r="AI30" s="753">
        <f ca="1">IFERROR(INDIRECT(AH30),0)</f>
        <v>0</v>
      </c>
      <c r="AK30" s="606">
        <f ca="1">AG30*AI30</f>
        <v>0</v>
      </c>
    </row>
    <row r="31" spans="1:37">
      <c r="A31" s="735">
        <f>A30+0.01</f>
        <v>8.02</v>
      </c>
      <c r="B31" s="600"/>
      <c r="C31" s="655"/>
      <c r="E31" s="661"/>
      <c r="G31" s="656"/>
      <c r="I31" s="656"/>
      <c r="K31" s="656"/>
      <c r="M31" s="656"/>
      <c r="O31" s="656"/>
      <c r="Q31" s="656"/>
      <c r="S31" s="656"/>
      <c r="U31" s="656"/>
      <c r="W31" s="656"/>
      <c r="Y31" s="656"/>
      <c r="AA31" s="656"/>
      <c r="AC31" s="656"/>
      <c r="AE31" s="656"/>
      <c r="AG31" s="602">
        <f t="shared" ref="AG31" si="4">SUM(G31:AE31)/13</f>
        <v>0</v>
      </c>
      <c r="AH31" s="723"/>
      <c r="AI31" s="753">
        <f ca="1">IFERROR(INDIRECT(AH31),0)</f>
        <v>0</v>
      </c>
      <c r="AK31" s="848">
        <f ca="1">AG31*AI31</f>
        <v>0</v>
      </c>
    </row>
    <row r="32" spans="1:37">
      <c r="A32" s="601">
        <f>A28+1</f>
        <v>9</v>
      </c>
      <c r="B32" s="600"/>
      <c r="C32" s="655" t="str">
        <f ca="1">"Sum of Lines "&amp;A30&amp;" through "&amp;OFFSET(A32,-1,0)</f>
        <v>Sum of Lines 8.01 through 8.02</v>
      </c>
      <c r="E32" s="643"/>
      <c r="G32" s="605">
        <f>SUM(G30:G31)</f>
        <v>0</v>
      </c>
      <c r="I32" s="605">
        <f>SUM(I30:I31)</f>
        <v>0</v>
      </c>
      <c r="K32" s="605">
        <f>SUM(K30:K31)</f>
        <v>0</v>
      </c>
      <c r="M32" s="605">
        <f>SUM(M30:M31)</f>
        <v>0</v>
      </c>
      <c r="O32" s="605">
        <f>SUM(O30:O31)</f>
        <v>0</v>
      </c>
      <c r="Q32" s="605">
        <f>SUM(Q30:Q31)</f>
        <v>0</v>
      </c>
      <c r="S32" s="605">
        <f>SUM(S30:S31)</f>
        <v>0</v>
      </c>
      <c r="U32" s="605">
        <f>SUM(U30:U31)</f>
        <v>0</v>
      </c>
      <c r="W32" s="605">
        <f>SUM(W30:W31)</f>
        <v>0</v>
      </c>
      <c r="Y32" s="605">
        <f>SUM(Y30:Y31)</f>
        <v>0</v>
      </c>
      <c r="AA32" s="605">
        <f>SUM(AA30:AA31)</f>
        <v>0</v>
      </c>
      <c r="AC32" s="605">
        <f>SUM(AC30:AC31)</f>
        <v>0</v>
      </c>
      <c r="AE32" s="605">
        <f>SUM(AE30:AE31)</f>
        <v>0</v>
      </c>
      <c r="AG32" s="605">
        <f>SUM(AG30:AG31)</f>
        <v>0</v>
      </c>
      <c r="AK32" s="606">
        <f ca="1">SUM(AK30:AK31)</f>
        <v>0</v>
      </c>
    </row>
    <row r="33" spans="1:37">
      <c r="AE33" s="601"/>
      <c r="AK33" s="600"/>
    </row>
    <row r="34" spans="1:37">
      <c r="A34" s="611">
        <f>A32+1</f>
        <v>10</v>
      </c>
      <c r="B34" s="609"/>
      <c r="C34" s="754" t="s">
        <v>1008</v>
      </c>
      <c r="D34" s="609"/>
      <c r="E34" s="608"/>
      <c r="F34" s="609"/>
      <c r="G34" s="608"/>
      <c r="H34" s="609"/>
      <c r="I34" s="608"/>
      <c r="J34" s="609"/>
      <c r="K34" s="608"/>
      <c r="L34" s="609"/>
      <c r="M34" s="608"/>
      <c r="N34" s="609"/>
      <c r="O34" s="608"/>
      <c r="P34" s="609"/>
      <c r="Q34" s="608"/>
      <c r="R34" s="609"/>
      <c r="S34" s="608"/>
      <c r="T34" s="609"/>
      <c r="U34" s="608"/>
      <c r="V34" s="609"/>
      <c r="W34" s="608"/>
      <c r="X34" s="609"/>
      <c r="Y34" s="608"/>
      <c r="Z34" s="609"/>
      <c r="AA34" s="608"/>
      <c r="AB34" s="609"/>
      <c r="AC34" s="608"/>
      <c r="AD34" s="609"/>
      <c r="AE34" s="608"/>
      <c r="AF34" s="607"/>
      <c r="AG34" s="608"/>
      <c r="AH34" s="607"/>
      <c r="AI34" s="607"/>
      <c r="AJ34" s="607"/>
      <c r="AK34" s="922"/>
    </row>
    <row r="35" spans="1:37">
      <c r="C35" s="601"/>
      <c r="D35" s="601"/>
      <c r="E35" s="601"/>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H35" s="601"/>
      <c r="AI35" s="601"/>
      <c r="AJ35" s="601"/>
    </row>
    <row r="36" spans="1:37">
      <c r="A36" s="736">
        <f>A34+0.01</f>
        <v>10.01</v>
      </c>
      <c r="B36" s="600"/>
      <c r="C36" s="655" t="s">
        <v>1076</v>
      </c>
      <c r="E36" s="656">
        <v>920</v>
      </c>
      <c r="G36" s="656">
        <v>10168992</v>
      </c>
      <c r="I36" s="656">
        <v>11140120</v>
      </c>
      <c r="K36" s="656">
        <v>1942256</v>
      </c>
      <c r="M36" s="656">
        <v>0</v>
      </c>
      <c r="O36" s="656">
        <v>0</v>
      </c>
      <c r="Q36" s="656">
        <v>0</v>
      </c>
      <c r="S36" s="656">
        <v>1456693</v>
      </c>
      <c r="U36" s="656">
        <v>3398950</v>
      </c>
      <c r="W36" s="656">
        <v>3884514</v>
      </c>
      <c r="Y36" s="656">
        <v>6368710</v>
      </c>
      <c r="AA36" s="656">
        <v>7076344</v>
      </c>
      <c r="AC36" s="656">
        <v>7783978</v>
      </c>
      <c r="AE36" s="656">
        <v>10786037</v>
      </c>
      <c r="AG36" s="602">
        <f>SUM(G36:AE36)/13</f>
        <v>4923584.153846154</v>
      </c>
      <c r="AH36" s="723" t="s">
        <v>1070</v>
      </c>
      <c r="AI36" s="753">
        <f ca="1">IFERROR(INDIRECT(AH36),0)</f>
        <v>8.0618739267835124E-2</v>
      </c>
      <c r="AK36" s="606">
        <f ca="1">AG36*AI36</f>
        <v>396933.1471621677</v>
      </c>
    </row>
    <row r="37" spans="1:37">
      <c r="A37" s="735">
        <f>A36+0.01</f>
        <v>10.02</v>
      </c>
      <c r="B37" s="600"/>
      <c r="C37" s="655"/>
      <c r="E37" s="661"/>
      <c r="G37" s="656"/>
      <c r="I37" s="656"/>
      <c r="K37" s="656"/>
      <c r="M37" s="656"/>
      <c r="O37" s="656"/>
      <c r="Q37" s="656"/>
      <c r="S37" s="656"/>
      <c r="U37" s="656"/>
      <c r="W37" s="656"/>
      <c r="Y37" s="656"/>
      <c r="AA37" s="656"/>
      <c r="AC37" s="656"/>
      <c r="AE37" s="656"/>
      <c r="AG37" s="602">
        <f t="shared" ref="AG37" si="5">SUM(G37:AE37)/13</f>
        <v>0</v>
      </c>
      <c r="AH37" s="723"/>
      <c r="AI37" s="753">
        <f ca="1">IFERROR(INDIRECT(AH37),0)</f>
        <v>0</v>
      </c>
      <c r="AK37" s="848">
        <f ca="1">AG37*AI37</f>
        <v>0</v>
      </c>
    </row>
    <row r="38" spans="1:37">
      <c r="A38" s="601">
        <f>A34+1</f>
        <v>11</v>
      </c>
      <c r="B38" s="600"/>
      <c r="C38" s="655" t="str">
        <f ca="1">"Sum of Lines "&amp;A36&amp;" through "&amp;OFFSET(A38,-1,0)</f>
        <v>Sum of Lines 10.01 through 10.02</v>
      </c>
      <c r="E38" s="643"/>
      <c r="G38" s="605">
        <f>SUM(G36:G37)</f>
        <v>10168992</v>
      </c>
      <c r="I38" s="605">
        <f>SUM(I36:I37)</f>
        <v>11140120</v>
      </c>
      <c r="K38" s="605">
        <f>SUM(K36:K37)</f>
        <v>1942256</v>
      </c>
      <c r="M38" s="605">
        <f>SUM(M36:M37)</f>
        <v>0</v>
      </c>
      <c r="O38" s="605">
        <f>SUM(O36:O37)</f>
        <v>0</v>
      </c>
      <c r="Q38" s="605">
        <f>SUM(Q36:Q37)</f>
        <v>0</v>
      </c>
      <c r="S38" s="605">
        <f>SUM(S36:S37)</f>
        <v>1456693</v>
      </c>
      <c r="U38" s="605">
        <f>SUM(U36:U37)</f>
        <v>3398950</v>
      </c>
      <c r="W38" s="605">
        <f>SUM(W36:W37)</f>
        <v>3884514</v>
      </c>
      <c r="Y38" s="605">
        <f>SUM(Y36:Y37)</f>
        <v>6368710</v>
      </c>
      <c r="AA38" s="605">
        <f>SUM(AA36:AA37)</f>
        <v>7076344</v>
      </c>
      <c r="AC38" s="605">
        <f>SUM(AC36:AC37)</f>
        <v>7783978</v>
      </c>
      <c r="AE38" s="605">
        <f>SUM(AE36:AE37)</f>
        <v>10786037</v>
      </c>
      <c r="AG38" s="605">
        <f>SUM(AG36:AG37)</f>
        <v>4923584.153846154</v>
      </c>
      <c r="AK38" s="606">
        <f ca="1">SUM(AK36:AK37)</f>
        <v>396933.1471621677</v>
      </c>
    </row>
    <row r="39" spans="1:37">
      <c r="AE39" s="601"/>
      <c r="AK39" s="600"/>
    </row>
    <row r="40" spans="1:37">
      <c r="A40" s="611">
        <f>A38+1</f>
        <v>12</v>
      </c>
      <c r="B40" s="609"/>
      <c r="C40" s="754" t="s">
        <v>1009</v>
      </c>
      <c r="D40" s="609"/>
      <c r="E40" s="608"/>
      <c r="F40" s="609"/>
      <c r="G40" s="608"/>
      <c r="H40" s="609"/>
      <c r="I40" s="608"/>
      <c r="J40" s="609"/>
      <c r="K40" s="608"/>
      <c r="L40" s="609"/>
      <c r="M40" s="608"/>
      <c r="N40" s="609"/>
      <c r="O40" s="608"/>
      <c r="P40" s="609"/>
      <c r="Q40" s="608"/>
      <c r="R40" s="609"/>
      <c r="S40" s="608"/>
      <c r="T40" s="609"/>
      <c r="U40" s="608"/>
      <c r="V40" s="609"/>
      <c r="W40" s="608"/>
      <c r="X40" s="609"/>
      <c r="Y40" s="608"/>
      <c r="Z40" s="609"/>
      <c r="AA40" s="608"/>
      <c r="AB40" s="609"/>
      <c r="AC40" s="608"/>
      <c r="AD40" s="609"/>
      <c r="AE40" s="608"/>
      <c r="AF40" s="607"/>
      <c r="AG40" s="608"/>
      <c r="AH40" s="607"/>
      <c r="AI40" s="607"/>
      <c r="AJ40" s="607"/>
      <c r="AK40" s="922"/>
    </row>
    <row r="41" spans="1:37">
      <c r="C41" s="601"/>
      <c r="D41" s="601"/>
      <c r="E41" s="601"/>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H41" s="601"/>
      <c r="AI41" s="601"/>
      <c r="AJ41" s="601"/>
    </row>
    <row r="42" spans="1:37">
      <c r="A42" s="736">
        <f>A40+0.01</f>
        <v>12.01</v>
      </c>
      <c r="B42" s="600"/>
      <c r="C42" s="655"/>
      <c r="E42" s="656"/>
      <c r="G42" s="656"/>
      <c r="I42" s="656"/>
      <c r="K42" s="656"/>
      <c r="M42" s="656"/>
      <c r="O42" s="656"/>
      <c r="Q42" s="656"/>
      <c r="S42" s="656"/>
      <c r="U42" s="656"/>
      <c r="W42" s="656"/>
      <c r="Y42" s="656"/>
      <c r="AA42" s="656"/>
      <c r="AC42" s="656"/>
      <c r="AE42" s="656"/>
      <c r="AG42" s="602">
        <f>SUM(G42:AE42)/13</f>
        <v>0</v>
      </c>
      <c r="AH42" s="723"/>
      <c r="AI42" s="753">
        <f ca="1">IFERROR(INDIRECT(AH42),0)</f>
        <v>0</v>
      </c>
      <c r="AK42" s="606">
        <f ca="1">AG42*AI42</f>
        <v>0</v>
      </c>
    </row>
    <row r="43" spans="1:37">
      <c r="A43" s="735">
        <f>A42+0.01</f>
        <v>12.02</v>
      </c>
      <c r="B43" s="600"/>
      <c r="C43" s="655"/>
      <c r="E43" s="661"/>
      <c r="G43" s="656"/>
      <c r="I43" s="656"/>
      <c r="K43" s="656"/>
      <c r="M43" s="656"/>
      <c r="O43" s="656"/>
      <c r="Q43" s="656"/>
      <c r="S43" s="656"/>
      <c r="U43" s="656"/>
      <c r="W43" s="656"/>
      <c r="Y43" s="656"/>
      <c r="AA43" s="656"/>
      <c r="AC43" s="656"/>
      <c r="AE43" s="656"/>
      <c r="AG43" s="602">
        <f t="shared" ref="AG43" si="6">SUM(G43:AE43)/13</f>
        <v>0</v>
      </c>
      <c r="AH43" s="723"/>
      <c r="AI43" s="753">
        <f ca="1">IFERROR(INDIRECT(AH43),0)</f>
        <v>0</v>
      </c>
      <c r="AK43" s="848">
        <f ca="1">AG43*AI43</f>
        <v>0</v>
      </c>
    </row>
    <row r="44" spans="1:37">
      <c r="A44" s="601">
        <f>A40+1</f>
        <v>13</v>
      </c>
      <c r="B44" s="600"/>
      <c r="C44" s="655" t="str">
        <f ca="1">"Sum of Lines "&amp;A42&amp;" through "&amp;OFFSET(A44,-1,0)</f>
        <v>Sum of Lines 12.01 through 12.02</v>
      </c>
      <c r="E44" s="643"/>
      <c r="G44" s="605">
        <f>SUM(G42:G43)</f>
        <v>0</v>
      </c>
      <c r="I44" s="605">
        <f>SUM(I42:I43)</f>
        <v>0</v>
      </c>
      <c r="K44" s="605">
        <f>SUM(K42:K43)</f>
        <v>0</v>
      </c>
      <c r="M44" s="605">
        <f>SUM(M42:M43)</f>
        <v>0</v>
      </c>
      <c r="O44" s="605">
        <f>SUM(O42:O43)</f>
        <v>0</v>
      </c>
      <c r="Q44" s="605">
        <f>SUM(Q42:Q43)</f>
        <v>0</v>
      </c>
      <c r="S44" s="605">
        <f>SUM(S42:S43)</f>
        <v>0</v>
      </c>
      <c r="U44" s="605">
        <f>SUM(U42:U43)</f>
        <v>0</v>
      </c>
      <c r="W44" s="605">
        <f>SUM(W42:W43)</f>
        <v>0</v>
      </c>
      <c r="Y44" s="605">
        <f>SUM(Y42:Y43)</f>
        <v>0</v>
      </c>
      <c r="AA44" s="605">
        <f>SUM(AA42:AA43)</f>
        <v>0</v>
      </c>
      <c r="AC44" s="605">
        <f>SUM(AC42:AC43)</f>
        <v>0</v>
      </c>
      <c r="AE44" s="605">
        <f>SUM(AE42:AE43)</f>
        <v>0</v>
      </c>
      <c r="AG44" s="605">
        <f>SUM(AG42:AG43)</f>
        <v>0</v>
      </c>
      <c r="AK44" s="606">
        <f ca="1">SUM(AK42:AK43)</f>
        <v>0</v>
      </c>
    </row>
    <row r="45" spans="1:37">
      <c r="B45" s="600"/>
      <c r="E45" s="621"/>
      <c r="G45" s="621"/>
      <c r="AC45" s="621"/>
      <c r="AD45" s="621"/>
      <c r="AE45" s="621"/>
      <c r="AG45" s="602"/>
    </row>
    <row r="46" spans="1:37">
      <c r="A46" s="601">
        <f>A44+1</f>
        <v>14</v>
      </c>
      <c r="B46" s="600"/>
      <c r="C46" s="600" t="str">
        <f>"Total Reserves (Line "&amp;A14&amp;" + Line "&amp;A20&amp;" + Line "&amp;A26&amp;" + Line "&amp;A32&amp;" + Line "&amp;A38&amp;"  + Line "&amp;A44&amp;")"</f>
        <v>Total Reserves (Line 3 + Line 5 + Line 7 + Line 9 + Line 11  + Line 13)</v>
      </c>
      <c r="H46" s="602"/>
      <c r="AG46" s="848">
        <f>AG14+AG20+AG26+AG32+AG38+AG44</f>
        <v>4923584.153846154</v>
      </c>
      <c r="AK46" s="848">
        <f ca="1">AK14+AK20+AK26+AK32+AK38+AK44</f>
        <v>396933.1471621677</v>
      </c>
    </row>
    <row r="47" spans="1:37">
      <c r="B47" s="600"/>
      <c r="H47" s="602"/>
      <c r="AG47" s="602"/>
    </row>
    <row r="48" spans="1:37">
      <c r="A48" s="601">
        <f>A46+1</f>
        <v>15</v>
      </c>
      <c r="B48" s="600"/>
      <c r="E48" s="692"/>
      <c r="H48" s="602"/>
      <c r="O48" s="782"/>
      <c r="P48" s="782"/>
      <c r="Q48" s="782"/>
      <c r="R48" s="782"/>
      <c r="S48" s="782"/>
      <c r="AH48" s="921"/>
      <c r="AI48" s="921"/>
      <c r="AJ48" s="921"/>
      <c r="AK48" s="606"/>
    </row>
    <row r="49" spans="1:33">
      <c r="B49" s="600"/>
      <c r="H49" s="602"/>
      <c r="O49" s="782"/>
      <c r="P49" s="782"/>
      <c r="Q49" s="782"/>
      <c r="R49" s="782"/>
      <c r="S49" s="782"/>
      <c r="AG49" s="602"/>
    </row>
    <row r="50" spans="1:33">
      <c r="A50" s="600"/>
      <c r="B50" s="600"/>
      <c r="C50" s="603" t="s">
        <v>153</v>
      </c>
      <c r="D50" s="601"/>
      <c r="E50" s="600"/>
      <c r="O50" s="782"/>
      <c r="P50" s="782"/>
      <c r="Q50" s="782"/>
      <c r="R50" s="782"/>
      <c r="S50" s="782"/>
      <c r="AG50" s="602"/>
    </row>
    <row r="51" spans="1:33">
      <c r="A51" s="600"/>
      <c r="B51" s="600"/>
      <c r="C51" s="1018" t="s">
        <v>992</v>
      </c>
      <c r="D51" s="1018"/>
      <c r="E51" s="1018"/>
      <c r="G51" s="737"/>
      <c r="I51" s="900"/>
      <c r="M51" s="824"/>
      <c r="N51" s="822"/>
      <c r="O51" s="782"/>
      <c r="P51" s="782"/>
      <c r="Q51" s="782"/>
      <c r="R51" s="782"/>
      <c r="S51" s="782"/>
    </row>
    <row r="52" spans="1:33">
      <c r="A52" s="600"/>
      <c r="B52" s="600"/>
      <c r="C52" s="997" t="s">
        <v>736</v>
      </c>
      <c r="D52" s="997"/>
      <c r="E52" s="997"/>
      <c r="G52" s="737"/>
      <c r="I52" s="900"/>
      <c r="O52" s="782"/>
      <c r="P52" s="782"/>
      <c r="Q52" s="782"/>
      <c r="R52" s="782"/>
      <c r="S52" s="782"/>
    </row>
    <row r="53" spans="1:33">
      <c r="C53" s="784" t="s">
        <v>915</v>
      </c>
      <c r="E53" s="600"/>
      <c r="G53" s="737"/>
      <c r="I53" s="737"/>
    </row>
    <row r="54" spans="1:33" ht="15.6" customHeight="1">
      <c r="C54" s="987" t="s">
        <v>1010</v>
      </c>
      <c r="D54" s="987"/>
      <c r="E54" s="987"/>
      <c r="I54" s="788"/>
      <c r="J54" s="788"/>
      <c r="K54" s="788"/>
      <c r="L54" s="788"/>
      <c r="M54" s="788"/>
      <c r="N54" s="788"/>
      <c r="O54" s="788"/>
    </row>
    <row r="55" spans="1:33">
      <c r="C55" s="987"/>
      <c r="D55" s="987"/>
      <c r="E55" s="987"/>
      <c r="I55" s="788"/>
      <c r="J55" s="788"/>
      <c r="K55" s="788"/>
      <c r="L55" s="788"/>
      <c r="M55" s="788"/>
      <c r="N55" s="788"/>
      <c r="O55" s="788"/>
    </row>
    <row r="56" spans="1:33">
      <c r="C56" s="987"/>
      <c r="D56" s="987"/>
      <c r="E56" s="987"/>
      <c r="I56" s="788"/>
      <c r="J56" s="788"/>
      <c r="K56" s="788"/>
      <c r="L56" s="788"/>
      <c r="M56" s="788"/>
      <c r="N56" s="788"/>
      <c r="O56" s="788"/>
    </row>
    <row r="57" spans="1:33">
      <c r="I57" s="788"/>
      <c r="J57" s="788"/>
      <c r="K57" s="788"/>
      <c r="L57" s="788"/>
      <c r="M57" s="788"/>
      <c r="N57" s="788"/>
      <c r="O57" s="788"/>
    </row>
    <row r="58" spans="1:33">
      <c r="I58" s="788"/>
      <c r="J58" s="788"/>
      <c r="K58" s="788"/>
      <c r="L58" s="788"/>
      <c r="M58" s="788"/>
      <c r="N58" s="788"/>
      <c r="O58" s="788"/>
    </row>
    <row r="59" spans="1:33">
      <c r="I59" s="788"/>
      <c r="J59" s="788"/>
      <c r="K59" s="788"/>
      <c r="L59" s="788"/>
      <c r="M59" s="788"/>
      <c r="N59" s="788"/>
      <c r="O59" s="788"/>
    </row>
    <row r="60" spans="1:33">
      <c r="I60" s="788"/>
      <c r="J60" s="788"/>
      <c r="K60" s="788"/>
      <c r="L60" s="788"/>
      <c r="M60" s="788"/>
      <c r="N60" s="788"/>
      <c r="O60" s="788"/>
    </row>
  </sheetData>
  <mergeCells count="3">
    <mergeCell ref="C54:E56"/>
    <mergeCell ref="C51:E51"/>
    <mergeCell ref="C52:E52"/>
  </mergeCells>
  <dataValidations count="1">
    <dataValidation type="list" allowBlank="1" showInputMessage="1" showErrorMessage="1" sqref="AH12:AH13 AH18:AH19 AH24:AH25 AH30:AH31 AH36:AH37 AH42:AH43" xr:uid="{00000000-0002-0000-1400-000000000000}">
      <formula1>"DA, TE, TP, GP, WS, CE, EXCL,"</formula1>
    </dataValidation>
  </dataValidations>
  <pageMargins left="0" right="0" top="1" bottom="0.5" header="0" footer="0"/>
  <pageSetup scale="29" fitToHeight="0" orientation="landscape" r:id="rId1"/>
  <headerFooter>
    <oddHeader xml:space="preserve">&amp;R&amp;"Times New Roman,Regular"
</oddHeader>
    <oddFooter xml:space="preserve">&amp;L&amp;"Times New Roman,Bold"&amp;10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pageSetUpPr fitToPage="1"/>
  </sheetPr>
  <dimension ref="A1:U46"/>
  <sheetViews>
    <sheetView showWhiteSpace="0" zoomScale="80" zoomScaleNormal="80" zoomScalePageLayoutView="60" workbookViewId="0">
      <selection activeCell="C2" sqref="C2"/>
    </sheetView>
  </sheetViews>
  <sheetFormatPr defaultColWidth="8.7265625" defaultRowHeight="15.6"/>
  <cols>
    <col min="1" max="1" width="4.26953125" style="681" bestFit="1" customWidth="1"/>
    <col min="2" max="2" width="1.7265625" style="681" customWidth="1"/>
    <col min="3" max="3" width="41.26953125" style="681" customWidth="1"/>
    <col min="4" max="4" width="1.81640625" style="672" customWidth="1"/>
    <col min="5" max="5" width="11.453125" style="654" customWidth="1"/>
    <col min="6" max="6" width="1.7265625" style="672" bestFit="1" customWidth="1"/>
    <col min="7" max="7" width="10.7265625" style="654" bestFit="1" customWidth="1"/>
    <col min="8" max="8" width="1.7265625" style="672" bestFit="1" customWidth="1"/>
    <col min="9" max="9" width="10.7265625" style="654" bestFit="1" customWidth="1"/>
    <col min="10" max="10" width="4.26953125" style="672" customWidth="1"/>
    <col min="11" max="11" width="10.26953125" style="699" customWidth="1"/>
    <col min="12" max="12" width="1.7265625" style="672" bestFit="1" customWidth="1"/>
    <col min="13" max="13" width="8.7265625" style="699"/>
    <col min="14" max="16384" width="8.7265625" style="681"/>
  </cols>
  <sheetData>
    <row r="1" spans="1:21" ht="15.6" customHeight="1">
      <c r="C1" s="1056"/>
      <c r="D1" s="1056"/>
      <c r="E1" s="1056"/>
      <c r="I1" s="671" t="s">
        <v>986</v>
      </c>
      <c r="J1" s="671"/>
      <c r="K1" s="671"/>
    </row>
    <row r="2" spans="1:21">
      <c r="C2" s="1056"/>
      <c r="D2" s="1056"/>
      <c r="E2" s="1056"/>
      <c r="I2" s="671" t="s">
        <v>144</v>
      </c>
      <c r="J2" s="671"/>
      <c r="K2" s="671"/>
    </row>
    <row r="3" spans="1:21">
      <c r="C3" s="1056"/>
      <c r="D3" s="1056"/>
      <c r="E3" s="1056"/>
      <c r="I3" s="671" t="str">
        <f>'Attachment 14b - Unfunded Res'!AH3</f>
        <v>For the 12 months ended 12/31/2023</v>
      </c>
      <c r="J3" s="671"/>
      <c r="K3" s="671"/>
    </row>
    <row r="4" spans="1:21">
      <c r="C4" s="1056"/>
      <c r="D4" s="1056"/>
      <c r="E4" s="1056"/>
    </row>
    <row r="5" spans="1:21">
      <c r="A5" s="715" t="s">
        <v>5</v>
      </c>
      <c r="C5" s="715" t="s">
        <v>707</v>
      </c>
    </row>
    <row r="6" spans="1:21" s="704" customFormat="1" ht="31.2">
      <c r="A6" s="704">
        <v>1</v>
      </c>
      <c r="C6" s="704" t="s">
        <v>715</v>
      </c>
      <c r="D6" s="705"/>
      <c r="E6" s="707" t="s">
        <v>466</v>
      </c>
      <c r="F6" s="713"/>
      <c r="G6" s="708"/>
      <c r="H6" s="713"/>
      <c r="I6" s="708"/>
      <c r="J6" s="713"/>
      <c r="K6" s="709" t="s">
        <v>718</v>
      </c>
      <c r="L6" s="705"/>
      <c r="M6" s="706"/>
    </row>
    <row r="7" spans="1:21">
      <c r="A7" s="681">
        <f>MAX($A$6:A6)+1</f>
        <v>2</v>
      </c>
      <c r="C7" s="681" t="s">
        <v>708</v>
      </c>
      <c r="E7" s="710">
        <f>FIT</f>
        <v>0.21</v>
      </c>
      <c r="G7" s="710">
        <f>FIT</f>
        <v>0.21</v>
      </c>
      <c r="H7" s="681"/>
      <c r="I7" s="710">
        <f>FIT</f>
        <v>0.21</v>
      </c>
      <c r="J7" s="681"/>
      <c r="K7" s="700">
        <v>0.21</v>
      </c>
      <c r="L7" s="672" t="s">
        <v>60</v>
      </c>
      <c r="M7" s="699" t="s">
        <v>709</v>
      </c>
      <c r="O7" s="699"/>
      <c r="Q7" s="699"/>
      <c r="S7" s="699"/>
    </row>
    <row r="8" spans="1:21">
      <c r="A8" s="681">
        <f>MAX($A$6:A7)+1</f>
        <v>3</v>
      </c>
      <c r="C8" s="681" t="s">
        <v>717</v>
      </c>
      <c r="E8" s="700">
        <v>1</v>
      </c>
      <c r="F8" s="702" t="s">
        <v>686</v>
      </c>
      <c r="G8" s="711"/>
      <c r="H8" s="762" t="s">
        <v>686</v>
      </c>
      <c r="I8" s="711"/>
      <c r="J8" s="762" t="s">
        <v>60</v>
      </c>
      <c r="K8" s="701">
        <f>SUM(E8:I8)</f>
        <v>1</v>
      </c>
      <c r="O8" s="699"/>
      <c r="Q8" s="699"/>
      <c r="S8" s="699"/>
    </row>
    <row r="9" spans="1:21">
      <c r="A9" s="681">
        <f>MAX($A$6:A8)+1</f>
        <v>4</v>
      </c>
      <c r="C9" s="681" t="s">
        <v>716</v>
      </c>
      <c r="E9" s="700">
        <v>0.09</v>
      </c>
      <c r="G9" s="711"/>
      <c r="H9" s="681"/>
      <c r="I9" s="711"/>
      <c r="J9" s="681"/>
      <c r="K9" s="681"/>
      <c r="M9" s="681"/>
      <c r="O9" s="699"/>
      <c r="Q9" s="699"/>
      <c r="S9" s="699"/>
    </row>
    <row r="10" spans="1:21">
      <c r="A10" s="681">
        <f>MAX($A$6:A9)+1</f>
        <v>5</v>
      </c>
      <c r="C10" s="681" t="s">
        <v>712</v>
      </c>
      <c r="E10" s="700">
        <v>0</v>
      </c>
      <c r="G10" s="711"/>
      <c r="H10" s="681"/>
      <c r="I10" s="711"/>
      <c r="J10" s="681"/>
      <c r="K10" s="681"/>
      <c r="L10" s="681"/>
      <c r="M10" s="681"/>
      <c r="O10" s="699"/>
      <c r="Q10" s="699"/>
      <c r="S10" s="699"/>
    </row>
    <row r="11" spans="1:21">
      <c r="A11" s="681">
        <f>MAX($A$6:A10)+1</f>
        <v>6</v>
      </c>
      <c r="C11" s="681" t="str">
        <f>"Line "&amp;A8&amp;" "&amp;CHAR(215)&amp;" Line "&amp;A9</f>
        <v>Line 3 × Line 4</v>
      </c>
      <c r="E11" s="716">
        <f>$E$8*E9</f>
        <v>0.09</v>
      </c>
      <c r="F11" s="702" t="s">
        <v>686</v>
      </c>
      <c r="G11" s="716"/>
      <c r="H11" s="702" t="s">
        <v>686</v>
      </c>
      <c r="I11" s="716"/>
      <c r="J11" s="762" t="s">
        <v>60</v>
      </c>
      <c r="K11" s="701">
        <f>SUM(E11:I11)</f>
        <v>0.09</v>
      </c>
      <c r="L11" s="672" t="s">
        <v>60</v>
      </c>
      <c r="M11" s="699" t="s">
        <v>711</v>
      </c>
      <c r="O11" s="699"/>
      <c r="Q11" s="699"/>
      <c r="S11" s="699"/>
    </row>
    <row r="12" spans="1:21">
      <c r="A12" s="681">
        <f>MAX($A$6:A11)+1</f>
        <v>7</v>
      </c>
      <c r="C12" s="681" t="str">
        <f>"Line "&amp;A8&amp;" "&amp;CHAR(215)&amp;" Line "&amp;A10</f>
        <v>Line 3 × Line 5</v>
      </c>
      <c r="E12" s="716">
        <f>$E$8*E10</f>
        <v>0</v>
      </c>
      <c r="F12" s="702" t="s">
        <v>686</v>
      </c>
      <c r="G12" s="716"/>
      <c r="H12" s="702" t="s">
        <v>686</v>
      </c>
      <c r="I12" s="716"/>
      <c r="J12" s="762" t="s">
        <v>60</v>
      </c>
      <c r="K12" s="701">
        <f>SUM(E12:I12)</f>
        <v>0</v>
      </c>
      <c r="L12" s="672" t="s">
        <v>60</v>
      </c>
      <c r="M12" s="699" t="s">
        <v>710</v>
      </c>
      <c r="O12" s="699"/>
      <c r="Q12" s="699"/>
      <c r="S12" s="699"/>
    </row>
    <row r="13" spans="1:21">
      <c r="E13" s="681"/>
      <c r="G13" s="681"/>
      <c r="H13" s="681"/>
      <c r="I13" s="681"/>
      <c r="J13" s="681"/>
      <c r="K13" s="681"/>
      <c r="O13" s="699"/>
      <c r="Q13" s="699"/>
      <c r="S13" s="699"/>
    </row>
    <row r="14" spans="1:21">
      <c r="A14" s="681">
        <f>MAX($A$6:A13)+1</f>
        <v>8</v>
      </c>
      <c r="C14" s="717" t="s">
        <v>94</v>
      </c>
      <c r="D14" s="702" t="s">
        <v>60</v>
      </c>
      <c r="E14" s="716">
        <f>1-(((1-SIT)*(1-FIT))/(1-SIT*FIT*P))</f>
        <v>0.28109999999999991</v>
      </c>
      <c r="F14" s="702" t="s">
        <v>60</v>
      </c>
      <c r="G14" s="681" t="s">
        <v>720</v>
      </c>
      <c r="H14" s="681"/>
      <c r="I14" s="681"/>
      <c r="J14" s="681"/>
      <c r="K14" s="681"/>
      <c r="O14" s="699"/>
      <c r="Q14" s="699"/>
      <c r="S14" s="699"/>
    </row>
    <row r="15" spans="1:21">
      <c r="A15" s="681">
        <f>MAX($A$6:A14)+1</f>
        <v>9</v>
      </c>
      <c r="C15" s="16" t="s">
        <v>739</v>
      </c>
      <c r="D15" s="702" t="s">
        <v>60</v>
      </c>
      <c r="E15" s="716">
        <f>(T/(1-T))*(1-(WCLTD/ROR))</f>
        <v>0.2731584642032141</v>
      </c>
      <c r="F15" s="702" t="s">
        <v>60</v>
      </c>
      <c r="G15" s="681" t="s">
        <v>721</v>
      </c>
      <c r="H15" s="681"/>
      <c r="I15" s="681"/>
      <c r="J15" s="681"/>
      <c r="K15" s="681"/>
      <c r="O15" s="699"/>
      <c r="Q15" s="699"/>
      <c r="S15" s="699"/>
    </row>
    <row r="16" spans="1:21">
      <c r="A16" s="681">
        <f>MAX($A$6:A15)+1</f>
        <v>10</v>
      </c>
      <c r="E16" s="681"/>
      <c r="G16" s="2" t="s">
        <v>818</v>
      </c>
      <c r="H16" s="681"/>
      <c r="I16" s="681"/>
      <c r="J16" s="681"/>
      <c r="K16" s="681"/>
      <c r="M16" s="901"/>
      <c r="N16" s="819"/>
      <c r="O16" s="699"/>
      <c r="Q16" s="699"/>
      <c r="S16" s="699"/>
      <c r="U16" s="830"/>
    </row>
    <row r="17" spans="1:20">
      <c r="A17" s="681">
        <f>MAX($A$6:A16)+1</f>
        <v>11</v>
      </c>
      <c r="E17" s="681"/>
      <c r="G17" s="681" t="s">
        <v>819</v>
      </c>
      <c r="H17" s="571"/>
      <c r="I17" s="571"/>
      <c r="K17" s="902"/>
      <c r="M17" s="901"/>
    </row>
    <row r="18" spans="1:20">
      <c r="A18" s="681">
        <f>MAX($A$6:A17)+1</f>
        <v>12</v>
      </c>
      <c r="C18" s="681" t="s">
        <v>746</v>
      </c>
      <c r="D18" s="702" t="s">
        <v>60</v>
      </c>
      <c r="E18" s="716">
        <f>T/(1-T)</f>
        <v>0.39101404924189714</v>
      </c>
      <c r="F18" s="702" t="s">
        <v>60</v>
      </c>
      <c r="G18" s="681" t="s">
        <v>747</v>
      </c>
      <c r="H18" s="654"/>
    </row>
    <row r="19" spans="1:20">
      <c r="D19" s="702"/>
      <c r="E19" s="716"/>
      <c r="F19" s="702"/>
      <c r="G19" s="681"/>
      <c r="H19" s="654"/>
    </row>
    <row r="20" spans="1:20" ht="15.6" customHeight="1">
      <c r="A20" s="681">
        <f>MAX($A$6:A19)+1</f>
        <v>13</v>
      </c>
      <c r="C20" s="681" t="s">
        <v>130</v>
      </c>
      <c r="D20" s="718"/>
      <c r="E20" s="654">
        <f ca="1">'Attachment H-4A JCP&amp;L '!I137</f>
        <v>83491416.630089507</v>
      </c>
      <c r="G20" s="630" t="s">
        <v>879</v>
      </c>
      <c r="H20" s="571"/>
      <c r="I20" s="571"/>
      <c r="K20" s="901"/>
      <c r="N20" s="924"/>
      <c r="O20" s="924"/>
      <c r="P20" s="924"/>
    </row>
    <row r="21" spans="1:20">
      <c r="A21" s="681">
        <f>MAX($A$6:A20)+1</f>
        <v>14</v>
      </c>
      <c r="C21" s="681" t="s">
        <v>719</v>
      </c>
      <c r="D21" s="718" t="s">
        <v>642</v>
      </c>
      <c r="E21" s="719">
        <f>CTF</f>
        <v>0.2731584642032141</v>
      </c>
      <c r="N21" s="924"/>
      <c r="O21" s="924"/>
      <c r="P21" s="924"/>
    </row>
    <row r="22" spans="1:20">
      <c r="A22" s="681">
        <f>MAX($A$6:A21)+1</f>
        <v>15</v>
      </c>
      <c r="C22" s="681" t="s">
        <v>750</v>
      </c>
      <c r="E22" s="714">
        <f ca="1">E20*E21</f>
        <v>22806387.140825938</v>
      </c>
      <c r="N22" s="924"/>
      <c r="O22" s="924"/>
      <c r="P22" s="924"/>
    </row>
    <row r="23" spans="1:20">
      <c r="D23" s="718"/>
      <c r="G23" s="742"/>
      <c r="H23" s="654"/>
      <c r="N23" s="924"/>
      <c r="O23" s="924"/>
      <c r="P23" s="924"/>
    </row>
    <row r="24" spans="1:20">
      <c r="A24" s="681">
        <f>MAX($A$6:A23)+1</f>
        <v>16</v>
      </c>
      <c r="C24" s="681" t="s">
        <v>1000</v>
      </c>
      <c r="E24" s="703">
        <v>210277.45430519996</v>
      </c>
      <c r="F24" s="1060"/>
      <c r="G24" s="571"/>
      <c r="N24" s="924"/>
      <c r="O24" s="924"/>
      <c r="P24" s="924"/>
    </row>
    <row r="25" spans="1:20">
      <c r="A25" s="681">
        <f>MAX($A$6:A24)+1</f>
        <v>17</v>
      </c>
      <c r="C25" s="681" t="s">
        <v>916</v>
      </c>
      <c r="D25" s="702"/>
      <c r="E25" s="571">
        <f ca="1">G25*(INDIRECT(I25))</f>
        <v>-32705.321736587626</v>
      </c>
      <c r="F25" s="702" t="s">
        <v>60</v>
      </c>
      <c r="G25" s="569">
        <v>-131199</v>
      </c>
      <c r="H25" s="718" t="s">
        <v>642</v>
      </c>
      <c r="I25" s="1061" t="s">
        <v>762</v>
      </c>
      <c r="J25" s="1060"/>
      <c r="K25" s="1062"/>
      <c r="N25" s="924"/>
      <c r="O25" s="924"/>
      <c r="P25" s="924"/>
      <c r="R25" s="830"/>
      <c r="S25" s="830"/>
      <c r="T25" s="830"/>
    </row>
    <row r="26" spans="1:20">
      <c r="A26" s="681">
        <f>MAX($A$6:A25)+1</f>
        <v>18</v>
      </c>
      <c r="C26" s="681" t="s">
        <v>1002</v>
      </c>
      <c r="D26" s="702" t="s">
        <v>686</v>
      </c>
      <c r="E26" s="703">
        <v>-2016753.1528176004</v>
      </c>
      <c r="F26" s="702" t="s">
        <v>60</v>
      </c>
      <c r="G26" s="659" t="s">
        <v>902</v>
      </c>
      <c r="H26" s="927"/>
      <c r="I26" s="711"/>
      <c r="J26" s="927"/>
      <c r="K26" s="1063"/>
      <c r="L26" s="1064"/>
      <c r="M26" s="1063"/>
      <c r="N26" s="1056"/>
      <c r="O26" s="924"/>
      <c r="P26" s="924"/>
    </row>
    <row r="27" spans="1:20">
      <c r="A27" s="681">
        <f>MAX($A$6:A26)+1</f>
        <v>19</v>
      </c>
      <c r="C27" s="681" t="s">
        <v>427</v>
      </c>
      <c r="E27" s="714">
        <f ca="1">SUM(E24:E26)</f>
        <v>-1839181.0202489882</v>
      </c>
      <c r="F27" s="702"/>
      <c r="G27" s="770"/>
    </row>
    <row r="28" spans="1:20">
      <c r="A28" s="681">
        <f>MAX($A$6:A27)+1</f>
        <v>20</v>
      </c>
      <c r="C28" s="681" t="s">
        <v>751</v>
      </c>
      <c r="D28" s="771" t="s">
        <v>686</v>
      </c>
      <c r="E28" s="571">
        <f ca="1">E27*TGUF</f>
        <v>-719145.61801640049</v>
      </c>
      <c r="F28" s="702" t="s">
        <v>60</v>
      </c>
      <c r="G28" s="681" t="str">
        <f>"Line "&amp;A27&amp;" "&amp;CHAR(215)&amp;" TGUF"</f>
        <v>Line 19 × TGUF</v>
      </c>
    </row>
    <row r="29" spans="1:20">
      <c r="A29" s="681">
        <f>MAX($A$6:A28)+1</f>
        <v>21</v>
      </c>
      <c r="C29" s="681" t="s">
        <v>748</v>
      </c>
      <c r="E29" s="714">
        <f ca="1">E27+E28</f>
        <v>-2558326.6382653886</v>
      </c>
    </row>
    <row r="30" spans="1:20">
      <c r="N30" s="961"/>
    </row>
    <row r="31" spans="1:20" ht="16.2" thickBot="1">
      <c r="A31" s="681">
        <f>MAX($A$6:A30)+1</f>
        <v>22</v>
      </c>
      <c r="C31" s="681" t="s">
        <v>749</v>
      </c>
      <c r="E31" s="787">
        <f ca="1">E22+E29</f>
        <v>20248060.502560548</v>
      </c>
      <c r="F31" s="702" t="s">
        <v>60</v>
      </c>
      <c r="G31" s="742" t="str">
        <f>"Line "&amp;A22&amp;" + Line "&amp;A29</f>
        <v>Line 15 + Line 21</v>
      </c>
    </row>
    <row r="32" spans="1:20" ht="16.2" thickTop="1"/>
    <row r="34" spans="2:14">
      <c r="C34" s="681" t="s">
        <v>153</v>
      </c>
    </row>
    <row r="35" spans="2:14">
      <c r="C35" s="681" t="s">
        <v>917</v>
      </c>
      <c r="E35" s="571"/>
      <c r="G35" s="571"/>
      <c r="I35" s="571"/>
    </row>
    <row r="36" spans="2:14" ht="15.6" customHeight="1">
      <c r="C36" s="1019" t="s">
        <v>1001</v>
      </c>
      <c r="D36" s="1019"/>
      <c r="E36" s="1019"/>
      <c r="F36" s="1019"/>
      <c r="G36" s="1019"/>
      <c r="H36" s="671"/>
      <c r="I36" s="671"/>
      <c r="J36" s="671"/>
      <c r="K36" s="671"/>
      <c r="L36" s="671"/>
      <c r="M36" s="671"/>
      <c r="N36" s="671"/>
    </row>
    <row r="37" spans="2:14">
      <c r="C37" s="1019"/>
      <c r="D37" s="1019"/>
      <c r="E37" s="1019"/>
      <c r="F37" s="1019"/>
      <c r="G37" s="1019"/>
      <c r="H37" s="671"/>
      <c r="I37" s="671"/>
      <c r="J37" s="671"/>
      <c r="K37" s="671"/>
      <c r="L37" s="671"/>
      <c r="M37" s="671"/>
      <c r="N37" s="671"/>
    </row>
    <row r="38" spans="2:14">
      <c r="C38" s="1019"/>
      <c r="D38" s="1019"/>
      <c r="E38" s="1019"/>
      <c r="F38" s="1019"/>
      <c r="G38" s="1019"/>
      <c r="H38" s="671"/>
      <c r="I38" s="671"/>
      <c r="J38" s="671"/>
      <c r="K38" s="671"/>
      <c r="L38" s="671"/>
      <c r="M38" s="671"/>
      <c r="N38" s="671"/>
    </row>
    <row r="39" spans="2:14">
      <c r="C39" s="681" t="s">
        <v>1003</v>
      </c>
      <c r="D39" s="671"/>
      <c r="E39" s="671"/>
      <c r="F39" s="671"/>
      <c r="G39" s="671"/>
      <c r="H39" s="671"/>
      <c r="I39" s="671"/>
      <c r="J39" s="671"/>
      <c r="K39" s="671"/>
      <c r="L39" s="671"/>
      <c r="M39" s="671"/>
      <c r="N39" s="671"/>
    </row>
    <row r="40" spans="2:14">
      <c r="C40" s="671"/>
      <c r="D40" s="671"/>
      <c r="E40" s="671"/>
      <c r="F40" s="671"/>
      <c r="G40" s="671"/>
      <c r="H40" s="671"/>
      <c r="I40" s="671"/>
      <c r="J40" s="671"/>
      <c r="K40" s="671"/>
      <c r="L40" s="671"/>
      <c r="M40" s="671"/>
      <c r="N40" s="671"/>
    </row>
    <row r="41" spans="2:14" ht="15.75" customHeight="1">
      <c r="B41" s="693"/>
      <c r="D41" s="712"/>
      <c r="F41" s="712"/>
      <c r="G41" s="693"/>
      <c r="H41" s="693"/>
      <c r="I41" s="693"/>
      <c r="J41" s="693"/>
      <c r="K41" s="693"/>
      <c r="L41" s="712"/>
    </row>
    <row r="46" spans="2:14">
      <c r="C46" s="693"/>
      <c r="E46" s="693"/>
    </row>
  </sheetData>
  <mergeCells count="1">
    <mergeCell ref="C36:G38"/>
  </mergeCells>
  <pageMargins left="0.25" right="0.25" top="0.75" bottom="0.75" header="0.3" footer="0.3"/>
  <pageSetup scale="79" fitToHeight="0" orientation="portrait" r:id="rId1"/>
  <headerFooter>
    <oddHeader xml:space="preserve">&amp;R&amp;"Times New Roman,Regular"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9">
    <pageSetUpPr fitToPage="1"/>
  </sheetPr>
  <dimension ref="A1:AI112"/>
  <sheetViews>
    <sheetView showWhiteSpace="0" zoomScale="70" zoomScaleNormal="70" zoomScaleSheetLayoutView="80" zoomScalePageLayoutView="50" workbookViewId="0">
      <selection activeCell="C2" sqref="C2"/>
    </sheetView>
  </sheetViews>
  <sheetFormatPr defaultColWidth="8.81640625" defaultRowHeight="15.6"/>
  <cols>
    <col min="1" max="1" width="8" style="746" bestFit="1" customWidth="1"/>
    <col min="2" max="2" width="1.08984375" style="1" customWidth="1"/>
    <col min="3" max="3" width="62.7265625" style="1" customWidth="1"/>
    <col min="4" max="4" width="1.08984375" style="1" customWidth="1"/>
    <col min="5" max="5" width="16.7265625" style="1" customWidth="1"/>
    <col min="6" max="6" width="1.08984375" style="1" customWidth="1"/>
    <col min="7" max="7" width="16.26953125" style="1" customWidth="1"/>
    <col min="8" max="8" width="1.08984375" style="1" customWidth="1"/>
    <col min="9" max="9" width="18.7265625" style="1" customWidth="1"/>
    <col min="10" max="10" width="1.08984375" style="1" customWidth="1"/>
    <col min="11" max="11" width="13.54296875" style="570" customWidth="1"/>
    <col min="12" max="12" width="1.08984375" style="1" customWidth="1"/>
    <col min="13" max="13" width="13.54296875" style="570" customWidth="1"/>
    <col min="14" max="14" width="1.08984375" style="1" customWidth="1"/>
    <col min="15" max="15" width="13.54296875" style="570" customWidth="1"/>
    <col min="16" max="16" width="1.08984375" style="1" customWidth="1"/>
    <col min="17" max="17" width="13" style="732" customWidth="1"/>
    <col min="18" max="18" width="1.08984375" style="1" customWidth="1"/>
    <col min="19" max="19" width="13.81640625" style="1" customWidth="1"/>
    <col min="20" max="20" width="1.08984375" style="1" customWidth="1"/>
    <col min="21" max="21" width="16.81640625" style="570" bestFit="1" customWidth="1"/>
    <col min="22" max="22" width="1.08984375" style="1" customWidth="1"/>
    <col min="23" max="23" width="14.7265625" style="570" bestFit="1" customWidth="1"/>
    <col min="24" max="24" width="1.08984375" style="1" customWidth="1"/>
    <col min="25" max="25" width="13.7265625" style="1" customWidth="1"/>
    <col min="26" max="26" width="16.26953125" style="1" customWidth="1"/>
    <col min="27" max="27" width="14.453125" style="1" customWidth="1"/>
    <col min="28" max="28" width="1.08984375" style="1" customWidth="1"/>
    <col min="29" max="29" width="8.81640625" style="1"/>
    <col min="30" max="30" width="11.7265625" style="1" bestFit="1" customWidth="1"/>
    <col min="31" max="31" width="13" style="1" bestFit="1" customWidth="1"/>
    <col min="32" max="33" width="13.7265625" style="1" bestFit="1" customWidth="1"/>
    <col min="34" max="16384" width="8.81640625" style="1"/>
  </cols>
  <sheetData>
    <row r="1" spans="1:35">
      <c r="C1" s="1065"/>
      <c r="D1" s="1065"/>
      <c r="E1" s="1065"/>
      <c r="F1" s="1065"/>
      <c r="G1" s="1065"/>
      <c r="H1" s="1065"/>
      <c r="I1" s="1065"/>
      <c r="J1" s="1065"/>
      <c r="K1" s="1065"/>
      <c r="Y1" s="671" t="s">
        <v>987</v>
      </c>
      <c r="Z1" s="671"/>
    </row>
    <row r="2" spans="1:35">
      <c r="C2" s="1065"/>
      <c r="D2" s="1065"/>
      <c r="E2" s="1065"/>
      <c r="F2" s="1065"/>
      <c r="G2" s="1065"/>
      <c r="H2" s="1065"/>
      <c r="I2" s="1065"/>
      <c r="J2" s="1065"/>
      <c r="K2" s="1065"/>
      <c r="Y2" s="671" t="s">
        <v>144</v>
      </c>
      <c r="Z2" s="671"/>
    </row>
    <row r="3" spans="1:35">
      <c r="C3" s="1065"/>
      <c r="D3" s="1065"/>
      <c r="E3" s="1065"/>
      <c r="F3" s="1065"/>
      <c r="G3" s="1065"/>
      <c r="H3" s="1065"/>
      <c r="I3" s="1065"/>
      <c r="J3" s="1065"/>
      <c r="K3" s="1065"/>
      <c r="Y3" s="671" t="str">
        <f>'Attachment 15 - Income Taxes'!I3</f>
        <v>For the 12 months ended 12/31/2023</v>
      </c>
      <c r="Z3" s="671"/>
    </row>
    <row r="4" spans="1:35">
      <c r="C4" s="1065"/>
      <c r="D4" s="1065"/>
      <c r="E4" s="1065"/>
      <c r="F4" s="1065"/>
      <c r="G4" s="1065"/>
      <c r="H4" s="1065"/>
      <c r="I4" s="1065"/>
      <c r="J4" s="1065"/>
      <c r="K4" s="1065"/>
      <c r="AD4" s="1066"/>
    </row>
    <row r="5" spans="1:35">
      <c r="I5" s="55"/>
      <c r="K5" s="196"/>
      <c r="M5" s="196"/>
      <c r="O5" s="196"/>
      <c r="Q5" s="729"/>
      <c r="U5" s="196"/>
      <c r="W5" s="196"/>
      <c r="AD5" s="1066"/>
    </row>
    <row r="6" spans="1:35">
      <c r="C6" s="620" t="s">
        <v>627</v>
      </c>
      <c r="D6" s="600"/>
      <c r="E6" s="775" t="str">
        <f t="shared" ref="E6" si="0">"("&amp;CHAR(CODE(MID(C6,2,1))+1)&amp;")"</f>
        <v>(B)</v>
      </c>
      <c r="F6" s="891"/>
      <c r="G6" s="776" t="str">
        <f t="shared" ref="G6" si="1">"("&amp;CHAR(CODE(MID(E6,2,1))+1)&amp;")"</f>
        <v>(C)</v>
      </c>
      <c r="H6" s="891"/>
      <c r="I6" s="777" t="str">
        <f t="shared" ref="I6" si="2">"("&amp;CHAR(CODE(MID(G6,2,1))+1)&amp;")"</f>
        <v>(D)</v>
      </c>
      <c r="K6" s="775" t="str">
        <f t="shared" ref="K6" si="3">"("&amp;CHAR(CODE(MID(I6,2,1))+1)&amp;")"</f>
        <v>(E)</v>
      </c>
      <c r="L6" s="891"/>
      <c r="M6" s="777" t="str">
        <f t="shared" ref="M6" si="4">"("&amp;CHAR(CODE(MID(K6,2,1))+1)&amp;")"</f>
        <v>(F)</v>
      </c>
      <c r="O6" s="620" t="str">
        <f t="shared" ref="O6" si="5">"("&amp;CHAR(CODE(MID(M6,2,1))+1)&amp;")"</f>
        <v>(G)</v>
      </c>
      <c r="Q6" s="778" t="str">
        <f t="shared" ref="Q6" si="6">"("&amp;CHAR(CODE(MID(O6,2,1))+1)&amp;")"</f>
        <v>(H)</v>
      </c>
      <c r="S6" s="620" t="str">
        <f>"("&amp;CHAR(CODE(MID(Q6,2,1))+1)&amp;")"</f>
        <v>(I)</v>
      </c>
      <c r="U6" s="620" t="str">
        <f>"("&amp;CHAR(CODE(MID(S6,2,1))+1)&amp;")"</f>
        <v>(J)</v>
      </c>
      <c r="W6" s="620" t="str">
        <f>"("&amp;CHAR(CODE(MID(U6,2,1))+1)&amp;")"</f>
        <v>(K)</v>
      </c>
      <c r="X6" s="620" t="e">
        <f t="shared" ref="X6:Y6" si="7">"("&amp;CHAR(CODE(MID(V6,2,1))+1)&amp;")"</f>
        <v>#VALUE!</v>
      </c>
      <c r="Y6" s="620" t="str">
        <f t="shared" si="7"/>
        <v>(L)</v>
      </c>
      <c r="Z6" s="620" t="str">
        <f>"("&amp;CHAR(CODE(MID(Y6,2,1))+1)&amp;")"</f>
        <v>(M)</v>
      </c>
      <c r="AA6" s="778" t="str">
        <f>"("&amp;CHAR(CODE(MID(Z6,2,1))+1)&amp;")"</f>
        <v>(N)</v>
      </c>
      <c r="AD6" s="1066"/>
    </row>
    <row r="7" spans="1:35">
      <c r="C7" s="55"/>
      <c r="E7" s="1020" t="s">
        <v>756</v>
      </c>
      <c r="F7" s="1021"/>
      <c r="G7" s="1021"/>
      <c r="H7" s="1021"/>
      <c r="I7" s="1022"/>
      <c r="K7" s="1023" t="s">
        <v>757</v>
      </c>
      <c r="L7" s="1024"/>
      <c r="M7" s="1025"/>
      <c r="O7" s="732"/>
      <c r="Q7" s="779" t="s">
        <v>759</v>
      </c>
      <c r="U7" s="196"/>
      <c r="W7" s="1"/>
      <c r="AA7" s="779" t="s">
        <v>758</v>
      </c>
      <c r="AD7" s="1066"/>
    </row>
    <row r="8" spans="1:35" s="726" customFormat="1" ht="80.400000000000006" customHeight="1">
      <c r="A8" s="892" t="s">
        <v>5</v>
      </c>
      <c r="B8" s="531"/>
      <c r="C8" s="739" t="s">
        <v>520</v>
      </c>
      <c r="D8" s="531"/>
      <c r="E8" s="903" t="s">
        <v>884</v>
      </c>
      <c r="F8" s="531"/>
      <c r="G8" s="903" t="s">
        <v>883</v>
      </c>
      <c r="H8" s="531"/>
      <c r="I8" s="903" t="s">
        <v>885</v>
      </c>
      <c r="J8" s="531"/>
      <c r="K8" s="707" t="s">
        <v>724</v>
      </c>
      <c r="L8" s="531"/>
      <c r="M8" s="707" t="s">
        <v>725</v>
      </c>
      <c r="N8" s="531"/>
      <c r="O8" s="730" t="s">
        <v>745</v>
      </c>
      <c r="P8" s="531"/>
      <c r="Q8" s="728" t="s">
        <v>723</v>
      </c>
      <c r="R8" s="531"/>
      <c r="S8" s="728" t="s">
        <v>844</v>
      </c>
      <c r="T8" s="531"/>
      <c r="U8" s="903" t="s">
        <v>887</v>
      </c>
      <c r="V8" s="531"/>
      <c r="W8" s="728" t="s">
        <v>886</v>
      </c>
      <c r="X8" s="531"/>
      <c r="Y8" s="531" t="s">
        <v>865</v>
      </c>
      <c r="Z8" s="531" t="s">
        <v>866</v>
      </c>
      <c r="AA8" s="728" t="s">
        <v>744</v>
      </c>
      <c r="AD8" s="1067"/>
    </row>
    <row r="9" spans="1:35">
      <c r="A9" s="570">
        <v>1</v>
      </c>
      <c r="C9" s="18" t="s">
        <v>893</v>
      </c>
      <c r="K9" s="624"/>
      <c r="M9" s="624"/>
      <c r="O9" s="731"/>
      <c r="Q9" s="1"/>
      <c r="U9" s="624"/>
      <c r="W9" s="1"/>
      <c r="AD9" s="1066"/>
    </row>
    <row r="10" spans="1:35">
      <c r="A10" s="570"/>
      <c r="C10" s="18"/>
      <c r="I10" s="624"/>
      <c r="K10" s="624"/>
      <c r="M10" s="624"/>
      <c r="O10" s="731"/>
      <c r="Q10" s="1"/>
      <c r="U10" s="624"/>
      <c r="W10" s="1"/>
      <c r="AD10" s="1066"/>
    </row>
    <row r="11" spans="1:35">
      <c r="A11" s="570">
        <v>2</v>
      </c>
      <c r="C11" s="18" t="s">
        <v>895</v>
      </c>
      <c r="I11" s="624"/>
      <c r="K11" s="624"/>
      <c r="M11" s="624"/>
      <c r="O11" s="731"/>
      <c r="Q11" s="1"/>
      <c r="U11" s="624"/>
      <c r="W11" s="1"/>
      <c r="AD11" s="1066"/>
    </row>
    <row r="12" spans="1:35">
      <c r="A12" s="735">
        <f>A11+0.01</f>
        <v>2.0099999999999998</v>
      </c>
      <c r="B12" s="720"/>
      <c r="C12" s="721" t="s">
        <v>1089</v>
      </c>
      <c r="D12" s="720"/>
      <c r="E12" s="725">
        <v>4339.8862350000072</v>
      </c>
      <c r="F12" s="772"/>
      <c r="G12" s="725"/>
      <c r="H12" s="772"/>
      <c r="I12" s="849">
        <f>E12+G12</f>
        <v>4339.8862350000072</v>
      </c>
      <c r="J12" s="772"/>
      <c r="K12" s="725" t="s">
        <v>1125</v>
      </c>
      <c r="L12" s="772"/>
      <c r="M12" s="725" t="s">
        <v>1086</v>
      </c>
      <c r="N12" s="772"/>
      <c r="O12" s="850" t="s">
        <v>1126</v>
      </c>
      <c r="P12" s="772"/>
      <c r="Q12" s="624">
        <f>IF(ISBLANK(C12)=TRUE,0,IF(AND(K12="Protected",M12="Property")=TRUE,"ARAM",IF(AND(K12="Non-Protected",M12="Non-Property")=TRUE,10,35)))</f>
        <v>10</v>
      </c>
      <c r="R12" s="772"/>
      <c r="S12" s="851">
        <v>4</v>
      </c>
      <c r="T12" s="849"/>
      <c r="U12" s="852">
        <f>I12-W12</f>
        <v>3471.908988000006</v>
      </c>
      <c r="V12" s="849"/>
      <c r="W12" s="851">
        <v>867.97724700000106</v>
      </c>
      <c r="X12" s="772"/>
      <c r="Y12" s="852"/>
      <c r="Z12" s="849">
        <f>W12</f>
        <v>867.97724700000106</v>
      </c>
      <c r="AA12" s="766">
        <v>410.1</v>
      </c>
      <c r="AD12" s="1068"/>
      <c r="AE12" s="1068"/>
      <c r="AF12" s="1068"/>
      <c r="AG12" s="1068"/>
      <c r="AH12" s="1068"/>
      <c r="AI12" s="1066"/>
    </row>
    <row r="13" spans="1:35">
      <c r="A13" s="735">
        <f t="shared" ref="A13:A30" si="8">A12+0.01</f>
        <v>2.0199999999999996</v>
      </c>
      <c r="B13" s="720"/>
      <c r="C13" s="721" t="s">
        <v>1115</v>
      </c>
      <c r="D13" s="720"/>
      <c r="E13" s="725">
        <v>7692.9216000000033</v>
      </c>
      <c r="F13" s="772"/>
      <c r="G13" s="725"/>
      <c r="H13" s="772"/>
      <c r="I13" s="849">
        <f>E13+G13</f>
        <v>7692.9216000000033</v>
      </c>
      <c r="J13" s="772"/>
      <c r="K13" s="725" t="s">
        <v>1125</v>
      </c>
      <c r="L13" s="772"/>
      <c r="M13" s="725" t="s">
        <v>1086</v>
      </c>
      <c r="N13" s="772"/>
      <c r="O13" s="850" t="s">
        <v>1126</v>
      </c>
      <c r="P13" s="772"/>
      <c r="Q13" s="624">
        <f>IF(ISBLANK(C13)=TRUE,0,IF(AND(K13="Protected",M13="Property")=TRUE,"ARAM",IF(AND(K13="Non-Protected",M13="Non-Property")=TRUE,10,35)))</f>
        <v>10</v>
      </c>
      <c r="R13" s="772"/>
      <c r="S13" s="851">
        <v>4</v>
      </c>
      <c r="T13" s="849"/>
      <c r="U13" s="852">
        <f>I13-W13</f>
        <v>6154.3372800000034</v>
      </c>
      <c r="V13" s="849"/>
      <c r="W13" s="851">
        <v>1538.5843200000004</v>
      </c>
      <c r="X13" s="772"/>
      <c r="Y13" s="852"/>
      <c r="Z13" s="849">
        <f>W13</f>
        <v>1538.5843200000004</v>
      </c>
      <c r="AA13" s="766">
        <v>410.1</v>
      </c>
      <c r="AD13" s="1066"/>
    </row>
    <row r="14" spans="1:35">
      <c r="A14" s="735">
        <f t="shared" si="8"/>
        <v>2.0299999999999994</v>
      </c>
      <c r="B14" s="720"/>
      <c r="C14" s="721" t="s">
        <v>1116</v>
      </c>
      <c r="D14" s="720"/>
      <c r="E14" s="725">
        <v>25408.40019300003</v>
      </c>
      <c r="F14" s="772"/>
      <c r="G14" s="725"/>
      <c r="H14" s="772"/>
      <c r="I14" s="849">
        <f>E14+G14</f>
        <v>25408.40019300003</v>
      </c>
      <c r="J14" s="772"/>
      <c r="K14" s="725" t="s">
        <v>1125</v>
      </c>
      <c r="L14" s="772"/>
      <c r="M14" s="725" t="s">
        <v>1086</v>
      </c>
      <c r="N14" s="772"/>
      <c r="O14" s="851" t="s">
        <v>1126</v>
      </c>
      <c r="P14" s="772"/>
      <c r="Q14" s="624">
        <f>IF(ISBLANK(C14)=TRUE,0,IF(AND(K14="Protected",M14="Property")=TRUE,"ARAM",IF(AND(K14="Non-Protected",M14="Non-Property")=TRUE,10,35)))</f>
        <v>10</v>
      </c>
      <c r="R14" s="772"/>
      <c r="S14" s="851">
        <v>4</v>
      </c>
      <c r="T14" s="849"/>
      <c r="U14" s="852">
        <f>I14-W14</f>
        <v>20326.720154400024</v>
      </c>
      <c r="V14" s="772"/>
      <c r="W14" s="851">
        <v>5081.6800386000077</v>
      </c>
      <c r="X14" s="772"/>
      <c r="Y14" s="772"/>
      <c r="Z14" s="849">
        <f>W14</f>
        <v>5081.6800386000077</v>
      </c>
      <c r="AA14" s="766">
        <v>410.1</v>
      </c>
      <c r="AD14" s="1066"/>
    </row>
    <row r="15" spans="1:35">
      <c r="A15" s="735">
        <f t="shared" si="8"/>
        <v>2.0399999999999991</v>
      </c>
      <c r="B15" s="720"/>
      <c r="C15" s="721" t="s">
        <v>1117</v>
      </c>
      <c r="D15" s="720"/>
      <c r="E15" s="725">
        <v>-952.34271999999987</v>
      </c>
      <c r="F15" s="772"/>
      <c r="G15" s="725"/>
      <c r="H15" s="772"/>
      <c r="I15" s="849">
        <f t="shared" ref="I15:I30" si="9">E15+G15</f>
        <v>-952.34271999999987</v>
      </c>
      <c r="J15" s="772"/>
      <c r="K15" s="725" t="s">
        <v>1125</v>
      </c>
      <c r="L15" s="772"/>
      <c r="M15" s="725" t="s">
        <v>1086</v>
      </c>
      <c r="N15" s="772"/>
      <c r="O15" s="851" t="s">
        <v>1126</v>
      </c>
      <c r="P15" s="772"/>
      <c r="Q15" s="624">
        <f t="shared" ref="Q15:Q30" si="10">IF(ISBLANK(C15)=TRUE,0,IF(AND(K15="Protected",M15="Property")=TRUE,"ARAM",IF(AND(K15="Non-Protected",M15="Non-Property")=TRUE,10,35)))</f>
        <v>10</v>
      </c>
      <c r="R15" s="772"/>
      <c r="S15" s="851">
        <v>4</v>
      </c>
      <c r="T15" s="849"/>
      <c r="U15" s="852">
        <f t="shared" ref="U15:U30" si="11">I15-W15</f>
        <v>-761.87417599999981</v>
      </c>
      <c r="V15" s="772"/>
      <c r="W15" s="851">
        <v>-190.46854400000001</v>
      </c>
      <c r="X15" s="772"/>
      <c r="Y15" s="772"/>
      <c r="Z15" s="849">
        <f t="shared" ref="Z15:Z30" si="12">W15</f>
        <v>-190.46854400000001</v>
      </c>
      <c r="AA15" s="766">
        <v>410.1</v>
      </c>
      <c r="AD15" s="1066"/>
    </row>
    <row r="16" spans="1:35">
      <c r="A16" s="735">
        <f t="shared" si="8"/>
        <v>2.0499999999999989</v>
      </c>
      <c r="B16" s="720"/>
      <c r="C16" s="721" t="s">
        <v>1093</v>
      </c>
      <c r="D16" s="720"/>
      <c r="E16" s="725">
        <v>8218.0088959999975</v>
      </c>
      <c r="F16" s="772"/>
      <c r="G16" s="725"/>
      <c r="H16" s="772"/>
      <c r="I16" s="849">
        <f t="shared" si="9"/>
        <v>8218.0088959999975</v>
      </c>
      <c r="J16" s="772"/>
      <c r="K16" s="725" t="s">
        <v>1125</v>
      </c>
      <c r="L16" s="772"/>
      <c r="M16" s="725" t="s">
        <v>1086</v>
      </c>
      <c r="N16" s="772"/>
      <c r="O16" s="851" t="s">
        <v>1126</v>
      </c>
      <c r="P16" s="772"/>
      <c r="Q16" s="624">
        <f t="shared" si="10"/>
        <v>10</v>
      </c>
      <c r="R16" s="772"/>
      <c r="S16" s="851">
        <v>4</v>
      </c>
      <c r="T16" s="849"/>
      <c r="U16" s="852">
        <f t="shared" si="11"/>
        <v>6574.4071167999973</v>
      </c>
      <c r="V16" s="772"/>
      <c r="W16" s="851">
        <v>1643.6017791999998</v>
      </c>
      <c r="X16" s="772"/>
      <c r="Y16" s="772"/>
      <c r="Z16" s="849">
        <f>W16</f>
        <v>1643.6017791999998</v>
      </c>
      <c r="AA16" s="766">
        <v>410.1</v>
      </c>
      <c r="AD16" s="1066"/>
    </row>
    <row r="17" spans="1:30">
      <c r="A17" s="735">
        <f t="shared" si="8"/>
        <v>2.0599999999999987</v>
      </c>
      <c r="B17" s="720"/>
      <c r="C17" s="721" t="s">
        <v>1094</v>
      </c>
      <c r="D17" s="720"/>
      <c r="E17" s="725">
        <v>82924.475214000064</v>
      </c>
      <c r="F17" s="772"/>
      <c r="G17" s="725"/>
      <c r="H17" s="772"/>
      <c r="I17" s="849">
        <f t="shared" si="9"/>
        <v>82924.475214000064</v>
      </c>
      <c r="J17" s="772"/>
      <c r="K17" s="725" t="s">
        <v>1125</v>
      </c>
      <c r="L17" s="772"/>
      <c r="M17" s="725" t="s">
        <v>1086</v>
      </c>
      <c r="N17" s="772"/>
      <c r="O17" s="851" t="s">
        <v>1126</v>
      </c>
      <c r="P17" s="772"/>
      <c r="Q17" s="624">
        <f t="shared" si="10"/>
        <v>10</v>
      </c>
      <c r="R17" s="772"/>
      <c r="S17" s="851">
        <v>4</v>
      </c>
      <c r="T17" s="849"/>
      <c r="U17" s="852">
        <f t="shared" si="11"/>
        <v>66339.580171200039</v>
      </c>
      <c r="V17" s="772"/>
      <c r="W17" s="851">
        <v>16584.895042800017</v>
      </c>
      <c r="X17" s="772"/>
      <c r="Y17" s="772"/>
      <c r="Z17" s="849">
        <f t="shared" si="12"/>
        <v>16584.895042800017</v>
      </c>
      <c r="AA17" s="766">
        <v>410.1</v>
      </c>
      <c r="AD17" s="1066"/>
    </row>
    <row r="18" spans="1:30">
      <c r="A18" s="735">
        <f t="shared" si="8"/>
        <v>2.0699999999999985</v>
      </c>
      <c r="B18" s="720"/>
      <c r="C18" s="721" t="s">
        <v>1118</v>
      </c>
      <c r="D18" s="720"/>
      <c r="E18" s="725">
        <v>-11078.661321000009</v>
      </c>
      <c r="F18" s="772"/>
      <c r="G18" s="725"/>
      <c r="H18" s="772"/>
      <c r="I18" s="849">
        <f t="shared" si="9"/>
        <v>-11078.661321000009</v>
      </c>
      <c r="J18" s="772"/>
      <c r="K18" s="725" t="s">
        <v>1125</v>
      </c>
      <c r="L18" s="772"/>
      <c r="M18" s="725" t="s">
        <v>1086</v>
      </c>
      <c r="N18" s="772"/>
      <c r="O18" s="851" t="s">
        <v>1126</v>
      </c>
      <c r="P18" s="772"/>
      <c r="Q18" s="624">
        <f t="shared" si="10"/>
        <v>10</v>
      </c>
      <c r="R18" s="772"/>
      <c r="S18" s="851">
        <v>4</v>
      </c>
      <c r="T18" s="849"/>
      <c r="U18" s="852">
        <f>I18-W18</f>
        <v>-8862.9290568000069</v>
      </c>
      <c r="V18" s="772"/>
      <c r="W18" s="851">
        <v>-2215.7322642000013</v>
      </c>
      <c r="X18" s="772"/>
      <c r="Y18" s="772"/>
      <c r="Z18" s="849">
        <f t="shared" si="12"/>
        <v>-2215.7322642000013</v>
      </c>
      <c r="AA18" s="766">
        <v>410.1</v>
      </c>
      <c r="AD18" s="1066"/>
    </row>
    <row r="19" spans="1:30">
      <c r="A19" s="735">
        <f t="shared" si="8"/>
        <v>2.0799999999999983</v>
      </c>
      <c r="B19" s="720"/>
      <c r="C19" s="721" t="s">
        <v>1119</v>
      </c>
      <c r="D19" s="720"/>
      <c r="E19" s="725">
        <v>895.16399699999965</v>
      </c>
      <c r="F19" s="772"/>
      <c r="G19" s="725"/>
      <c r="H19" s="772"/>
      <c r="I19" s="849">
        <f t="shared" si="9"/>
        <v>895.16399699999965</v>
      </c>
      <c r="J19" s="772"/>
      <c r="K19" s="725" t="s">
        <v>1125</v>
      </c>
      <c r="L19" s="772"/>
      <c r="M19" s="725" t="s">
        <v>1086</v>
      </c>
      <c r="N19" s="772"/>
      <c r="O19" s="851" t="s">
        <v>1126</v>
      </c>
      <c r="P19" s="772"/>
      <c r="Q19" s="624">
        <f t="shared" si="10"/>
        <v>10</v>
      </c>
      <c r="R19" s="772"/>
      <c r="S19" s="851">
        <v>4</v>
      </c>
      <c r="T19" s="849"/>
      <c r="U19" s="852">
        <f t="shared" si="11"/>
        <v>716.13119759999972</v>
      </c>
      <c r="V19" s="772"/>
      <c r="W19" s="851">
        <v>179.03279939999993</v>
      </c>
      <c r="X19" s="772"/>
      <c r="Y19" s="772"/>
      <c r="Z19" s="849">
        <f t="shared" si="12"/>
        <v>179.03279939999993</v>
      </c>
      <c r="AA19" s="766">
        <v>410.1</v>
      </c>
      <c r="AD19" s="1066"/>
    </row>
    <row r="20" spans="1:30">
      <c r="A20" s="735">
        <f t="shared" si="8"/>
        <v>2.0899999999999981</v>
      </c>
      <c r="B20" s="720"/>
      <c r="C20" s="721" t="s">
        <v>1120</v>
      </c>
      <c r="D20" s="720"/>
      <c r="E20" s="725">
        <v>4317799.6283400012</v>
      </c>
      <c r="F20" s="772"/>
      <c r="G20" s="725"/>
      <c r="H20" s="772"/>
      <c r="I20" s="849">
        <f t="shared" si="9"/>
        <v>4317799.6283400012</v>
      </c>
      <c r="J20" s="772"/>
      <c r="K20" s="725" t="s">
        <v>1085</v>
      </c>
      <c r="L20" s="772"/>
      <c r="M20" s="725" t="s">
        <v>1086</v>
      </c>
      <c r="N20" s="772"/>
      <c r="O20" s="851" t="s">
        <v>1126</v>
      </c>
      <c r="P20" s="772"/>
      <c r="Q20" s="624">
        <f t="shared" si="10"/>
        <v>35</v>
      </c>
      <c r="R20" s="772"/>
      <c r="S20" s="851">
        <v>29</v>
      </c>
      <c r="T20" s="849"/>
      <c r="U20" s="852">
        <f>I20-W20</f>
        <v>4173872.9740620013</v>
      </c>
      <c r="V20" s="772"/>
      <c r="W20" s="851">
        <v>143926.65427800003</v>
      </c>
      <c r="X20" s="772"/>
      <c r="Y20" s="772"/>
      <c r="Z20" s="849">
        <f>W20</f>
        <v>143926.65427800003</v>
      </c>
      <c r="AA20" s="766">
        <v>410.1</v>
      </c>
      <c r="AD20" s="1066"/>
    </row>
    <row r="21" spans="1:30">
      <c r="A21" s="735">
        <f t="shared" si="8"/>
        <v>2.0999999999999979</v>
      </c>
      <c r="B21" s="720"/>
      <c r="C21" s="721" t="s">
        <v>1121</v>
      </c>
      <c r="D21" s="720"/>
      <c r="E21" s="725">
        <v>3507896.1048320001</v>
      </c>
      <c r="F21" s="772"/>
      <c r="G21" s="725"/>
      <c r="H21" s="772"/>
      <c r="I21" s="849">
        <f>E21+G21</f>
        <v>3507896.1048320001</v>
      </c>
      <c r="J21" s="772"/>
      <c r="K21" s="725" t="s">
        <v>1125</v>
      </c>
      <c r="L21" s="772"/>
      <c r="M21" s="725" t="s">
        <v>1086</v>
      </c>
      <c r="N21" s="772"/>
      <c r="O21" s="851" t="s">
        <v>1126</v>
      </c>
      <c r="P21" s="772"/>
      <c r="Q21" s="624">
        <f t="shared" si="10"/>
        <v>10</v>
      </c>
      <c r="R21" s="772"/>
      <c r="S21" s="851">
        <v>4</v>
      </c>
      <c r="T21" s="849"/>
      <c r="U21" s="852">
        <f>I21-W21</f>
        <v>2806316.8838656005</v>
      </c>
      <c r="V21" s="772"/>
      <c r="W21" s="851">
        <v>701579.22096639988</v>
      </c>
      <c r="X21" s="772"/>
      <c r="Y21" s="772"/>
      <c r="Z21" s="849">
        <f t="shared" si="12"/>
        <v>701579.22096639988</v>
      </c>
      <c r="AA21" s="766">
        <v>410.1</v>
      </c>
      <c r="AD21" s="1066"/>
    </row>
    <row r="22" spans="1:30">
      <c r="A22" s="735">
        <f t="shared" si="8"/>
        <v>2.1099999999999977</v>
      </c>
      <c r="B22" s="720"/>
      <c r="C22" s="721" t="s">
        <v>1099</v>
      </c>
      <c r="D22" s="720"/>
      <c r="E22" s="725">
        <v>18373.663104000007</v>
      </c>
      <c r="F22" s="772"/>
      <c r="G22" s="725"/>
      <c r="H22" s="772"/>
      <c r="I22" s="849">
        <f t="shared" si="9"/>
        <v>18373.663104000007</v>
      </c>
      <c r="J22" s="772"/>
      <c r="K22" s="725" t="s">
        <v>1125</v>
      </c>
      <c r="L22" s="772"/>
      <c r="M22" s="725" t="s">
        <v>1086</v>
      </c>
      <c r="N22" s="772"/>
      <c r="O22" s="851" t="s">
        <v>1126</v>
      </c>
      <c r="P22" s="772"/>
      <c r="Q22" s="624">
        <f t="shared" si="10"/>
        <v>10</v>
      </c>
      <c r="R22" s="772"/>
      <c r="S22" s="851">
        <v>4</v>
      </c>
      <c r="T22" s="849"/>
      <c r="U22" s="852">
        <f t="shared" si="11"/>
        <v>14698.930483200005</v>
      </c>
      <c r="V22" s="772"/>
      <c r="W22" s="851">
        <v>3674.7326208000013</v>
      </c>
      <c r="X22" s="772"/>
      <c r="Y22" s="772"/>
      <c r="Z22" s="849">
        <f t="shared" si="12"/>
        <v>3674.7326208000013</v>
      </c>
      <c r="AA22" s="766">
        <v>410.1</v>
      </c>
      <c r="AD22" s="1066"/>
    </row>
    <row r="23" spans="1:30">
      <c r="A23" s="735">
        <f t="shared" si="8"/>
        <v>2.1199999999999974</v>
      </c>
      <c r="B23" s="720"/>
      <c r="C23" s="721" t="s">
        <v>1101</v>
      </c>
      <c r="D23" s="720"/>
      <c r="E23" s="725">
        <v>-53390.376256000018</v>
      </c>
      <c r="F23" s="772"/>
      <c r="G23" s="725"/>
      <c r="H23" s="772"/>
      <c r="I23" s="849">
        <f t="shared" si="9"/>
        <v>-53390.376256000018</v>
      </c>
      <c r="J23" s="772"/>
      <c r="K23" s="725" t="s">
        <v>1125</v>
      </c>
      <c r="L23" s="772"/>
      <c r="M23" s="725" t="s">
        <v>1086</v>
      </c>
      <c r="N23" s="772"/>
      <c r="O23" s="851" t="s">
        <v>1126</v>
      </c>
      <c r="P23" s="772"/>
      <c r="Q23" s="624">
        <f t="shared" si="10"/>
        <v>10</v>
      </c>
      <c r="R23" s="772"/>
      <c r="S23" s="851">
        <v>4</v>
      </c>
      <c r="T23" s="849"/>
      <c r="U23" s="852">
        <f t="shared" si="11"/>
        <v>-42712.301004800014</v>
      </c>
      <c r="V23" s="772"/>
      <c r="W23" s="851">
        <v>-10678.075251200004</v>
      </c>
      <c r="X23" s="772"/>
      <c r="Y23" s="772"/>
      <c r="Z23" s="849">
        <f t="shared" si="12"/>
        <v>-10678.075251200004</v>
      </c>
      <c r="AA23" s="766">
        <v>410.1</v>
      </c>
      <c r="AD23" s="1066"/>
    </row>
    <row r="24" spans="1:30">
      <c r="A24" s="735">
        <f t="shared" si="8"/>
        <v>2.1299999999999972</v>
      </c>
      <c r="B24" s="720"/>
      <c r="C24" s="721" t="s">
        <v>1122</v>
      </c>
      <c r="D24" s="720"/>
      <c r="E24" s="725">
        <v>0</v>
      </c>
      <c r="F24" s="772"/>
      <c r="G24" s="725"/>
      <c r="H24" s="772"/>
      <c r="I24" s="849">
        <f t="shared" si="9"/>
        <v>0</v>
      </c>
      <c r="J24" s="772"/>
      <c r="K24" s="725" t="s">
        <v>1125</v>
      </c>
      <c r="L24" s="772"/>
      <c r="M24" s="725" t="s">
        <v>1086</v>
      </c>
      <c r="N24" s="772"/>
      <c r="O24" s="851" t="s">
        <v>1126</v>
      </c>
      <c r="P24" s="772"/>
      <c r="Q24" s="624">
        <f t="shared" si="10"/>
        <v>10</v>
      </c>
      <c r="R24" s="772"/>
      <c r="S24" s="851">
        <v>4</v>
      </c>
      <c r="T24" s="849"/>
      <c r="U24" s="852">
        <f t="shared" si="11"/>
        <v>0</v>
      </c>
      <c r="V24" s="772"/>
      <c r="W24" s="851">
        <v>0</v>
      </c>
      <c r="X24" s="772"/>
      <c r="Y24" s="772"/>
      <c r="Z24" s="849">
        <f t="shared" si="12"/>
        <v>0</v>
      </c>
      <c r="AA24" s="766">
        <v>410.1</v>
      </c>
      <c r="AD24" s="1066"/>
    </row>
    <row r="25" spans="1:30">
      <c r="A25" s="735">
        <f t="shared" si="8"/>
        <v>2.139999999999997</v>
      </c>
      <c r="B25" s="720"/>
      <c r="C25" s="721" t="s">
        <v>1123</v>
      </c>
      <c r="D25" s="720"/>
      <c r="E25" s="725">
        <v>1137938.6072445009</v>
      </c>
      <c r="F25" s="772"/>
      <c r="G25" s="725"/>
      <c r="H25" s="772"/>
      <c r="I25" s="849">
        <f t="shared" si="9"/>
        <v>1137938.6072445009</v>
      </c>
      <c r="J25" s="772"/>
      <c r="K25" s="725" t="s">
        <v>1125</v>
      </c>
      <c r="L25" s="772"/>
      <c r="M25" s="725" t="s">
        <v>1086</v>
      </c>
      <c r="N25" s="772"/>
      <c r="O25" s="851" t="s">
        <v>1126</v>
      </c>
      <c r="P25" s="772"/>
      <c r="Q25" s="624">
        <f t="shared" si="10"/>
        <v>10</v>
      </c>
      <c r="R25" s="772"/>
      <c r="S25" s="851">
        <v>4</v>
      </c>
      <c r="T25" s="849"/>
      <c r="U25" s="852">
        <f t="shared" si="11"/>
        <v>910350.88579560071</v>
      </c>
      <c r="V25" s="772"/>
      <c r="W25" s="851">
        <v>227587.72144890018</v>
      </c>
      <c r="X25" s="772"/>
      <c r="Y25" s="772"/>
      <c r="Z25" s="849">
        <f t="shared" si="12"/>
        <v>227587.72144890018</v>
      </c>
      <c r="AA25" s="766">
        <v>410.1</v>
      </c>
      <c r="AD25" s="1066"/>
    </row>
    <row r="26" spans="1:30">
      <c r="A26" s="735">
        <f t="shared" si="8"/>
        <v>2.1499999999999968</v>
      </c>
      <c r="B26" s="720"/>
      <c r="C26" s="721" t="s">
        <v>1102</v>
      </c>
      <c r="D26" s="720"/>
      <c r="E26" s="725">
        <v>1354607.1353220008</v>
      </c>
      <c r="F26" s="772"/>
      <c r="G26" s="725"/>
      <c r="H26" s="772"/>
      <c r="I26" s="849">
        <f t="shared" si="9"/>
        <v>1354607.1353220008</v>
      </c>
      <c r="J26" s="772"/>
      <c r="K26" s="725" t="s">
        <v>1125</v>
      </c>
      <c r="L26" s="772"/>
      <c r="M26" s="725" t="s">
        <v>1086</v>
      </c>
      <c r="N26" s="772"/>
      <c r="O26" s="851" t="s">
        <v>1126</v>
      </c>
      <c r="P26" s="772"/>
      <c r="Q26" s="624">
        <f t="shared" si="10"/>
        <v>10</v>
      </c>
      <c r="R26" s="772"/>
      <c r="S26" s="851">
        <v>4</v>
      </c>
      <c r="T26" s="849"/>
      <c r="U26" s="852">
        <f t="shared" si="11"/>
        <v>1083685.7082576007</v>
      </c>
      <c r="V26" s="772"/>
      <c r="W26" s="851">
        <v>270921.42706440017</v>
      </c>
      <c r="X26" s="772"/>
      <c r="Y26" s="772"/>
      <c r="Z26" s="849">
        <f t="shared" si="12"/>
        <v>270921.42706440017</v>
      </c>
      <c r="AA26" s="766">
        <v>410.1</v>
      </c>
      <c r="AD26" s="1066"/>
    </row>
    <row r="27" spans="1:30">
      <c r="A27" s="735">
        <f t="shared" si="8"/>
        <v>2.1599999999999966</v>
      </c>
      <c r="B27" s="720"/>
      <c r="C27" s="721" t="s">
        <v>1111</v>
      </c>
      <c r="D27" s="720"/>
      <c r="E27" s="725">
        <v>-690881.0700000003</v>
      </c>
      <c r="F27" s="772"/>
      <c r="G27" s="725"/>
      <c r="H27" s="772"/>
      <c r="I27" s="849">
        <f t="shared" si="9"/>
        <v>-690881.0700000003</v>
      </c>
      <c r="J27" s="772"/>
      <c r="K27" s="725" t="s">
        <v>1125</v>
      </c>
      <c r="L27" s="772"/>
      <c r="M27" s="725" t="s">
        <v>1086</v>
      </c>
      <c r="N27" s="772"/>
      <c r="O27" s="851" t="s">
        <v>1126</v>
      </c>
      <c r="P27" s="772"/>
      <c r="Q27" s="624">
        <f t="shared" si="10"/>
        <v>10</v>
      </c>
      <c r="R27" s="772"/>
      <c r="S27" s="851">
        <v>4</v>
      </c>
      <c r="T27" s="849"/>
      <c r="U27" s="852">
        <f t="shared" si="11"/>
        <v>-552704.85600000038</v>
      </c>
      <c r="V27" s="772"/>
      <c r="W27" s="851">
        <v>-138176.21399999998</v>
      </c>
      <c r="X27" s="772"/>
      <c r="Y27" s="772"/>
      <c r="Z27" s="849">
        <f>W27</f>
        <v>-138176.21399999998</v>
      </c>
      <c r="AA27" s="766">
        <v>410.1</v>
      </c>
      <c r="AD27" s="1066"/>
    </row>
    <row r="28" spans="1:30">
      <c r="A28" s="735">
        <f t="shared" si="8"/>
        <v>2.1699999999999964</v>
      </c>
      <c r="B28" s="720"/>
      <c r="C28" s="721" t="s">
        <v>1103</v>
      </c>
      <c r="D28" s="720"/>
      <c r="E28" s="725">
        <v>1553611.0654214988</v>
      </c>
      <c r="F28" s="772"/>
      <c r="G28" s="725"/>
      <c r="H28" s="772"/>
      <c r="I28" s="849">
        <f t="shared" si="9"/>
        <v>1553611.0654214988</v>
      </c>
      <c r="J28" s="772"/>
      <c r="K28" s="725" t="s">
        <v>1125</v>
      </c>
      <c r="L28" s="772"/>
      <c r="M28" s="725" t="s">
        <v>1086</v>
      </c>
      <c r="N28" s="772"/>
      <c r="O28" s="851" t="s">
        <v>1126</v>
      </c>
      <c r="P28" s="772"/>
      <c r="Q28" s="624">
        <f t="shared" si="10"/>
        <v>10</v>
      </c>
      <c r="R28" s="772"/>
      <c r="S28" s="851">
        <v>4</v>
      </c>
      <c r="T28" s="849"/>
      <c r="U28" s="852">
        <f>I28-W28</f>
        <v>1242888.852337199</v>
      </c>
      <c r="V28" s="772"/>
      <c r="W28" s="851">
        <v>310722.21308429987</v>
      </c>
      <c r="X28" s="772"/>
      <c r="Y28" s="772"/>
      <c r="Z28" s="849">
        <f t="shared" si="12"/>
        <v>310722.21308429987</v>
      </c>
      <c r="AA28" s="766">
        <v>410.1</v>
      </c>
      <c r="AD28" s="1066"/>
    </row>
    <row r="29" spans="1:30">
      <c r="A29" s="735">
        <f t="shared" si="8"/>
        <v>2.1799999999999962</v>
      </c>
      <c r="B29" s="720"/>
      <c r="C29" s="721" t="s">
        <v>1124</v>
      </c>
      <c r="D29" s="720"/>
      <c r="E29" s="725">
        <v>803.00928000000044</v>
      </c>
      <c r="F29" s="772"/>
      <c r="G29" s="725"/>
      <c r="H29" s="772"/>
      <c r="I29" s="849">
        <f t="shared" si="9"/>
        <v>803.00928000000044</v>
      </c>
      <c r="J29" s="772"/>
      <c r="K29" s="725" t="s">
        <v>1125</v>
      </c>
      <c r="L29" s="772"/>
      <c r="M29" s="725" t="s">
        <v>1086</v>
      </c>
      <c r="N29" s="772"/>
      <c r="O29" s="851" t="s">
        <v>1126</v>
      </c>
      <c r="P29" s="772"/>
      <c r="Q29" s="624">
        <f t="shared" si="10"/>
        <v>10</v>
      </c>
      <c r="R29" s="772"/>
      <c r="S29" s="851">
        <v>4</v>
      </c>
      <c r="T29" s="849"/>
      <c r="U29" s="852">
        <f t="shared" si="11"/>
        <v>642.40742400000045</v>
      </c>
      <c r="V29" s="772"/>
      <c r="W29" s="851">
        <v>160.60185600000005</v>
      </c>
      <c r="X29" s="772"/>
      <c r="Y29" s="772"/>
      <c r="Z29" s="849">
        <f t="shared" si="12"/>
        <v>160.60185600000005</v>
      </c>
      <c r="AA29" s="766">
        <v>410.1</v>
      </c>
      <c r="AD29" s="1066"/>
    </row>
    <row r="30" spans="1:30">
      <c r="A30" s="735">
        <f t="shared" si="8"/>
        <v>2.1899999999999959</v>
      </c>
      <c r="B30" s="720"/>
      <c r="C30" s="721" t="s">
        <v>1104</v>
      </c>
      <c r="D30" s="720"/>
      <c r="E30" s="725">
        <v>46859.888629500012</v>
      </c>
      <c r="F30" s="772"/>
      <c r="G30" s="725"/>
      <c r="H30" s="772"/>
      <c r="I30" s="849">
        <f t="shared" si="9"/>
        <v>46859.888629500012</v>
      </c>
      <c r="J30" s="772"/>
      <c r="K30" s="725" t="s">
        <v>1125</v>
      </c>
      <c r="L30" s="772"/>
      <c r="M30" s="725" t="s">
        <v>1086</v>
      </c>
      <c r="N30" s="772"/>
      <c r="O30" s="851" t="s">
        <v>1126</v>
      </c>
      <c r="P30" s="772"/>
      <c r="Q30" s="624">
        <f t="shared" si="10"/>
        <v>10</v>
      </c>
      <c r="R30" s="772"/>
      <c r="S30" s="851">
        <v>4</v>
      </c>
      <c r="T30" s="849"/>
      <c r="U30" s="852">
        <f t="shared" si="11"/>
        <v>37487.910903600015</v>
      </c>
      <c r="V30" s="772"/>
      <c r="W30" s="851">
        <v>9371.9777259000002</v>
      </c>
      <c r="X30" s="772"/>
      <c r="Y30" s="772"/>
      <c r="Z30" s="907">
        <f t="shared" si="12"/>
        <v>9371.9777259000002</v>
      </c>
      <c r="AA30" s="766">
        <v>410.1</v>
      </c>
      <c r="AD30" s="1066"/>
    </row>
    <row r="31" spans="1:30">
      <c r="A31" s="570">
        <f>A11+1</f>
        <v>3</v>
      </c>
      <c r="B31" s="720"/>
      <c r="C31" s="18" t="str">
        <f>"Total "&amp;C11&amp;" (Sum of "&amp;A11&amp;".[] sublines)"</f>
        <v>Total FERC Account No. 190 EDIT/DDIT (Sum of 2.[] sublines)</v>
      </c>
      <c r="D31" s="720"/>
      <c r="E31" s="734">
        <f>SUM(E12:E30)</f>
        <v>11311065.508011501</v>
      </c>
      <c r="F31" s="772"/>
      <c r="G31" s="904">
        <f>SUM(G12:G30)</f>
        <v>0</v>
      </c>
      <c r="H31" s="772"/>
      <c r="I31" s="734">
        <f>SUM(I12:I30)</f>
        <v>11311065.508011501</v>
      </c>
      <c r="J31" s="772"/>
      <c r="K31" s="624"/>
      <c r="L31" s="772"/>
      <c r="M31" s="624"/>
      <c r="N31" s="772"/>
      <c r="O31" s="624"/>
      <c r="P31" s="772"/>
      <c r="Q31" s="624"/>
      <c r="R31" s="772"/>
      <c r="S31" s="905"/>
      <c r="T31" s="904">
        <f>SUM(T12:T30)</f>
        <v>0</v>
      </c>
      <c r="U31" s="904">
        <f>SUM(U12:U30)</f>
        <v>9768485.6777991988</v>
      </c>
      <c r="V31" s="904">
        <f>SUM(V12:V30)</f>
        <v>0</v>
      </c>
      <c r="W31" s="904">
        <f>SUM(W12:W30)</f>
        <v>1542579.8302123002</v>
      </c>
      <c r="X31" s="772"/>
      <c r="Y31" s="772"/>
      <c r="Z31" s="849">
        <f>SUM(Z12:Z30)</f>
        <v>1542579.8302123002</v>
      </c>
      <c r="AD31" s="1066"/>
    </row>
    <row r="32" spans="1:30">
      <c r="A32" s="570"/>
      <c r="B32" s="720"/>
      <c r="C32" s="18"/>
      <c r="D32" s="720"/>
      <c r="E32" s="772"/>
      <c r="F32" s="772"/>
      <c r="G32" s="772"/>
      <c r="H32" s="772"/>
      <c r="I32" s="765"/>
      <c r="J32" s="772"/>
      <c r="K32" s="624"/>
      <c r="L32" s="772"/>
      <c r="M32" s="624"/>
      <c r="N32" s="772"/>
      <c r="O32" s="624"/>
      <c r="P32" s="772"/>
      <c r="Q32" s="624"/>
      <c r="R32" s="772"/>
      <c r="S32" s="624"/>
      <c r="T32" s="772"/>
      <c r="U32" s="765"/>
      <c r="V32" s="772"/>
      <c r="W32" s="765"/>
      <c r="X32" s="772"/>
      <c r="Y32" s="772"/>
      <c r="Z32" s="772"/>
      <c r="AD32" s="1066"/>
    </row>
    <row r="33" spans="1:30">
      <c r="A33" s="570">
        <f>A31+1</f>
        <v>4</v>
      </c>
      <c r="C33" s="18" t="s">
        <v>896</v>
      </c>
      <c r="E33" s="722"/>
      <c r="F33" s="722"/>
      <c r="G33" s="722"/>
      <c r="H33" s="722"/>
      <c r="I33" s="624"/>
      <c r="J33" s="722"/>
      <c r="K33" s="722"/>
      <c r="L33" s="722"/>
      <c r="M33" s="722"/>
      <c r="N33" s="722"/>
      <c r="O33" s="624"/>
      <c r="P33" s="722"/>
      <c r="Q33" s="624"/>
      <c r="R33" s="722"/>
      <c r="S33" s="624"/>
      <c r="T33" s="722"/>
      <c r="U33" s="624"/>
      <c r="V33" s="722"/>
      <c r="W33" s="722"/>
      <c r="X33" s="722"/>
      <c r="Y33" s="722"/>
      <c r="Z33" s="722"/>
      <c r="AD33" s="1066"/>
    </row>
    <row r="34" spans="1:30">
      <c r="A34" s="735">
        <f>A33+0.01</f>
        <v>4.01</v>
      </c>
      <c r="B34" s="720"/>
      <c r="C34" s="721" t="s">
        <v>1106</v>
      </c>
      <c r="D34" s="720"/>
      <c r="E34" s="725">
        <v>47015.653154999993</v>
      </c>
      <c r="F34" s="772"/>
      <c r="G34" s="725"/>
      <c r="H34" s="772"/>
      <c r="I34" s="849">
        <f t="shared" ref="I34" si="13">E34+G34</f>
        <v>47015.653154999993</v>
      </c>
      <c r="J34" s="772"/>
      <c r="K34" s="725" t="s">
        <v>1125</v>
      </c>
      <c r="L34" s="772"/>
      <c r="M34" s="725" t="s">
        <v>1086</v>
      </c>
      <c r="N34" s="772"/>
      <c r="O34" s="851" t="s">
        <v>1126</v>
      </c>
      <c r="P34" s="772"/>
      <c r="Q34" s="624">
        <f>IF(ISBLANK(C34)=TRUE,0,IF(AND(K34="Protected",M34="Property")=TRUE,"ARAM",IF(AND(K34="Non-Protected",M34="Non-Property")=TRUE,10,35)))</f>
        <v>10</v>
      </c>
      <c r="R34" s="772"/>
      <c r="S34" s="851">
        <v>4</v>
      </c>
      <c r="T34" s="849"/>
      <c r="U34" s="852">
        <f>I34-W34</f>
        <v>37612.522523999993</v>
      </c>
      <c r="V34" s="772"/>
      <c r="W34" s="851">
        <v>9403.1306310000018</v>
      </c>
      <c r="X34" s="772"/>
      <c r="Y34" s="772"/>
      <c r="Z34" s="849">
        <f>W34</f>
        <v>9403.1306310000018</v>
      </c>
      <c r="AA34" s="766">
        <v>410.1</v>
      </c>
      <c r="AD34" s="1066"/>
    </row>
    <row r="35" spans="1:30">
      <c r="A35" s="735">
        <f>A34+0.01</f>
        <v>4.0199999999999996</v>
      </c>
      <c r="B35" s="720"/>
      <c r="C35" s="721" t="s">
        <v>1107</v>
      </c>
      <c r="D35" s="720"/>
      <c r="E35" s="725">
        <v>-47217.66221699999</v>
      </c>
      <c r="F35" s="772"/>
      <c r="G35" s="725"/>
      <c r="H35" s="772"/>
      <c r="I35" s="849">
        <f>E35+G35</f>
        <v>-47217.66221699999</v>
      </c>
      <c r="J35" s="772"/>
      <c r="K35" s="725" t="s">
        <v>1125</v>
      </c>
      <c r="L35" s="772"/>
      <c r="M35" s="725" t="s">
        <v>1086</v>
      </c>
      <c r="N35" s="772"/>
      <c r="O35" s="851" t="s">
        <v>1126</v>
      </c>
      <c r="P35" s="772"/>
      <c r="Q35" s="624">
        <f>IF(ISBLANK(C35)=TRUE,0,IF(AND(K35="Protected",M35="Property")=TRUE,"ARAM",IF(AND(K35="Non-Protected",M35="Non-Property")=TRUE,10,35)))</f>
        <v>10</v>
      </c>
      <c r="R35" s="772"/>
      <c r="S35" s="851">
        <v>4</v>
      </c>
      <c r="T35" s="849"/>
      <c r="U35" s="852">
        <f>I35-W35</f>
        <v>-37774.129773599991</v>
      </c>
      <c r="V35" s="772"/>
      <c r="W35" s="851">
        <v>-9443.5324434000013</v>
      </c>
      <c r="X35" s="772"/>
      <c r="Y35" s="772"/>
      <c r="Z35" s="907">
        <f>W35</f>
        <v>-9443.5324434000013</v>
      </c>
      <c r="AA35" s="893" t="s">
        <v>1127</v>
      </c>
      <c r="AD35" s="1066"/>
    </row>
    <row r="36" spans="1:30">
      <c r="A36" s="570">
        <f>A33+1</f>
        <v>5</v>
      </c>
      <c r="B36" s="720"/>
      <c r="C36" s="18" t="str">
        <f>"Total "&amp;C33&amp;" (Sum of "&amp;A33&amp;".[] sublines)"</f>
        <v>Total FERC Account No. 282 EDIT/DDIT (Sum of 4.[] sublines)</v>
      </c>
      <c r="D36" s="720"/>
      <c r="E36" s="734">
        <f>SUM(E34:E35)</f>
        <v>-202.00906199999736</v>
      </c>
      <c r="F36" s="772"/>
      <c r="G36" s="904">
        <f>SUM(G34:G35)</f>
        <v>0</v>
      </c>
      <c r="H36" s="772"/>
      <c r="I36" s="734">
        <f>SUM(I34:I35)</f>
        <v>-202.00906199999736</v>
      </c>
      <c r="J36" s="772"/>
      <c r="K36" s="624"/>
      <c r="L36" s="772"/>
      <c r="M36" s="624"/>
      <c r="N36" s="772"/>
      <c r="O36" s="624"/>
      <c r="P36" s="772"/>
      <c r="Q36" s="624"/>
      <c r="R36" s="772"/>
      <c r="S36" s="624"/>
      <c r="T36" s="904">
        <f>SUM(T34:T35)</f>
        <v>0</v>
      </c>
      <c r="U36" s="904">
        <f>SUM(U34:U35)</f>
        <v>-161.60724959999789</v>
      </c>
      <c r="V36" s="904">
        <f>SUM(V34:V35)</f>
        <v>0</v>
      </c>
      <c r="W36" s="904">
        <f>SUM(W34:W35)</f>
        <v>-40.401812399999471</v>
      </c>
      <c r="X36" s="772"/>
      <c r="Y36" s="772"/>
      <c r="Z36" s="849">
        <f>SUM(Z34:Z35)</f>
        <v>-40.401812399999471</v>
      </c>
      <c r="AD36" s="1066"/>
    </row>
    <row r="37" spans="1:30">
      <c r="A37" s="570"/>
      <c r="B37" s="720"/>
      <c r="C37" s="18"/>
      <c r="D37" s="720"/>
      <c r="E37" s="772"/>
      <c r="F37" s="772"/>
      <c r="G37" s="772"/>
      <c r="H37" s="772"/>
      <c r="I37" s="765"/>
      <c r="J37" s="772"/>
      <c r="K37" s="624"/>
      <c r="L37" s="772"/>
      <c r="M37" s="624"/>
      <c r="N37" s="772"/>
      <c r="O37" s="624"/>
      <c r="P37" s="772"/>
      <c r="Q37" s="624"/>
      <c r="R37" s="772"/>
      <c r="S37" s="624"/>
      <c r="T37" s="772"/>
      <c r="U37" s="765"/>
      <c r="V37" s="772"/>
      <c r="W37" s="765"/>
      <c r="X37" s="772"/>
      <c r="Y37" s="772"/>
      <c r="Z37" s="772"/>
      <c r="AD37" s="1066"/>
    </row>
    <row r="38" spans="1:30">
      <c r="A38" s="570">
        <f>A36+1</f>
        <v>6</v>
      </c>
      <c r="C38" s="18" t="s">
        <v>897</v>
      </c>
      <c r="E38" s="722"/>
      <c r="F38" s="722"/>
      <c r="G38" s="722"/>
      <c r="H38" s="722"/>
      <c r="I38" s="624"/>
      <c r="J38" s="722"/>
      <c r="K38" s="624"/>
      <c r="L38" s="722"/>
      <c r="M38" s="624"/>
      <c r="N38" s="722"/>
      <c r="O38" s="624"/>
      <c r="P38" s="722"/>
      <c r="Q38" s="624"/>
      <c r="R38" s="722"/>
      <c r="S38" s="624"/>
      <c r="T38" s="722"/>
      <c r="U38" s="624"/>
      <c r="V38" s="722"/>
      <c r="W38" s="722"/>
      <c r="X38" s="722"/>
      <c r="Y38" s="722"/>
      <c r="Z38" s="722"/>
      <c r="AD38" s="1066"/>
    </row>
    <row r="39" spans="1:30">
      <c r="A39" s="735">
        <f>A38+0.01</f>
        <v>6.01</v>
      </c>
      <c r="B39" s="720"/>
      <c r="C39" s="721" t="s">
        <v>1090</v>
      </c>
      <c r="D39" s="720"/>
      <c r="E39" s="725">
        <v>3118.7520000000013</v>
      </c>
      <c r="F39" s="772"/>
      <c r="G39" s="725"/>
      <c r="H39" s="772"/>
      <c r="I39" s="849">
        <f t="shared" ref="I39:I47" si="14">E39+G39</f>
        <v>3118.7520000000013</v>
      </c>
      <c r="J39" s="772"/>
      <c r="K39" s="725" t="s">
        <v>1125</v>
      </c>
      <c r="L39" s="772"/>
      <c r="M39" s="725" t="s">
        <v>1086</v>
      </c>
      <c r="N39" s="772"/>
      <c r="O39" s="851" t="s">
        <v>1126</v>
      </c>
      <c r="P39" s="772"/>
      <c r="Q39" s="624">
        <f>IF(ISBLANK(C39)=TRUE,0,IF(AND(K39="Protected",M39="Property")=TRUE,"ARAM",IF(AND(K39="Non-Protected",M39="Non-Property")=TRUE,10,35)))</f>
        <v>10</v>
      </c>
      <c r="R39" s="772"/>
      <c r="S39" s="851">
        <v>4</v>
      </c>
      <c r="T39" s="849"/>
      <c r="U39" s="852">
        <f>I39-W39</f>
        <v>2495.0016000000014</v>
      </c>
      <c r="V39" s="772"/>
      <c r="W39" s="851">
        <v>623.75040000000013</v>
      </c>
      <c r="X39" s="772"/>
      <c r="Y39" s="772"/>
      <c r="Z39" s="849">
        <f>W39</f>
        <v>623.75040000000013</v>
      </c>
      <c r="AA39" s="766">
        <v>410.1</v>
      </c>
      <c r="AD39" s="1066"/>
    </row>
    <row r="40" spans="1:30">
      <c r="A40" s="735">
        <f>A39+0.01</f>
        <v>6.02</v>
      </c>
      <c r="B40" s="720"/>
      <c r="C40" s="721" t="s">
        <v>1108</v>
      </c>
      <c r="D40" s="720"/>
      <c r="E40" s="725">
        <v>-7838.7266559999989</v>
      </c>
      <c r="F40" s="772"/>
      <c r="G40" s="725"/>
      <c r="H40" s="772"/>
      <c r="I40" s="849">
        <f t="shared" si="14"/>
        <v>-7838.7266559999989</v>
      </c>
      <c r="J40" s="772"/>
      <c r="K40" s="725" t="s">
        <v>1125</v>
      </c>
      <c r="L40" s="772"/>
      <c r="M40" s="725" t="s">
        <v>1086</v>
      </c>
      <c r="N40" s="772"/>
      <c r="O40" s="851" t="s">
        <v>1126</v>
      </c>
      <c r="P40" s="772"/>
      <c r="Q40" s="624">
        <f>IF(ISBLANK(C40)=TRUE,0,IF(AND(K40="Protected",M40="Property")=TRUE,"ARAM",IF(AND(K40="Non-Protected",M40="Non-Property")=TRUE,10,35)))</f>
        <v>10</v>
      </c>
      <c r="R40" s="772"/>
      <c r="S40" s="851">
        <v>4</v>
      </c>
      <c r="T40" s="849"/>
      <c r="U40" s="852">
        <f>I40-W40</f>
        <v>-6270.9813247999991</v>
      </c>
      <c r="V40" s="772"/>
      <c r="W40" s="851">
        <v>-1567.7453311999998</v>
      </c>
      <c r="X40" s="772"/>
      <c r="Y40" s="772"/>
      <c r="Z40" s="906">
        <f>W40</f>
        <v>-1567.7453311999998</v>
      </c>
      <c r="AA40" s="571" t="s">
        <v>1127</v>
      </c>
      <c r="AD40" s="1066"/>
    </row>
    <row r="41" spans="1:30">
      <c r="A41" s="735">
        <f t="shared" ref="A41:A47" si="15">A40+0.01</f>
        <v>6.0299999999999994</v>
      </c>
      <c r="B41" s="720"/>
      <c r="C41" s="721" t="s">
        <v>1109</v>
      </c>
      <c r="D41" s="720"/>
      <c r="E41" s="725">
        <v>-355.99577600000003</v>
      </c>
      <c r="F41" s="772"/>
      <c r="G41" s="725"/>
      <c r="H41" s="772"/>
      <c r="I41" s="849">
        <f t="shared" si="14"/>
        <v>-355.99577600000003</v>
      </c>
      <c r="J41" s="772"/>
      <c r="K41" s="725" t="s">
        <v>1125</v>
      </c>
      <c r="L41" s="772"/>
      <c r="M41" s="725" t="s">
        <v>1086</v>
      </c>
      <c r="N41" s="772"/>
      <c r="O41" s="851" t="s">
        <v>1126</v>
      </c>
      <c r="P41" s="772"/>
      <c r="Q41" s="624">
        <f t="shared" ref="Q41:Q47" si="16">IF(ISBLANK(C41)=TRUE,0,IF(AND(K41="Protected",M41="Property")=TRUE,"ARAM",IF(AND(K41="Non-Protected",M41="Non-Property")=TRUE,10,35)))</f>
        <v>10</v>
      </c>
      <c r="R41" s="772"/>
      <c r="S41" s="851">
        <v>4</v>
      </c>
      <c r="T41" s="849"/>
      <c r="U41" s="852">
        <f t="shared" ref="U41:U47" si="17">I41-W41</f>
        <v>-284.79662080000003</v>
      </c>
      <c r="V41" s="772"/>
      <c r="W41" s="851">
        <v>-71.199155199999993</v>
      </c>
      <c r="X41" s="772"/>
      <c r="Y41" s="772"/>
      <c r="Z41" s="906">
        <f t="shared" ref="Z41:Z47" si="18">W41</f>
        <v>-71.199155199999993</v>
      </c>
      <c r="AA41" s="571" t="s">
        <v>1127</v>
      </c>
      <c r="AD41" s="1066"/>
    </row>
    <row r="42" spans="1:30">
      <c r="A42" s="735">
        <f t="shared" si="15"/>
        <v>6.0399999999999991</v>
      </c>
      <c r="B42" s="720"/>
      <c r="C42" s="721" t="s">
        <v>1110</v>
      </c>
      <c r="D42" s="720"/>
      <c r="E42" s="725">
        <v>-237205.11590399992</v>
      </c>
      <c r="F42" s="772"/>
      <c r="G42" s="725"/>
      <c r="H42" s="772"/>
      <c r="I42" s="849">
        <f t="shared" si="14"/>
        <v>-237205.11590399992</v>
      </c>
      <c r="J42" s="772"/>
      <c r="K42" s="725" t="s">
        <v>1125</v>
      </c>
      <c r="L42" s="772"/>
      <c r="M42" s="725" t="s">
        <v>1086</v>
      </c>
      <c r="N42" s="772"/>
      <c r="O42" s="851" t="s">
        <v>1126</v>
      </c>
      <c r="P42" s="772"/>
      <c r="Q42" s="624">
        <f t="shared" si="16"/>
        <v>10</v>
      </c>
      <c r="R42" s="772"/>
      <c r="S42" s="851">
        <v>4</v>
      </c>
      <c r="T42" s="849"/>
      <c r="U42" s="852">
        <f t="shared" si="17"/>
        <v>-189764.09272319992</v>
      </c>
      <c r="V42" s="772"/>
      <c r="W42" s="851">
        <v>-47441.023180800003</v>
      </c>
      <c r="X42" s="772"/>
      <c r="Y42" s="772"/>
      <c r="Z42" s="906">
        <f t="shared" si="18"/>
        <v>-47441.023180800003</v>
      </c>
      <c r="AA42" s="571" t="s">
        <v>1127</v>
      </c>
      <c r="AD42" s="1066"/>
    </row>
    <row r="43" spans="1:30">
      <c r="A43" s="735">
        <f t="shared" si="15"/>
        <v>6.0499999999999989</v>
      </c>
      <c r="B43" s="720"/>
      <c r="C43" s="721" t="s">
        <v>1112</v>
      </c>
      <c r="D43" s="720"/>
      <c r="E43" s="725">
        <v>-545311.82939250022</v>
      </c>
      <c r="F43" s="772"/>
      <c r="G43" s="725"/>
      <c r="H43" s="772"/>
      <c r="I43" s="849">
        <f t="shared" si="14"/>
        <v>-545311.82939250022</v>
      </c>
      <c r="J43" s="772"/>
      <c r="K43" s="725" t="s">
        <v>1125</v>
      </c>
      <c r="L43" s="772"/>
      <c r="M43" s="725" t="s">
        <v>1086</v>
      </c>
      <c r="N43" s="772"/>
      <c r="O43" s="851" t="s">
        <v>1126</v>
      </c>
      <c r="P43" s="772"/>
      <c r="Q43" s="624">
        <f t="shared" si="16"/>
        <v>10</v>
      </c>
      <c r="R43" s="772"/>
      <c r="S43" s="851">
        <v>4</v>
      </c>
      <c r="T43" s="849"/>
      <c r="U43" s="852">
        <f t="shared" si="17"/>
        <v>-436249.46351400018</v>
      </c>
      <c r="V43" s="772"/>
      <c r="W43" s="851">
        <v>-109062.36587850004</v>
      </c>
      <c r="X43" s="772"/>
      <c r="Y43" s="772"/>
      <c r="Z43" s="906">
        <f>W43</f>
        <v>-109062.36587850004</v>
      </c>
      <c r="AA43" s="571" t="s">
        <v>1127</v>
      </c>
      <c r="AD43" s="1066"/>
    </row>
    <row r="44" spans="1:30">
      <c r="A44" s="735">
        <f t="shared" si="15"/>
        <v>6.0599999999999987</v>
      </c>
      <c r="B44" s="720"/>
      <c r="C44" s="721" t="s">
        <v>1113</v>
      </c>
      <c r="D44" s="720"/>
      <c r="E44" s="725">
        <v>-351839.95980800013</v>
      </c>
      <c r="F44" s="772"/>
      <c r="G44" s="725"/>
      <c r="H44" s="772"/>
      <c r="I44" s="849">
        <f t="shared" si="14"/>
        <v>-351839.95980800013</v>
      </c>
      <c r="J44" s="772"/>
      <c r="K44" s="725" t="s">
        <v>1125</v>
      </c>
      <c r="L44" s="772"/>
      <c r="M44" s="725" t="s">
        <v>1086</v>
      </c>
      <c r="N44" s="772"/>
      <c r="O44" s="851" t="s">
        <v>1126</v>
      </c>
      <c r="P44" s="772"/>
      <c r="Q44" s="624">
        <f t="shared" si="16"/>
        <v>10</v>
      </c>
      <c r="R44" s="772"/>
      <c r="S44" s="851">
        <v>4</v>
      </c>
      <c r="T44" s="849"/>
      <c r="U44" s="852">
        <f t="shared" si="17"/>
        <v>-281471.9678464001</v>
      </c>
      <c r="V44" s="772"/>
      <c r="W44" s="851">
        <v>-70367.991961600026</v>
      </c>
      <c r="X44" s="772"/>
      <c r="Y44" s="772"/>
      <c r="Z44" s="906">
        <f t="shared" si="18"/>
        <v>-70367.991961600026</v>
      </c>
      <c r="AA44" s="571" t="s">
        <v>1127</v>
      </c>
      <c r="AD44" s="1066"/>
    </row>
    <row r="45" spans="1:30">
      <c r="A45" s="735">
        <f t="shared" si="15"/>
        <v>6.0699999999999985</v>
      </c>
      <c r="B45" s="720"/>
      <c r="C45" s="721" t="s">
        <v>1128</v>
      </c>
      <c r="D45" s="720"/>
      <c r="E45" s="725">
        <v>-3099249.1724160006</v>
      </c>
      <c r="F45" s="772"/>
      <c r="G45" s="725"/>
      <c r="H45" s="772"/>
      <c r="I45" s="849">
        <f t="shared" si="14"/>
        <v>-3099249.1724160006</v>
      </c>
      <c r="J45" s="772"/>
      <c r="K45" s="725" t="s">
        <v>1125</v>
      </c>
      <c r="L45" s="772"/>
      <c r="M45" s="725" t="s">
        <v>1086</v>
      </c>
      <c r="N45" s="772"/>
      <c r="O45" s="851" t="s">
        <v>1126</v>
      </c>
      <c r="P45" s="772"/>
      <c r="Q45" s="624">
        <f>IF(ISBLANK(C45)=TRUE,0,IF(AND(K45="Protected",M45="Property")=TRUE,"ARAM",IF(AND(K45="Non-Protected",M45="Non-Property")=TRUE,10,35)))</f>
        <v>10</v>
      </c>
      <c r="R45" s="772"/>
      <c r="S45" s="851">
        <v>4</v>
      </c>
      <c r="T45" s="849"/>
      <c r="U45" s="852">
        <f t="shared" si="17"/>
        <v>-2479399.3379328009</v>
      </c>
      <c r="V45" s="772"/>
      <c r="W45" s="851">
        <v>-619849.83448319999</v>
      </c>
      <c r="X45" s="772"/>
      <c r="Y45" s="772"/>
      <c r="Z45" s="906">
        <f t="shared" si="18"/>
        <v>-619849.83448319999</v>
      </c>
      <c r="AA45" s="571" t="s">
        <v>1127</v>
      </c>
      <c r="AD45" s="1066"/>
    </row>
    <row r="46" spans="1:30">
      <c r="A46" s="735">
        <f t="shared" si="15"/>
        <v>6.0799999999999983</v>
      </c>
      <c r="B46" s="720"/>
      <c r="C46" s="721" t="s">
        <v>1129</v>
      </c>
      <c r="D46" s="720"/>
      <c r="E46" s="725">
        <v>-102443.69727999999</v>
      </c>
      <c r="F46" s="772"/>
      <c r="G46" s="725"/>
      <c r="H46" s="772"/>
      <c r="I46" s="849">
        <f t="shared" si="14"/>
        <v>-102443.69727999999</v>
      </c>
      <c r="J46" s="772"/>
      <c r="K46" s="725" t="s">
        <v>1125</v>
      </c>
      <c r="L46" s="772"/>
      <c r="M46" s="725" t="s">
        <v>1086</v>
      </c>
      <c r="N46" s="772"/>
      <c r="O46" s="851" t="s">
        <v>1126</v>
      </c>
      <c r="P46" s="772"/>
      <c r="Q46" s="624">
        <f t="shared" si="16"/>
        <v>10</v>
      </c>
      <c r="R46" s="772"/>
      <c r="S46" s="851">
        <v>4</v>
      </c>
      <c r="T46" s="849"/>
      <c r="U46" s="852">
        <f t="shared" si="17"/>
        <v>-81954.957823999983</v>
      </c>
      <c r="V46" s="772"/>
      <c r="W46" s="851">
        <v>-20488.739456000003</v>
      </c>
      <c r="X46" s="772"/>
      <c r="Y46" s="772"/>
      <c r="Z46" s="906">
        <f t="shared" si="18"/>
        <v>-20488.739456000003</v>
      </c>
      <c r="AA46" s="571" t="s">
        <v>1127</v>
      </c>
      <c r="AD46" s="1066"/>
    </row>
    <row r="47" spans="1:30">
      <c r="A47" s="735">
        <f t="shared" si="15"/>
        <v>6.0899999999999981</v>
      </c>
      <c r="B47" s="720"/>
      <c r="C47" s="721" t="s">
        <v>1130</v>
      </c>
      <c r="D47" s="720"/>
      <c r="E47" s="725">
        <v>-14610.420000000006</v>
      </c>
      <c r="F47" s="772"/>
      <c r="G47" s="725"/>
      <c r="H47" s="772"/>
      <c r="I47" s="849">
        <f t="shared" si="14"/>
        <v>-14610.420000000006</v>
      </c>
      <c r="J47" s="772"/>
      <c r="K47" s="725" t="s">
        <v>1125</v>
      </c>
      <c r="L47" s="772"/>
      <c r="M47" s="725" t="s">
        <v>1086</v>
      </c>
      <c r="N47" s="772"/>
      <c r="O47" s="851" t="s">
        <v>1126</v>
      </c>
      <c r="P47" s="772"/>
      <c r="Q47" s="624">
        <f t="shared" si="16"/>
        <v>10</v>
      </c>
      <c r="R47" s="772"/>
      <c r="S47" s="851">
        <v>4</v>
      </c>
      <c r="T47" s="849"/>
      <c r="U47" s="852">
        <f t="shared" si="17"/>
        <v>-11688.336000000007</v>
      </c>
      <c r="V47" s="772"/>
      <c r="W47" s="851">
        <v>-2922.0839999999998</v>
      </c>
      <c r="X47" s="772"/>
      <c r="Y47" s="772"/>
      <c r="Z47" s="906">
        <f t="shared" si="18"/>
        <v>-2922.0839999999998</v>
      </c>
      <c r="AA47" s="571" t="s">
        <v>1127</v>
      </c>
      <c r="AD47" s="1066"/>
    </row>
    <row r="48" spans="1:30">
      <c r="A48" s="570">
        <f>A38+1</f>
        <v>7</v>
      </c>
      <c r="B48" s="720"/>
      <c r="C48" s="18" t="str">
        <f>"Total "&amp;C38&amp;" (Sum of "&amp;A38&amp;".[] sublines)"</f>
        <v>Total FERC Account No. 283 EDIT/DDIT (Sum of 6.[] sublines)</v>
      </c>
      <c r="D48" s="720"/>
      <c r="E48" s="734">
        <f>SUM(E39:E47)</f>
        <v>-4355736.165232501</v>
      </c>
      <c r="F48" s="772"/>
      <c r="G48" s="734">
        <f>SUM(G39:G47)</f>
        <v>0</v>
      </c>
      <c r="H48" s="772"/>
      <c r="I48" s="734">
        <f>SUM(I39:I47)</f>
        <v>-4355736.165232501</v>
      </c>
      <c r="J48" s="772"/>
      <c r="K48" s="624"/>
      <c r="L48" s="772"/>
      <c r="M48" s="624"/>
      <c r="N48" s="772"/>
      <c r="O48" s="624"/>
      <c r="P48" s="772"/>
      <c r="Q48" s="624"/>
      <c r="R48" s="772"/>
      <c r="S48" s="624"/>
      <c r="T48" s="904">
        <f>SUM(T39:T40)</f>
        <v>0</v>
      </c>
      <c r="U48" s="904">
        <f>SUM(U39:U47)</f>
        <v>-3484588.9321860014</v>
      </c>
      <c r="V48" s="904"/>
      <c r="W48" s="904">
        <f>SUM(W39:W47)</f>
        <v>-871147.23304650013</v>
      </c>
      <c r="X48" s="772"/>
      <c r="Y48" s="772"/>
      <c r="Z48" s="849">
        <f>SUM(Z39:Z47)</f>
        <v>-871147.23304650013</v>
      </c>
      <c r="AD48" s="1066"/>
    </row>
    <row r="49" spans="1:30">
      <c r="A49" s="570"/>
      <c r="B49" s="720"/>
      <c r="C49" s="18"/>
      <c r="D49" s="720"/>
      <c r="E49" s="772"/>
      <c r="F49" s="772"/>
      <c r="G49" s="772"/>
      <c r="H49" s="772"/>
      <c r="I49" s="765"/>
      <c r="J49" s="772"/>
      <c r="K49" s="624"/>
      <c r="L49" s="772"/>
      <c r="M49" s="624"/>
      <c r="N49" s="772"/>
      <c r="O49" s="624"/>
      <c r="P49" s="772"/>
      <c r="Q49" s="624"/>
      <c r="R49" s="772"/>
      <c r="S49" s="624"/>
      <c r="T49" s="772"/>
      <c r="U49" s="765"/>
      <c r="V49" s="772"/>
      <c r="W49" s="765"/>
      <c r="X49" s="772"/>
      <c r="Y49" s="772"/>
      <c r="Z49" s="772"/>
      <c r="AD49" s="1066"/>
    </row>
    <row r="50" spans="1:30">
      <c r="A50" s="572">
        <f>A48+1</f>
        <v>8</v>
      </c>
      <c r="B50" s="720"/>
      <c r="C50" s="18" t="str">
        <f>"Subtotal DDIT/EDIT Non-Property before Gross-Up (Sum of Lines "&amp;A31&amp;", "&amp;A36&amp;", and "&amp;A48&amp;")"</f>
        <v>Subtotal DDIT/EDIT Non-Property before Gross-Up (Sum of Lines 3, 5, and 7)</v>
      </c>
      <c r="D50" s="720"/>
      <c r="E50" s="767">
        <f>E31+E36+E48</f>
        <v>6955127.3337170007</v>
      </c>
      <c r="F50" s="773"/>
      <c r="G50" s="767">
        <f>G31+G36+G48</f>
        <v>0</v>
      </c>
      <c r="H50" s="773"/>
      <c r="I50" s="767">
        <f>I31+I36+I48</f>
        <v>6955127.3337170007</v>
      </c>
      <c r="J50" s="773"/>
      <c r="K50" s="765"/>
      <c r="L50" s="773"/>
      <c r="M50" s="765"/>
      <c r="N50" s="773"/>
      <c r="O50" s="765"/>
      <c r="P50" s="773"/>
      <c r="Q50" s="765"/>
      <c r="R50" s="773"/>
      <c r="S50" s="765"/>
      <c r="T50" s="773"/>
      <c r="U50" s="767">
        <f>U31+U36+U48</f>
        <v>6283735.1383635961</v>
      </c>
      <c r="V50" s="773"/>
      <c r="W50" s="767">
        <f>W31+W36+W48</f>
        <v>671392.19535340008</v>
      </c>
      <c r="X50" s="773"/>
      <c r="Y50" s="773"/>
      <c r="Z50" s="767">
        <f>Z31+Z36+Z48</f>
        <v>671392.19535340008</v>
      </c>
      <c r="AD50" s="1066"/>
    </row>
    <row r="51" spans="1:30" ht="16.2">
      <c r="A51" s="570"/>
      <c r="B51" s="720"/>
      <c r="C51" s="768"/>
      <c r="D51" s="720"/>
      <c r="E51" s="772"/>
      <c r="F51" s="772"/>
      <c r="G51" s="772"/>
      <c r="H51" s="772"/>
      <c r="I51" s="765"/>
      <c r="J51" s="772"/>
      <c r="K51" s="624"/>
      <c r="L51" s="772"/>
      <c r="M51" s="624"/>
      <c r="N51" s="772"/>
      <c r="O51" s="624"/>
      <c r="P51" s="772"/>
      <c r="Q51" s="624"/>
      <c r="R51" s="772"/>
      <c r="S51" s="624"/>
      <c r="T51" s="772"/>
      <c r="U51" s="765"/>
      <c r="V51" s="772"/>
      <c r="W51" s="765"/>
      <c r="X51" s="772"/>
      <c r="Y51" s="772"/>
      <c r="Z51" s="772"/>
    </row>
    <row r="52" spans="1:30">
      <c r="A52" s="572">
        <f>A50+1</f>
        <v>9</v>
      </c>
      <c r="B52" s="720"/>
      <c r="C52" s="18" t="s">
        <v>900</v>
      </c>
      <c r="D52" s="720"/>
      <c r="E52" s="773"/>
      <c r="F52" s="772"/>
      <c r="G52" s="772"/>
      <c r="H52" s="772"/>
      <c r="I52" s="724"/>
      <c r="J52" s="772"/>
      <c r="K52" s="722"/>
      <c r="L52" s="772"/>
      <c r="M52" s="722"/>
      <c r="N52" s="772"/>
      <c r="O52" s="722"/>
      <c r="P52" s="772"/>
      <c r="Q52" s="722"/>
      <c r="R52" s="772"/>
      <c r="S52" s="722"/>
      <c r="T52" s="774"/>
      <c r="U52" s="724"/>
      <c r="V52" s="774"/>
      <c r="W52" s="724"/>
      <c r="X52" s="908"/>
      <c r="Y52" s="908"/>
      <c r="Z52" s="909">
        <f>Z50*TGUF</f>
        <v>262523.7809345398</v>
      </c>
    </row>
    <row r="53" spans="1:30">
      <c r="A53" s="910">
        <f>A52+1</f>
        <v>10</v>
      </c>
      <c r="B53" s="911"/>
      <c r="C53" s="912" t="s">
        <v>903</v>
      </c>
      <c r="D53" s="911"/>
      <c r="E53" s="920"/>
      <c r="F53" s="772"/>
      <c r="G53" s="772"/>
      <c r="H53" s="772"/>
      <c r="I53" s="765"/>
      <c r="J53" s="772"/>
      <c r="K53" s="624"/>
      <c r="L53" s="772"/>
      <c r="M53" s="624"/>
      <c r="N53" s="772"/>
      <c r="O53" s="624"/>
      <c r="P53" s="772"/>
      <c r="Q53" s="624"/>
      <c r="R53" s="772"/>
      <c r="S53" s="624"/>
      <c r="T53" s="772"/>
      <c r="U53" s="765"/>
      <c r="V53" s="772"/>
      <c r="W53" s="765"/>
      <c r="X53" s="772"/>
      <c r="Y53" s="772"/>
      <c r="Z53" s="767">
        <f>Z50+Z52</f>
        <v>933915.97628793982</v>
      </c>
    </row>
    <row r="54" spans="1:30">
      <c r="A54" s="570"/>
      <c r="B54" s="720"/>
      <c r="C54" s="18"/>
      <c r="D54" s="720"/>
      <c r="E54" s="772"/>
      <c r="F54" s="772"/>
      <c r="G54" s="772"/>
      <c r="H54" s="772"/>
      <c r="I54" s="765"/>
      <c r="J54" s="772"/>
      <c r="K54" s="624"/>
      <c r="L54" s="772"/>
      <c r="M54" s="624"/>
      <c r="N54" s="772"/>
      <c r="O54" s="624"/>
      <c r="P54" s="772"/>
      <c r="Q54" s="624"/>
      <c r="R54" s="772"/>
      <c r="S54" s="624"/>
      <c r="T54" s="772"/>
      <c r="U54" s="765"/>
      <c r="V54" s="772"/>
      <c r="W54" s="765"/>
      <c r="X54" s="772"/>
      <c r="Y54" s="772"/>
      <c r="Z54" s="765"/>
    </row>
    <row r="55" spans="1:30">
      <c r="A55" s="570"/>
      <c r="B55" s="720"/>
      <c r="C55" s="18"/>
      <c r="D55" s="720"/>
      <c r="E55" s="772"/>
      <c r="F55" s="772"/>
      <c r="G55" s="772"/>
      <c r="H55" s="772"/>
      <c r="I55" s="765"/>
      <c r="J55" s="772"/>
      <c r="K55" s="624"/>
      <c r="L55" s="772"/>
      <c r="M55" s="624"/>
      <c r="N55" s="772"/>
      <c r="O55" s="624"/>
      <c r="P55" s="772"/>
      <c r="Q55" s="624"/>
      <c r="R55" s="772"/>
      <c r="S55" s="624"/>
      <c r="T55" s="772"/>
      <c r="U55" s="765"/>
      <c r="V55" s="772"/>
      <c r="W55" s="765"/>
      <c r="X55" s="772"/>
      <c r="Y55" s="772"/>
      <c r="Z55" s="765"/>
    </row>
    <row r="56" spans="1:30">
      <c r="A56" s="559">
        <f>A53+1</f>
        <v>11</v>
      </c>
      <c r="C56" s="18" t="s">
        <v>894</v>
      </c>
      <c r="K56" s="624"/>
      <c r="M56" s="624"/>
      <c r="O56" s="731"/>
      <c r="Q56" s="1"/>
      <c r="U56" s="624"/>
      <c r="W56" s="1"/>
      <c r="AB56" s="720"/>
      <c r="AC56" s="1066"/>
    </row>
    <row r="57" spans="1:30">
      <c r="A57" s="570"/>
      <c r="C57" s="18"/>
      <c r="I57" s="624"/>
      <c r="K57" s="624"/>
      <c r="M57" s="624"/>
      <c r="O57" s="731"/>
      <c r="Q57" s="1"/>
      <c r="U57" s="624"/>
      <c r="W57" s="1"/>
      <c r="AB57" s="720"/>
      <c r="AC57" s="1066"/>
    </row>
    <row r="58" spans="1:30">
      <c r="A58" s="570">
        <f>A56+1</f>
        <v>12</v>
      </c>
      <c r="C58" s="18" t="s">
        <v>895</v>
      </c>
      <c r="E58" s="1066"/>
      <c r="F58" s="1066"/>
      <c r="G58" s="1066"/>
      <c r="I58" s="624"/>
      <c r="K58" s="624"/>
      <c r="M58" s="624"/>
      <c r="O58" s="731"/>
      <c r="Q58" s="1"/>
      <c r="U58" s="722"/>
      <c r="V58" s="1066"/>
      <c r="W58" s="1066"/>
      <c r="X58" s="1066"/>
      <c r="Y58" s="1066"/>
      <c r="AB58" s="720"/>
      <c r="AC58" s="1066"/>
    </row>
    <row r="59" spans="1:30">
      <c r="A59" s="736">
        <f>A58+0.01</f>
        <v>12.01</v>
      </c>
      <c r="B59" s="720"/>
      <c r="C59" s="721" t="s">
        <v>909</v>
      </c>
      <c r="D59" s="720"/>
      <c r="E59" s="725">
        <v>-5551307.1482289899</v>
      </c>
      <c r="F59" s="772"/>
      <c r="G59" s="725">
        <v>515014.51</v>
      </c>
      <c r="H59" s="772"/>
      <c r="I59" s="849">
        <f>E59+G59</f>
        <v>-5036292.6382289901</v>
      </c>
      <c r="J59" s="772"/>
      <c r="K59" s="725" t="s">
        <v>1085</v>
      </c>
      <c r="L59" s="772"/>
      <c r="M59" s="725" t="s">
        <v>1087</v>
      </c>
      <c r="N59" s="772"/>
      <c r="O59" s="850"/>
      <c r="P59" s="772"/>
      <c r="Q59" s="624" t="str">
        <f>IF(ISBLANK(#REF!)=TRUE,0,IF(AND(K59="Protected",M59="Property")=TRUE,"ARAM",IF(AND(K59="Non-Protected",M59="Non-Property")=TRUE,10,35)))</f>
        <v>ARAM</v>
      </c>
      <c r="R59" s="772"/>
      <c r="S59" s="850" t="str">
        <f>Q59</f>
        <v>ARAM</v>
      </c>
      <c r="T59" s="849"/>
      <c r="U59" s="850">
        <v>-4838286.0778805204</v>
      </c>
      <c r="V59" s="849"/>
      <c r="W59" s="850"/>
      <c r="X59" s="772"/>
      <c r="Y59" s="850">
        <v>198006.391829</v>
      </c>
      <c r="Z59" s="907">
        <f>Y59</f>
        <v>198006.391829</v>
      </c>
      <c r="AA59" s="893" t="s">
        <v>892</v>
      </c>
      <c r="AB59" s="720"/>
      <c r="AC59" s="1066"/>
    </row>
    <row r="60" spans="1:30">
      <c r="A60" s="570">
        <f>A58+1</f>
        <v>13</v>
      </c>
      <c r="B60" s="720"/>
      <c r="C60" s="18" t="s">
        <v>906</v>
      </c>
      <c r="D60" s="720"/>
      <c r="E60" s="734">
        <f>E59</f>
        <v>-5551307.1482289899</v>
      </c>
      <c r="F60" s="772"/>
      <c r="G60" s="904">
        <f>G59</f>
        <v>515014.51</v>
      </c>
      <c r="H60" s="772"/>
      <c r="I60" s="734"/>
      <c r="J60" s="772"/>
      <c r="K60" s="624"/>
      <c r="L60" s="772"/>
      <c r="M60" s="624"/>
      <c r="N60" s="772"/>
      <c r="O60" s="624"/>
      <c r="P60" s="772"/>
      <c r="Q60" s="624"/>
      <c r="R60" s="772"/>
      <c r="S60" s="624"/>
      <c r="T60" s="904">
        <f>SUM(T59:T59)</f>
        <v>0</v>
      </c>
      <c r="U60" s="904">
        <f>U59</f>
        <v>-4838286.0778805204</v>
      </c>
      <c r="V60" s="904"/>
      <c r="W60" s="904">
        <f>W59</f>
        <v>0</v>
      </c>
      <c r="X60" s="772"/>
      <c r="Y60" s="772"/>
      <c r="Z60" s="849">
        <f>Z59</f>
        <v>198006.391829</v>
      </c>
      <c r="AB60" s="720"/>
      <c r="AC60" s="1066"/>
    </row>
    <row r="61" spans="1:30">
      <c r="A61" s="570"/>
      <c r="B61" s="720"/>
      <c r="C61" s="18"/>
      <c r="D61" s="720"/>
      <c r="E61" s="772"/>
      <c r="F61" s="772"/>
      <c r="G61" s="772"/>
      <c r="H61" s="772"/>
      <c r="I61" s="765"/>
      <c r="J61" s="772"/>
      <c r="K61" s="624"/>
      <c r="L61" s="772"/>
      <c r="M61" s="624"/>
      <c r="N61" s="772"/>
      <c r="O61" s="624"/>
      <c r="P61" s="772"/>
      <c r="Q61" s="624"/>
      <c r="R61" s="772"/>
      <c r="S61" s="624"/>
      <c r="T61" s="772"/>
      <c r="U61" s="765"/>
      <c r="V61" s="772"/>
      <c r="W61" s="765"/>
      <c r="X61" s="772"/>
      <c r="Y61" s="772"/>
      <c r="Z61" s="772"/>
      <c r="AB61" s="720"/>
      <c r="AC61" s="1066"/>
    </row>
    <row r="62" spans="1:30">
      <c r="A62" s="570">
        <f>A60+1</f>
        <v>14</v>
      </c>
      <c r="C62" s="18" t="s">
        <v>896</v>
      </c>
      <c r="E62" s="722"/>
      <c r="F62" s="722"/>
      <c r="G62" s="722"/>
      <c r="H62" s="722"/>
      <c r="I62" s="624"/>
      <c r="J62" s="722"/>
      <c r="K62" s="624"/>
      <c r="L62" s="722"/>
      <c r="M62" s="624"/>
      <c r="N62" s="722"/>
      <c r="O62" s="624"/>
      <c r="P62" s="722"/>
      <c r="Q62" s="624"/>
      <c r="R62" s="722"/>
      <c r="S62" s="624"/>
      <c r="T62" s="722"/>
      <c r="U62" s="722"/>
      <c r="V62" s="722"/>
      <c r="W62" s="722"/>
      <c r="X62" s="722"/>
      <c r="Y62" s="722"/>
      <c r="Z62" s="722"/>
      <c r="AB62" s="720"/>
      <c r="AC62" s="1066"/>
    </row>
    <row r="63" spans="1:30">
      <c r="A63" s="736">
        <f>A62+0.01</f>
        <v>14.01</v>
      </c>
      <c r="B63" s="720"/>
      <c r="C63" s="721" t="s">
        <v>909</v>
      </c>
      <c r="D63" s="720"/>
      <c r="E63" s="725">
        <v>117831003.476248</v>
      </c>
      <c r="F63" s="772"/>
      <c r="G63" s="725">
        <v>170293.72</v>
      </c>
      <c r="H63" s="772"/>
      <c r="I63" s="849">
        <f>E63+G63</f>
        <v>118001297.19624799</v>
      </c>
      <c r="J63" s="772"/>
      <c r="K63" s="725" t="s">
        <v>1085</v>
      </c>
      <c r="L63" s="772"/>
      <c r="M63" s="725" t="s">
        <v>1087</v>
      </c>
      <c r="N63" s="772"/>
      <c r="O63" s="850"/>
      <c r="P63" s="772"/>
      <c r="Q63" s="624" t="str">
        <f>IF(ISBLANK(C63)=TRUE,0,IF(AND(K63="Protected",M63="Property")=TRUE,"ARAM",IF(AND(K63="Non-Protected",M63="Non-Property")=TRUE,10,35)))</f>
        <v>ARAM</v>
      </c>
      <c r="R63" s="772"/>
      <c r="S63" s="850" t="str">
        <f>Q63</f>
        <v>ARAM</v>
      </c>
      <c r="T63" s="849"/>
      <c r="U63" s="850">
        <v>115115144.637115</v>
      </c>
      <c r="V63" s="772"/>
      <c r="W63" s="850">
        <v>0</v>
      </c>
      <c r="X63" s="772"/>
      <c r="Y63" s="850">
        <v>-2886151.74</v>
      </c>
      <c r="Z63" s="907">
        <f>Y63</f>
        <v>-2886151.74</v>
      </c>
      <c r="AA63" s="893" t="s">
        <v>892</v>
      </c>
      <c r="AB63" s="720"/>
      <c r="AC63" s="1066"/>
    </row>
    <row r="64" spans="1:30">
      <c r="A64" s="570">
        <f>A62+1</f>
        <v>15</v>
      </c>
      <c r="B64" s="720"/>
      <c r="C64" s="18" t="s">
        <v>907</v>
      </c>
      <c r="D64" s="720"/>
      <c r="E64" s="734">
        <f>E63</f>
        <v>117831003.476248</v>
      </c>
      <c r="F64" s="772"/>
      <c r="G64" s="904">
        <f>G63</f>
        <v>170293.72</v>
      </c>
      <c r="H64" s="772"/>
      <c r="I64" s="734"/>
      <c r="J64" s="772"/>
      <c r="K64" s="624"/>
      <c r="L64" s="772"/>
      <c r="M64" s="624"/>
      <c r="N64" s="772"/>
      <c r="O64" s="624"/>
      <c r="P64" s="772"/>
      <c r="Q64" s="624"/>
      <c r="R64" s="772"/>
      <c r="S64" s="624"/>
      <c r="T64" s="904">
        <f>SUM(T63:T63)</f>
        <v>0</v>
      </c>
      <c r="U64" s="904">
        <f>U63</f>
        <v>115115144.637115</v>
      </c>
      <c r="V64" s="904"/>
      <c r="W64" s="904">
        <f>W63</f>
        <v>0</v>
      </c>
      <c r="X64" s="772"/>
      <c r="Y64" s="772"/>
      <c r="Z64" s="849">
        <f>Z63</f>
        <v>-2886151.74</v>
      </c>
      <c r="AB64" s="720"/>
      <c r="AC64" s="1066"/>
    </row>
    <row r="65" spans="1:29">
      <c r="A65" s="570"/>
      <c r="B65" s="720"/>
      <c r="C65" s="18"/>
      <c r="D65" s="720"/>
      <c r="E65" s="772"/>
      <c r="F65" s="772"/>
      <c r="G65" s="772"/>
      <c r="H65" s="772"/>
      <c r="I65" s="765"/>
      <c r="J65" s="772"/>
      <c r="K65" s="624"/>
      <c r="L65" s="772"/>
      <c r="M65" s="624"/>
      <c r="N65" s="772"/>
      <c r="O65" s="624"/>
      <c r="P65" s="772"/>
      <c r="Q65" s="624"/>
      <c r="R65" s="772"/>
      <c r="S65" s="624"/>
      <c r="T65" s="772"/>
      <c r="U65" s="765"/>
      <c r="V65" s="772"/>
      <c r="W65" s="765"/>
      <c r="X65" s="772"/>
      <c r="Y65" s="772"/>
      <c r="Z65" s="772"/>
      <c r="AB65" s="720"/>
      <c r="AC65" s="1066"/>
    </row>
    <row r="66" spans="1:29">
      <c r="A66" s="570">
        <f>A64+1</f>
        <v>16</v>
      </c>
      <c r="C66" s="18" t="s">
        <v>897</v>
      </c>
      <c r="E66" s="722"/>
      <c r="F66" s="722"/>
      <c r="G66" s="722"/>
      <c r="H66" s="722"/>
      <c r="I66" s="624"/>
      <c r="J66" s="722"/>
      <c r="K66" s="624"/>
      <c r="L66" s="722"/>
      <c r="M66" s="624"/>
      <c r="N66" s="722"/>
      <c r="O66" s="624"/>
      <c r="P66" s="722"/>
      <c r="Q66" s="624"/>
      <c r="R66" s="722"/>
      <c r="S66" s="624"/>
      <c r="T66" s="722"/>
      <c r="U66" s="624"/>
      <c r="V66" s="722"/>
      <c r="W66" s="722"/>
      <c r="X66" s="722"/>
      <c r="Y66" s="722"/>
      <c r="Z66" s="722"/>
      <c r="AB66" s="720"/>
      <c r="AC66" s="1066"/>
    </row>
    <row r="67" spans="1:29">
      <c r="A67" s="736">
        <f>A66+0.01</f>
        <v>16.010000000000002</v>
      </c>
      <c r="B67" s="720"/>
      <c r="C67" s="721" t="s">
        <v>909</v>
      </c>
      <c r="D67" s="720"/>
      <c r="E67" s="725">
        <v>0</v>
      </c>
      <c r="F67" s="772"/>
      <c r="G67" s="725">
        <v>0</v>
      </c>
      <c r="H67" s="772"/>
      <c r="I67" s="849">
        <f>E67+G67</f>
        <v>0</v>
      </c>
      <c r="J67" s="772"/>
      <c r="K67" s="725"/>
      <c r="L67" s="772"/>
      <c r="M67" s="725"/>
      <c r="N67" s="772"/>
      <c r="O67" s="850"/>
      <c r="P67" s="772"/>
      <c r="Q67" s="624">
        <f>IF(ISBLANK(C67)=TRUE,0,IF(AND(K67="Protected",M67="Property")=TRUE,"ARAM",IF(AND(K67="Non-Protected",M67="Non-Property")=TRUE,10,35)))</f>
        <v>35</v>
      </c>
      <c r="R67" s="772"/>
      <c r="S67" s="850"/>
      <c r="T67" s="849"/>
      <c r="U67" s="850">
        <v>0</v>
      </c>
      <c r="V67" s="772"/>
      <c r="W67" s="852">
        <v>0</v>
      </c>
      <c r="X67" s="772"/>
      <c r="Y67" s="850">
        <v>0</v>
      </c>
      <c r="Z67" s="907">
        <f>Y67</f>
        <v>0</v>
      </c>
      <c r="AA67" s="893" t="s">
        <v>892</v>
      </c>
      <c r="AB67" s="720"/>
      <c r="AC67" s="1066"/>
    </row>
    <row r="68" spans="1:29">
      <c r="A68" s="570">
        <f>A66+1</f>
        <v>17</v>
      </c>
      <c r="B68" s="720"/>
      <c r="C68" s="18" t="s">
        <v>908</v>
      </c>
      <c r="D68" s="720"/>
      <c r="E68" s="734">
        <f>E67</f>
        <v>0</v>
      </c>
      <c r="F68" s="772"/>
      <c r="G68" s="734">
        <f>G67</f>
        <v>0</v>
      </c>
      <c r="H68" s="772"/>
      <c r="I68" s="734"/>
      <c r="J68" s="772"/>
      <c r="K68" s="624"/>
      <c r="L68" s="772"/>
      <c r="M68" s="624"/>
      <c r="N68" s="772"/>
      <c r="O68" s="624"/>
      <c r="P68" s="772"/>
      <c r="Q68" s="624"/>
      <c r="R68" s="772"/>
      <c r="S68" s="624"/>
      <c r="T68" s="904">
        <f>SUM(T67:T67)</f>
        <v>0</v>
      </c>
      <c r="U68" s="904">
        <f>U67</f>
        <v>0</v>
      </c>
      <c r="V68" s="904"/>
      <c r="W68" s="904">
        <f>W67</f>
        <v>0</v>
      </c>
      <c r="X68" s="772"/>
      <c r="Y68" s="772"/>
      <c r="Z68" s="849">
        <f>Z67</f>
        <v>0</v>
      </c>
      <c r="AB68" s="720"/>
      <c r="AC68" s="1066"/>
    </row>
    <row r="69" spans="1:29">
      <c r="A69" s="570"/>
      <c r="B69" s="720"/>
      <c r="C69" s="18"/>
      <c r="D69" s="720"/>
      <c r="E69" s="772"/>
      <c r="F69" s="772"/>
      <c r="G69" s="772"/>
      <c r="H69" s="772"/>
      <c r="I69" s="765"/>
      <c r="J69" s="772"/>
      <c r="K69" s="624"/>
      <c r="L69" s="772"/>
      <c r="M69" s="624"/>
      <c r="N69" s="772"/>
      <c r="O69" s="624"/>
      <c r="P69" s="772"/>
      <c r="Q69" s="624"/>
      <c r="R69" s="772"/>
      <c r="S69" s="624"/>
      <c r="T69" s="772"/>
      <c r="U69" s="765"/>
      <c r="V69" s="772"/>
      <c r="W69" s="765"/>
      <c r="X69" s="772"/>
      <c r="Y69" s="772"/>
      <c r="Z69" s="772"/>
      <c r="AB69" s="720"/>
      <c r="AC69" s="1066"/>
    </row>
    <row r="70" spans="1:29">
      <c r="A70" s="572">
        <f>A68+1</f>
        <v>18</v>
      </c>
      <c r="B70" s="720"/>
      <c r="C70" s="18" t="str">
        <f>"Subtotal DDIT/EDIT Property before Gross-Up (Sum of Lines "&amp;A60&amp;", "&amp;A64&amp;", and "&amp;A68&amp;")"</f>
        <v>Subtotal DDIT/EDIT Property before Gross-Up (Sum of Lines 13, 15, and 17)</v>
      </c>
      <c r="D70" s="720"/>
      <c r="E70" s="767">
        <f>E60+E64+E68</f>
        <v>112279696.32801901</v>
      </c>
      <c r="F70" s="773"/>
      <c r="G70" s="767">
        <f>G60+G64+G68</f>
        <v>685308.23</v>
      </c>
      <c r="H70" s="773"/>
      <c r="I70" s="767">
        <f>I60+I64+I68</f>
        <v>0</v>
      </c>
      <c r="J70" s="773"/>
      <c r="K70" s="765"/>
      <c r="L70" s="773"/>
      <c r="M70" s="765"/>
      <c r="N70" s="773"/>
      <c r="O70" s="765"/>
      <c r="P70" s="773"/>
      <c r="Q70" s="765"/>
      <c r="R70" s="773"/>
      <c r="S70" s="765"/>
      <c r="T70" s="773"/>
      <c r="U70" s="767">
        <f>U60+U64+U68</f>
        <v>110276858.55923449</v>
      </c>
      <c r="V70" s="773"/>
      <c r="W70" s="767">
        <f>W60+W64+W68</f>
        <v>0</v>
      </c>
      <c r="X70" s="773"/>
      <c r="Y70" s="773"/>
      <c r="Z70" s="767">
        <f>Z60+Z64+Z68</f>
        <v>-2688145.3481710004</v>
      </c>
      <c r="AB70" s="720"/>
      <c r="AC70" s="1066"/>
    </row>
    <row r="71" spans="1:29" ht="16.2">
      <c r="A71" s="570"/>
      <c r="B71" s="720"/>
      <c r="C71" s="768"/>
      <c r="D71" s="720"/>
      <c r="E71" s="772"/>
      <c r="F71" s="772"/>
      <c r="G71" s="772"/>
      <c r="H71" s="772"/>
      <c r="I71" s="765"/>
      <c r="J71" s="772"/>
      <c r="K71" s="624"/>
      <c r="L71" s="772"/>
      <c r="M71" s="624"/>
      <c r="N71" s="772"/>
      <c r="O71" s="624"/>
      <c r="P71" s="772"/>
      <c r="Q71" s="624"/>
      <c r="R71" s="772"/>
      <c r="S71" s="624"/>
      <c r="T71" s="772"/>
      <c r="U71" s="765"/>
      <c r="V71" s="772"/>
      <c r="W71" s="765"/>
      <c r="X71" s="772"/>
      <c r="Y71" s="772"/>
      <c r="Z71" s="772"/>
      <c r="AB71" s="720"/>
      <c r="AC71" s="1066"/>
    </row>
    <row r="72" spans="1:29">
      <c r="A72" s="572">
        <f>A70+1</f>
        <v>19</v>
      </c>
      <c r="B72" s="720"/>
      <c r="C72" s="18" t="s">
        <v>901</v>
      </c>
      <c r="D72" s="720"/>
      <c r="E72" s="773"/>
      <c r="F72" s="772"/>
      <c r="G72" s="772"/>
      <c r="H72" s="772"/>
      <c r="I72" s="724">
        <f>I70*TGUF</f>
        <v>0</v>
      </c>
      <c r="J72" s="772"/>
      <c r="K72" s="722"/>
      <c r="L72" s="772"/>
      <c r="M72" s="722"/>
      <c r="N72" s="772"/>
      <c r="O72" s="722"/>
      <c r="P72" s="772"/>
      <c r="Q72" s="722"/>
      <c r="R72" s="772"/>
      <c r="S72" s="722"/>
      <c r="T72" s="774"/>
      <c r="U72" s="724"/>
      <c r="V72" s="956"/>
      <c r="W72" s="724"/>
      <c r="X72" s="908"/>
      <c r="Y72" s="908"/>
      <c r="Z72" s="909">
        <f>Z70*TGUF</f>
        <v>-1051102.5975391122</v>
      </c>
      <c r="AB72" s="720"/>
    </row>
    <row r="73" spans="1:29">
      <c r="A73" s="572">
        <f>A72+1</f>
        <v>20</v>
      </c>
      <c r="B73" s="911"/>
      <c r="C73" s="912" t="s">
        <v>904</v>
      </c>
      <c r="D73" s="911"/>
      <c r="E73" s="909"/>
      <c r="F73" s="720"/>
      <c r="G73" s="724"/>
      <c r="H73" s="720"/>
      <c r="I73" s="724"/>
      <c r="J73" s="720"/>
      <c r="K73" s="722"/>
      <c r="L73" s="720"/>
      <c r="M73" s="722"/>
      <c r="N73" s="720"/>
      <c r="O73" s="722"/>
      <c r="P73" s="720"/>
      <c r="Q73" s="878"/>
      <c r="R73" s="720"/>
      <c r="S73" s="722"/>
      <c r="T73" s="720"/>
      <c r="U73" s="724"/>
      <c r="V73" s="720"/>
      <c r="W73" s="724"/>
      <c r="X73" s="720"/>
      <c r="Y73" s="720"/>
      <c r="Z73" s="724">
        <f>Z70+Z72</f>
        <v>-3739247.9457101123</v>
      </c>
      <c r="AA73" s="724"/>
      <c r="AB73" s="720"/>
    </row>
    <row r="74" spans="1:29">
      <c r="A74" s="879"/>
      <c r="B74" s="720"/>
      <c r="C74" s="18"/>
      <c r="D74" s="720"/>
      <c r="E74" s="724"/>
      <c r="F74" s="720"/>
      <c r="G74" s="724"/>
      <c r="H74" s="720"/>
      <c r="I74" s="724"/>
      <c r="J74" s="720"/>
      <c r="K74" s="722"/>
      <c r="L74" s="720"/>
      <c r="M74" s="722"/>
      <c r="N74" s="720"/>
      <c r="O74" s="722"/>
      <c r="P74" s="720"/>
      <c r="Q74" s="878"/>
      <c r="R74" s="720"/>
      <c r="S74" s="722"/>
      <c r="T74" s="720"/>
      <c r="U74" s="724"/>
      <c r="V74" s="720"/>
      <c r="W74" s="724"/>
      <c r="X74" s="720"/>
      <c r="Y74" s="720"/>
      <c r="Z74" s="724"/>
      <c r="AA74" s="724"/>
      <c r="AB74" s="720"/>
    </row>
    <row r="75" spans="1:29">
      <c r="A75" s="852">
        <f>A73+1</f>
        <v>21</v>
      </c>
      <c r="B75" s="720"/>
      <c r="C75" s="18" t="s">
        <v>898</v>
      </c>
      <c r="D75" s="720"/>
      <c r="E75" s="724"/>
      <c r="F75" s="720"/>
      <c r="G75" s="724"/>
      <c r="H75" s="720"/>
      <c r="I75" s="724"/>
      <c r="J75" s="720"/>
      <c r="K75" s="722"/>
      <c r="L75" s="720"/>
      <c r="M75" s="722"/>
      <c r="N75" s="720"/>
      <c r="O75" s="722"/>
      <c r="P75" s="720"/>
      <c r="Q75" s="878"/>
      <c r="R75" s="720"/>
      <c r="S75" s="722"/>
      <c r="T75" s="720"/>
      <c r="U75" s="724"/>
      <c r="V75" s="720"/>
      <c r="W75" s="724"/>
      <c r="X75" s="720"/>
      <c r="Y75" s="720"/>
      <c r="Z75" s="724">
        <f>Z50+Z70</f>
        <v>-2016753.1528176004</v>
      </c>
      <c r="AA75" s="724"/>
      <c r="AB75" s="720"/>
    </row>
    <row r="76" spans="1:29">
      <c r="A76" s="852">
        <f>A75+1</f>
        <v>22</v>
      </c>
      <c r="B76" s="720"/>
      <c r="C76" s="18" t="s">
        <v>905</v>
      </c>
      <c r="D76" s="720"/>
      <c r="E76" s="724"/>
      <c r="F76" s="720"/>
      <c r="G76" s="724"/>
      <c r="H76" s="720"/>
      <c r="I76" s="724"/>
      <c r="J76" s="720"/>
      <c r="K76" s="722"/>
      <c r="L76" s="720"/>
      <c r="M76" s="722"/>
      <c r="N76" s="720"/>
      <c r="O76" s="722"/>
      <c r="P76" s="720"/>
      <c r="Q76" s="878"/>
      <c r="R76" s="720"/>
      <c r="S76" s="722"/>
      <c r="T76" s="720"/>
      <c r="U76" s="724"/>
      <c r="V76" s="720"/>
      <c r="W76" s="724"/>
      <c r="X76" s="720"/>
      <c r="Y76" s="720"/>
      <c r="Z76" s="724">
        <f>Z53+Z73</f>
        <v>-2805331.9694221728</v>
      </c>
      <c r="AA76" s="724"/>
      <c r="AB76" s="720"/>
    </row>
    <row r="77" spans="1:29">
      <c r="A77" s="879"/>
      <c r="B77" s="720"/>
      <c r="C77" s="18"/>
      <c r="D77" s="720"/>
      <c r="E77" s="724"/>
      <c r="F77" s="720"/>
      <c r="G77" s="724"/>
      <c r="H77" s="720"/>
      <c r="I77" s="724"/>
      <c r="J77" s="720"/>
      <c r="K77" s="722"/>
      <c r="L77" s="720"/>
      <c r="M77" s="722"/>
      <c r="N77" s="720"/>
      <c r="O77" s="722"/>
      <c r="P77" s="720"/>
      <c r="Q77" s="878"/>
      <c r="R77" s="720"/>
      <c r="S77" s="722"/>
      <c r="T77" s="720"/>
      <c r="U77" s="724"/>
      <c r="V77" s="720"/>
      <c r="W77" s="724"/>
      <c r="X77" s="720"/>
      <c r="Y77" s="720"/>
      <c r="Z77" s="724"/>
      <c r="AA77" s="724"/>
      <c r="AB77" s="720"/>
    </row>
    <row r="78" spans="1:29">
      <c r="A78" s="879"/>
      <c r="B78" s="720"/>
      <c r="C78" s="18"/>
      <c r="D78" s="720"/>
      <c r="E78" s="724"/>
      <c r="F78" s="720"/>
      <c r="G78" s="724"/>
      <c r="H78" s="720"/>
      <c r="I78" s="724"/>
      <c r="J78" s="720"/>
      <c r="K78" s="722"/>
      <c r="L78" s="720"/>
      <c r="M78" s="722"/>
      <c r="N78" s="720"/>
      <c r="O78" s="722"/>
      <c r="P78" s="720"/>
      <c r="Q78" s="878"/>
      <c r="R78" s="720"/>
      <c r="S78" s="722"/>
      <c r="T78" s="720"/>
      <c r="U78" s="724"/>
      <c r="V78" s="720"/>
      <c r="W78" s="724"/>
      <c r="X78" s="720"/>
      <c r="Y78" s="720"/>
      <c r="Z78" s="724"/>
      <c r="AA78" s="724"/>
      <c r="AB78" s="720"/>
    </row>
    <row r="79" spans="1:29">
      <c r="A79" s="894"/>
      <c r="B79" s="720"/>
      <c r="C79" s="720"/>
      <c r="D79" s="720"/>
      <c r="E79" s="720"/>
      <c r="F79" s="720"/>
      <c r="G79" s="720"/>
      <c r="H79" s="720"/>
      <c r="I79" s="18"/>
      <c r="J79" s="720"/>
      <c r="K79" s="624"/>
      <c r="L79" s="720"/>
      <c r="M79" s="624"/>
      <c r="N79" s="720"/>
      <c r="O79" s="624"/>
      <c r="P79" s="720"/>
      <c r="Q79" s="731"/>
      <c r="R79" s="720"/>
      <c r="S79" s="722"/>
      <c r="T79" s="720"/>
      <c r="U79" s="624"/>
      <c r="V79" s="720"/>
      <c r="W79" s="624"/>
      <c r="X79" s="720"/>
      <c r="Y79" s="720"/>
      <c r="Z79" s="720"/>
      <c r="AA79" s="724"/>
      <c r="AB79" s="720"/>
    </row>
    <row r="80" spans="1:29">
      <c r="B80" s="300"/>
      <c r="C80" s="895" t="s">
        <v>183</v>
      </c>
      <c r="D80" s="300"/>
      <c r="E80" s="300"/>
      <c r="F80" s="300"/>
      <c r="G80" s="300"/>
      <c r="H80" s="300"/>
      <c r="J80" s="300"/>
      <c r="K80" s="624" t="s">
        <v>183</v>
      </c>
      <c r="L80" s="300"/>
      <c r="M80" s="624"/>
      <c r="N80" s="300"/>
      <c r="P80" s="300"/>
      <c r="Q80" s="570"/>
      <c r="R80" s="300"/>
      <c r="S80" s="570"/>
      <c r="T80" s="300"/>
      <c r="U80" s="17"/>
      <c r="V80" s="300"/>
      <c r="W80" s="724"/>
      <c r="X80" s="300"/>
      <c r="Y80" s="300"/>
      <c r="Z80" s="300"/>
    </row>
    <row r="81" spans="1:29">
      <c r="A81" s="736"/>
      <c r="B81" s="16"/>
      <c r="C81" s="1026" t="s">
        <v>882</v>
      </c>
      <c r="D81" s="1026"/>
      <c r="E81" s="1026"/>
      <c r="F81" s="1026"/>
      <c r="G81" s="1026"/>
      <c r="H81" s="1026"/>
      <c r="I81" s="1026"/>
      <c r="J81" s="769"/>
      <c r="K81" s="1027" t="s">
        <v>760</v>
      </c>
      <c r="L81" s="1027"/>
      <c r="M81" s="1027"/>
      <c r="N81" s="1027"/>
      <c r="O81" s="1027"/>
      <c r="P81" s="1027"/>
      <c r="Q81" s="1027"/>
      <c r="R81" s="1027"/>
      <c r="S81" s="1027"/>
      <c r="T81" s="1027"/>
      <c r="U81" s="1027"/>
      <c r="V81" s="16"/>
      <c r="W81" s="1"/>
    </row>
    <row r="82" spans="1:29">
      <c r="A82" s="736"/>
      <c r="B82" s="16"/>
      <c r="C82" s="1" t="s">
        <v>752</v>
      </c>
      <c r="D82" s="769"/>
      <c r="E82" s="769"/>
      <c r="F82" s="769"/>
      <c r="G82" s="769"/>
      <c r="H82" s="769"/>
      <c r="I82" s="769"/>
      <c r="J82" s="769"/>
      <c r="K82" s="1027"/>
      <c r="L82" s="1027"/>
      <c r="M82" s="1027"/>
      <c r="N82" s="1027"/>
      <c r="O82" s="1027"/>
      <c r="P82" s="1027"/>
      <c r="Q82" s="1027"/>
      <c r="R82" s="1027"/>
      <c r="S82" s="1027"/>
      <c r="T82" s="1027"/>
      <c r="U82" s="1027"/>
      <c r="V82" s="16"/>
      <c r="W82" s="1"/>
    </row>
    <row r="83" spans="1:29">
      <c r="A83" s="736"/>
      <c r="B83" s="16"/>
      <c r="C83" s="997" t="s">
        <v>1064</v>
      </c>
      <c r="D83" s="997"/>
      <c r="E83" s="997"/>
      <c r="F83" s="997"/>
      <c r="G83" s="997"/>
      <c r="H83" s="302"/>
      <c r="I83" s="769"/>
      <c r="J83" s="769"/>
      <c r="K83" s="594"/>
      <c r="L83" s="594"/>
      <c r="N83" s="594"/>
      <c r="O83" s="594"/>
      <c r="P83" s="594"/>
      <c r="Q83" s="16" t="s">
        <v>753</v>
      </c>
      <c r="R83" s="594"/>
      <c r="S83" s="16" t="s">
        <v>521</v>
      </c>
      <c r="T83" s="594"/>
      <c r="U83" s="594"/>
      <c r="V83" s="16"/>
      <c r="W83" s="1"/>
    </row>
    <row r="84" spans="1:29">
      <c r="A84" s="736"/>
      <c r="B84" s="16"/>
      <c r="K84" s="1"/>
      <c r="O84" s="16"/>
      <c r="Q84" s="16" t="s">
        <v>754</v>
      </c>
      <c r="S84" s="3">
        <v>10</v>
      </c>
      <c r="T84" s="16"/>
      <c r="U84" s="624"/>
      <c r="V84" s="16"/>
      <c r="W84" s="1"/>
    </row>
    <row r="85" spans="1:29">
      <c r="A85" s="736"/>
      <c r="B85" s="16"/>
      <c r="K85" s="1"/>
      <c r="O85" s="1"/>
      <c r="Q85" s="16" t="s">
        <v>755</v>
      </c>
      <c r="S85" s="3">
        <v>35</v>
      </c>
      <c r="T85" s="16"/>
      <c r="U85" s="16"/>
      <c r="V85" s="16"/>
      <c r="W85" s="1"/>
    </row>
    <row r="86" spans="1:29">
      <c r="K86" s="769"/>
      <c r="L86" s="769"/>
      <c r="M86" s="769"/>
      <c r="N86" s="769"/>
      <c r="O86" s="769"/>
      <c r="P86" s="769"/>
      <c r="Q86" s="769"/>
      <c r="R86" s="769"/>
      <c r="S86" s="769"/>
      <c r="T86" s="769"/>
      <c r="U86" s="769"/>
      <c r="W86" s="1"/>
    </row>
    <row r="87" spans="1:29">
      <c r="A87" s="736"/>
      <c r="B87" s="16"/>
      <c r="K87" s="769"/>
      <c r="L87" s="769"/>
      <c r="M87" s="769"/>
      <c r="N87" s="769"/>
      <c r="O87" s="769"/>
      <c r="P87" s="769"/>
      <c r="Q87" s="769"/>
      <c r="R87" s="769"/>
      <c r="S87" s="769"/>
      <c r="T87" s="769"/>
      <c r="U87" s="769"/>
      <c r="V87" s="16"/>
      <c r="W87" s="1"/>
    </row>
    <row r="88" spans="1:29">
      <c r="I88" s="570"/>
      <c r="K88" s="594"/>
      <c r="L88" s="594"/>
      <c r="M88" s="594"/>
      <c r="N88" s="594"/>
      <c r="O88" s="594"/>
      <c r="P88" s="594"/>
      <c r="Q88" s="594"/>
      <c r="R88" s="594"/>
      <c r="S88" s="594"/>
      <c r="T88" s="594"/>
      <c r="U88" s="594"/>
      <c r="W88" s="1"/>
    </row>
    <row r="89" spans="1:29">
      <c r="I89" s="727"/>
      <c r="K89" s="594"/>
      <c r="L89" s="594"/>
      <c r="M89" s="594"/>
      <c r="N89" s="594"/>
      <c r="O89" s="594"/>
      <c r="P89" s="594"/>
      <c r="Q89" s="594"/>
      <c r="R89" s="594"/>
      <c r="S89" s="594"/>
      <c r="T89" s="594"/>
      <c r="U89" s="594"/>
      <c r="V89" s="16"/>
      <c r="W89" s="1"/>
      <c r="X89" s="16"/>
      <c r="Y89" s="16"/>
      <c r="Z89" s="16"/>
      <c r="AA89" s="578"/>
      <c r="AB89" s="578"/>
      <c r="AC89" s="578"/>
    </row>
    <row r="90" spans="1:29">
      <c r="C90" s="524"/>
      <c r="I90" s="693"/>
      <c r="K90" s="727"/>
      <c r="M90" s="727"/>
      <c r="O90" s="733"/>
      <c r="Q90" s="693"/>
      <c r="T90" s="16"/>
      <c r="U90" s="722"/>
      <c r="W90" s="1"/>
      <c r="AA90" s="693"/>
    </row>
    <row r="91" spans="1:29">
      <c r="C91" s="524"/>
      <c r="I91" s="693"/>
      <c r="K91" s="727"/>
      <c r="M91" s="727"/>
      <c r="O91" s="727"/>
      <c r="Q91" s="733"/>
      <c r="U91" s="559"/>
      <c r="W91" s="693"/>
      <c r="AA91" s="693"/>
    </row>
    <row r="92" spans="1:29">
      <c r="C92" s="524"/>
      <c r="I92" s="693"/>
      <c r="K92" s="727"/>
      <c r="M92" s="842"/>
      <c r="N92" s="842"/>
      <c r="O92" s="842"/>
      <c r="P92" s="842"/>
      <c r="Q92" s="842"/>
      <c r="R92" s="842"/>
      <c r="S92" s="842"/>
      <c r="U92" s="727"/>
      <c r="W92" s="727"/>
      <c r="AA92" s="693"/>
    </row>
    <row r="93" spans="1:29">
      <c r="C93" s="524"/>
      <c r="K93" s="727"/>
      <c r="M93" s="842"/>
      <c r="N93" s="842"/>
      <c r="O93" s="842"/>
      <c r="P93" s="842"/>
      <c r="Q93" s="842"/>
      <c r="R93" s="842"/>
      <c r="S93" s="842"/>
      <c r="U93" s="727"/>
      <c r="W93" s="727"/>
    </row>
    <row r="94" spans="1:29">
      <c r="C94" s="524"/>
      <c r="K94" s="559"/>
      <c r="M94" s="842"/>
      <c r="N94" s="842"/>
      <c r="O94" s="842"/>
      <c r="P94" s="842"/>
      <c r="Q94" s="842"/>
      <c r="R94" s="842"/>
      <c r="S94" s="842"/>
      <c r="U94" s="727"/>
      <c r="W94" s="727"/>
    </row>
    <row r="95" spans="1:29">
      <c r="C95" s="524"/>
      <c r="K95" s="559"/>
      <c r="M95" s="842"/>
      <c r="N95" s="842"/>
      <c r="O95" s="842"/>
      <c r="P95" s="842"/>
      <c r="Q95" s="842"/>
      <c r="R95" s="842"/>
      <c r="S95" s="842"/>
      <c r="U95" s="727"/>
    </row>
    <row r="96" spans="1:29">
      <c r="C96" s="524"/>
      <c r="M96" s="842"/>
      <c r="N96" s="842"/>
      <c r="O96" s="842"/>
      <c r="P96" s="842"/>
      <c r="Q96" s="842"/>
      <c r="R96" s="842"/>
      <c r="S96" s="842"/>
    </row>
    <row r="97" spans="13:19">
      <c r="M97" s="842"/>
      <c r="N97" s="842"/>
      <c r="O97" s="842"/>
      <c r="P97" s="842"/>
      <c r="Q97" s="842"/>
      <c r="R97" s="842"/>
      <c r="S97" s="842"/>
    </row>
    <row r="98" spans="13:19">
      <c r="M98" s="842"/>
      <c r="N98" s="842"/>
      <c r="O98" s="842"/>
      <c r="P98" s="842"/>
      <c r="Q98" s="842"/>
      <c r="R98" s="842"/>
      <c r="S98" s="842"/>
    </row>
    <row r="99" spans="13:19">
      <c r="M99" s="842"/>
      <c r="N99" s="842"/>
      <c r="O99" s="842"/>
      <c r="P99" s="842"/>
      <c r="Q99" s="842"/>
      <c r="R99" s="842"/>
      <c r="S99" s="842"/>
    </row>
    <row r="100" spans="13:19">
      <c r="M100" s="842"/>
      <c r="N100" s="842"/>
      <c r="O100" s="842"/>
      <c r="P100" s="842"/>
      <c r="Q100" s="842"/>
      <c r="R100" s="842"/>
      <c r="S100" s="842"/>
    </row>
    <row r="101" spans="13:19">
      <c r="M101" s="842"/>
      <c r="N101" s="842"/>
      <c r="O101" s="842"/>
      <c r="P101" s="842"/>
      <c r="Q101" s="842"/>
      <c r="R101" s="842"/>
      <c r="S101" s="842"/>
    </row>
    <row r="102" spans="13:19" ht="15.75" customHeight="1"/>
    <row r="104" spans="13:19" ht="30" customHeight="1"/>
    <row r="108" spans="13:19" ht="15.75" customHeight="1"/>
    <row r="110" spans="13:19" ht="15.75" customHeight="1"/>
    <row r="111" spans="13:19" ht="15" customHeight="1"/>
    <row r="112" spans="13:19" ht="15" customHeight="1"/>
  </sheetData>
  <mergeCells count="5">
    <mergeCell ref="C83:G83"/>
    <mergeCell ref="E7:I7"/>
    <mergeCell ref="K7:M7"/>
    <mergeCell ref="C81:I81"/>
    <mergeCell ref="K81:U82"/>
  </mergeCells>
  <phoneticPr fontId="114" type="noConversion"/>
  <conditionalFormatting sqref="W67">
    <cfRule type="expression" dxfId="1" priority="2">
      <formula>$Q67="ARAM"=TRUE</formula>
    </cfRule>
  </conditionalFormatting>
  <conditionalFormatting sqref="Y12:Y13 U12:U30 U34:U35 U39:U47">
    <cfRule type="expression" dxfId="0" priority="18">
      <formula>$Q12="ARAM"=TRUE</formula>
    </cfRule>
  </conditionalFormatting>
  <dataValidations count="2">
    <dataValidation type="list" allowBlank="1" showInputMessage="1" showErrorMessage="1" sqref="K67 K63 K59 K39:K47 K34:K35 K12:K30" xr:uid="{00000000-0002-0000-1600-000000000000}">
      <formula1>"Protected, Non-protected"</formula1>
    </dataValidation>
    <dataValidation type="list" allowBlank="1" showInputMessage="1" showErrorMessage="1" sqref="M67 M63 M59 M39:M47 M34:M35 M12:M30" xr:uid="{00000000-0002-0000-1600-000001000000}">
      <formula1>"Property, Non-Property"</formula1>
    </dataValidation>
  </dataValidations>
  <pageMargins left="0.25" right="0.25" top="0.75" bottom="0.75" header="0.3" footer="0.3"/>
  <pageSetup scale="34" orientation="landscape"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pageSetUpPr fitToPage="1"/>
  </sheetPr>
  <dimension ref="A1:I24"/>
  <sheetViews>
    <sheetView workbookViewId="0">
      <selection activeCell="B2" sqref="B2"/>
    </sheetView>
  </sheetViews>
  <sheetFormatPr defaultColWidth="8.7265625" defaultRowHeight="15"/>
  <cols>
    <col min="1" max="1" width="4.7265625" customWidth="1"/>
    <col min="2" max="2" width="26.7265625" customWidth="1"/>
    <col min="3" max="3" width="26.08984375" customWidth="1"/>
    <col min="5" max="5" width="12.81640625" bestFit="1" customWidth="1"/>
    <col min="6" max="6" width="16.7265625" bestFit="1" customWidth="1"/>
    <col min="8" max="8" width="16.26953125" bestFit="1" customWidth="1"/>
    <col min="9" max="9" width="13.7265625" customWidth="1"/>
  </cols>
  <sheetData>
    <row r="1" spans="1:9" ht="15.6">
      <c r="D1" s="1028"/>
      <c r="E1" s="1028"/>
      <c r="F1" s="1028"/>
      <c r="G1" s="1028"/>
      <c r="I1" s="856" t="s">
        <v>849</v>
      </c>
    </row>
    <row r="2" spans="1:9" ht="15.6">
      <c r="I2" s="856" t="s">
        <v>144</v>
      </c>
    </row>
    <row r="3" spans="1:9" ht="15.6">
      <c r="I3" s="3" t="str">
        <f>'Att. 15a - TCJA DDIT and EDIT'!Y3</f>
        <v>For the 12 months ended 12/31/2023</v>
      </c>
    </row>
    <row r="4" spans="1:9">
      <c r="D4" t="s">
        <v>850</v>
      </c>
    </row>
    <row r="5" spans="1:9" ht="15.6">
      <c r="A5" s="40"/>
      <c r="B5" s="857" t="s">
        <v>392</v>
      </c>
      <c r="C5" s="857" t="s">
        <v>393</v>
      </c>
      <c r="D5" s="857" t="s">
        <v>394</v>
      </c>
      <c r="E5" s="857" t="s">
        <v>395</v>
      </c>
      <c r="F5" s="858" t="s">
        <v>396</v>
      </c>
      <c r="G5" s="858" t="s">
        <v>397</v>
      </c>
      <c r="H5" s="858" t="s">
        <v>398</v>
      </c>
    </row>
    <row r="6" spans="1:9" ht="66">
      <c r="A6" s="859">
        <v>1</v>
      </c>
      <c r="B6" s="860" t="s">
        <v>851</v>
      </c>
      <c r="C6" s="861" t="s">
        <v>232</v>
      </c>
      <c r="D6" s="862" t="s">
        <v>852</v>
      </c>
      <c r="E6" s="863" t="s">
        <v>853</v>
      </c>
      <c r="F6" s="864" t="s">
        <v>854</v>
      </c>
      <c r="G6" s="864" t="s">
        <v>855</v>
      </c>
      <c r="H6" s="865" t="s">
        <v>856</v>
      </c>
    </row>
    <row r="7" spans="1:9">
      <c r="A7" s="859">
        <f t="shared" ref="A7:A20" si="0">A6+1</f>
        <v>2</v>
      </c>
      <c r="B7" s="866" t="s">
        <v>1152</v>
      </c>
      <c r="C7" s="861" t="s">
        <v>857</v>
      </c>
      <c r="D7" s="867">
        <v>0</v>
      </c>
      <c r="E7" s="868"/>
      <c r="F7" s="869"/>
      <c r="G7" s="869"/>
      <c r="H7" s="869">
        <v>0</v>
      </c>
    </row>
    <row r="8" spans="1:9">
      <c r="A8" s="859">
        <f t="shared" si="0"/>
        <v>3</v>
      </c>
      <c r="B8" s="870" t="s">
        <v>858</v>
      </c>
      <c r="C8" s="861" t="s">
        <v>859</v>
      </c>
      <c r="D8" s="871">
        <f>D7-1</f>
        <v>-1</v>
      </c>
      <c r="E8" s="872">
        <f>H7</f>
        <v>0</v>
      </c>
      <c r="F8" s="873">
        <f>E8/D8</f>
        <v>0</v>
      </c>
      <c r="G8" s="873">
        <v>0</v>
      </c>
      <c r="H8" s="873">
        <f t="shared" ref="H8:H19" si="1">E8-F8+G8</f>
        <v>0</v>
      </c>
    </row>
    <row r="9" spans="1:9">
      <c r="A9" s="859">
        <f t="shared" si="0"/>
        <v>4</v>
      </c>
      <c r="B9" s="870" t="s">
        <v>159</v>
      </c>
      <c r="C9" s="861" t="s">
        <v>859</v>
      </c>
      <c r="D9" s="871">
        <f t="shared" ref="D9:D19" si="2">D8-1</f>
        <v>-2</v>
      </c>
      <c r="E9" s="872">
        <f t="shared" ref="E9:E19" si="3">H8</f>
        <v>0</v>
      </c>
      <c r="F9" s="873">
        <f t="shared" ref="F9:F19" si="4">E9/D9</f>
        <v>0</v>
      </c>
      <c r="G9" s="873">
        <v>0</v>
      </c>
      <c r="H9" s="873">
        <f t="shared" si="1"/>
        <v>0</v>
      </c>
    </row>
    <row r="10" spans="1:9">
      <c r="A10" s="859">
        <f t="shared" si="0"/>
        <v>5</v>
      </c>
      <c r="B10" s="870" t="s">
        <v>160</v>
      </c>
      <c r="C10" s="861" t="s">
        <v>859</v>
      </c>
      <c r="D10" s="871">
        <f t="shared" si="2"/>
        <v>-3</v>
      </c>
      <c r="E10" s="872">
        <f t="shared" si="3"/>
        <v>0</v>
      </c>
      <c r="F10" s="873">
        <f t="shared" si="4"/>
        <v>0</v>
      </c>
      <c r="G10" s="873">
        <v>0</v>
      </c>
      <c r="H10" s="873">
        <f t="shared" si="1"/>
        <v>0</v>
      </c>
    </row>
    <row r="11" spans="1:9">
      <c r="A11" s="859">
        <f t="shared" si="0"/>
        <v>6</v>
      </c>
      <c r="B11" s="870" t="s">
        <v>161</v>
      </c>
      <c r="C11" s="861" t="s">
        <v>859</v>
      </c>
      <c r="D11" s="871">
        <f t="shared" si="2"/>
        <v>-4</v>
      </c>
      <c r="E11" s="872">
        <f t="shared" si="3"/>
        <v>0</v>
      </c>
      <c r="F11" s="873">
        <f t="shared" si="4"/>
        <v>0</v>
      </c>
      <c r="G11" s="873">
        <v>0</v>
      </c>
      <c r="H11" s="873">
        <f t="shared" si="1"/>
        <v>0</v>
      </c>
    </row>
    <row r="12" spans="1:9">
      <c r="A12" s="859">
        <f t="shared" si="0"/>
        <v>7</v>
      </c>
      <c r="B12" s="870" t="s">
        <v>162</v>
      </c>
      <c r="C12" s="861" t="s">
        <v>859</v>
      </c>
      <c r="D12" s="871">
        <f t="shared" si="2"/>
        <v>-5</v>
      </c>
      <c r="E12" s="872">
        <f t="shared" si="3"/>
        <v>0</v>
      </c>
      <c r="F12" s="873">
        <f t="shared" si="4"/>
        <v>0</v>
      </c>
      <c r="G12" s="873">
        <v>0</v>
      </c>
      <c r="H12" s="873">
        <f t="shared" si="1"/>
        <v>0</v>
      </c>
    </row>
    <row r="13" spans="1:9">
      <c r="A13" s="859">
        <f t="shared" si="0"/>
        <v>8</v>
      </c>
      <c r="B13" s="870" t="s">
        <v>860</v>
      </c>
      <c r="C13" s="861" t="s">
        <v>859</v>
      </c>
      <c r="D13" s="871">
        <f t="shared" si="2"/>
        <v>-6</v>
      </c>
      <c r="E13" s="872">
        <f t="shared" si="3"/>
        <v>0</v>
      </c>
      <c r="F13" s="873">
        <f t="shared" si="4"/>
        <v>0</v>
      </c>
      <c r="G13" s="873">
        <v>0</v>
      </c>
      <c r="H13" s="873">
        <f t="shared" si="1"/>
        <v>0</v>
      </c>
    </row>
    <row r="14" spans="1:9">
      <c r="A14" s="859">
        <f t="shared" si="0"/>
        <v>9</v>
      </c>
      <c r="B14" s="870" t="s">
        <v>163</v>
      </c>
      <c r="C14" s="861" t="s">
        <v>859</v>
      </c>
      <c r="D14" s="871">
        <f t="shared" si="2"/>
        <v>-7</v>
      </c>
      <c r="E14" s="872">
        <f t="shared" si="3"/>
        <v>0</v>
      </c>
      <c r="F14" s="873">
        <f t="shared" si="4"/>
        <v>0</v>
      </c>
      <c r="G14" s="873">
        <v>0</v>
      </c>
      <c r="H14" s="873">
        <f t="shared" si="1"/>
        <v>0</v>
      </c>
    </row>
    <row r="15" spans="1:9">
      <c r="A15" s="859">
        <f t="shared" si="0"/>
        <v>10</v>
      </c>
      <c r="B15" s="870" t="s">
        <v>164</v>
      </c>
      <c r="C15" s="861" t="s">
        <v>859</v>
      </c>
      <c r="D15" s="871">
        <f t="shared" si="2"/>
        <v>-8</v>
      </c>
      <c r="E15" s="872">
        <f t="shared" si="3"/>
        <v>0</v>
      </c>
      <c r="F15" s="873">
        <f t="shared" si="4"/>
        <v>0</v>
      </c>
      <c r="G15" s="873">
        <v>0</v>
      </c>
      <c r="H15" s="873">
        <f t="shared" si="1"/>
        <v>0</v>
      </c>
    </row>
    <row r="16" spans="1:9">
      <c r="A16" s="859">
        <f t="shared" si="0"/>
        <v>11</v>
      </c>
      <c r="B16" s="870" t="s">
        <v>165</v>
      </c>
      <c r="C16" s="861" t="s">
        <v>859</v>
      </c>
      <c r="D16" s="871">
        <f t="shared" si="2"/>
        <v>-9</v>
      </c>
      <c r="E16" s="872">
        <f t="shared" si="3"/>
        <v>0</v>
      </c>
      <c r="F16" s="873">
        <f t="shared" si="4"/>
        <v>0</v>
      </c>
      <c r="G16" s="873">
        <v>0</v>
      </c>
      <c r="H16" s="873">
        <f t="shared" si="1"/>
        <v>0</v>
      </c>
    </row>
    <row r="17" spans="1:9">
      <c r="A17" s="859">
        <f t="shared" si="0"/>
        <v>12</v>
      </c>
      <c r="B17" s="870" t="s">
        <v>861</v>
      </c>
      <c r="C17" s="861" t="s">
        <v>859</v>
      </c>
      <c r="D17" s="871">
        <f t="shared" si="2"/>
        <v>-10</v>
      </c>
      <c r="E17" s="872">
        <f t="shared" si="3"/>
        <v>0</v>
      </c>
      <c r="F17" s="873">
        <f t="shared" si="4"/>
        <v>0</v>
      </c>
      <c r="G17" s="873">
        <v>0</v>
      </c>
      <c r="H17" s="873">
        <f t="shared" si="1"/>
        <v>0</v>
      </c>
    </row>
    <row r="18" spans="1:9">
      <c r="A18" s="859">
        <f t="shared" si="0"/>
        <v>13</v>
      </c>
      <c r="B18" s="870" t="s">
        <v>166</v>
      </c>
      <c r="C18" s="861" t="s">
        <v>859</v>
      </c>
      <c r="D18" s="871">
        <f t="shared" si="2"/>
        <v>-11</v>
      </c>
      <c r="E18" s="872">
        <f t="shared" si="3"/>
        <v>0</v>
      </c>
      <c r="F18" s="873">
        <f t="shared" si="4"/>
        <v>0</v>
      </c>
      <c r="G18" s="873">
        <v>0</v>
      </c>
      <c r="H18" s="873">
        <f t="shared" si="1"/>
        <v>0</v>
      </c>
    </row>
    <row r="19" spans="1:9" ht="34.5" customHeight="1">
      <c r="A19" s="859">
        <f t="shared" si="0"/>
        <v>14</v>
      </c>
      <c r="B19" s="866" t="s">
        <v>1158</v>
      </c>
      <c r="C19" s="874" t="s">
        <v>862</v>
      </c>
      <c r="D19" s="871">
        <f t="shared" si="2"/>
        <v>-12</v>
      </c>
      <c r="E19" s="872">
        <f t="shared" si="3"/>
        <v>0</v>
      </c>
      <c r="F19" s="875">
        <f t="shared" si="4"/>
        <v>0</v>
      </c>
      <c r="G19" s="873">
        <v>0</v>
      </c>
      <c r="H19" s="875">
        <f t="shared" si="1"/>
        <v>0</v>
      </c>
    </row>
    <row r="20" spans="1:9" ht="15.6" thickBot="1">
      <c r="A20" s="859">
        <f t="shared" si="0"/>
        <v>15</v>
      </c>
      <c r="B20" s="876" t="s">
        <v>863</v>
      </c>
      <c r="C20" s="861" t="str">
        <f>"(sum lines "&amp;A7&amp;"-"&amp;A19&amp;") /13"</f>
        <v>(sum lines 2-14) /13</v>
      </c>
      <c r="D20" s="913"/>
      <c r="E20" s="913"/>
      <c r="F20" s="914">
        <f>SUM(F7:F19)</f>
        <v>0</v>
      </c>
      <c r="G20" s="873"/>
      <c r="H20" s="914">
        <f>SUM(H7:H19)/13</f>
        <v>0</v>
      </c>
    </row>
    <row r="21" spans="1:9" ht="15.6" thickTop="1">
      <c r="A21" s="859"/>
      <c r="B21" s="876"/>
      <c r="C21" s="861"/>
      <c r="D21" s="913"/>
      <c r="E21" s="913"/>
      <c r="F21" s="915" t="s">
        <v>870</v>
      </c>
      <c r="G21" s="873"/>
      <c r="H21" s="916" t="s">
        <v>872</v>
      </c>
    </row>
    <row r="23" spans="1:9">
      <c r="A23" s="145" t="s">
        <v>114</v>
      </c>
    </row>
    <row r="24" spans="1:9" ht="15.6">
      <c r="A24" s="877"/>
      <c r="B24" s="1029" t="s">
        <v>864</v>
      </c>
      <c r="C24" s="1029"/>
      <c r="D24" s="1029"/>
      <c r="E24" s="1029"/>
      <c r="F24" s="1029"/>
      <c r="G24" s="1029"/>
      <c r="H24" s="1029"/>
      <c r="I24" s="1029"/>
    </row>
  </sheetData>
  <mergeCells count="2">
    <mergeCell ref="D1:G1"/>
    <mergeCell ref="B24:I24"/>
  </mergeCells>
  <pageMargins left="0.7" right="0.7" top="0.75" bottom="0.75" header="0.3" footer="0.3"/>
  <pageSetup scale="7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pageSetUpPr fitToPage="1"/>
  </sheetPr>
  <dimension ref="A1:AU37"/>
  <sheetViews>
    <sheetView zoomScale="80" zoomScaleNormal="80" zoomScalePageLayoutView="60" workbookViewId="0">
      <selection activeCell="A2" sqref="A2"/>
    </sheetView>
  </sheetViews>
  <sheetFormatPr defaultColWidth="5" defaultRowHeight="15.6"/>
  <cols>
    <col min="1" max="1" width="5.26953125" style="601" bestFit="1" customWidth="1"/>
    <col min="2" max="2" width="2.08984375" style="600" bestFit="1" customWidth="1"/>
    <col min="3" max="3" width="13.7265625" style="600" customWidth="1"/>
    <col min="4" max="4" width="2.08984375" style="600" bestFit="1" customWidth="1"/>
    <col min="5" max="5" width="35" style="602" customWidth="1"/>
    <col min="6" max="6" width="2.08984375" style="600" bestFit="1" customWidth="1"/>
    <col min="7" max="7" width="12.7265625" style="621" bestFit="1" customWidth="1"/>
    <col min="8" max="8" width="2.08984375" style="600" bestFit="1" customWidth="1"/>
    <col min="9" max="9" width="10.7265625" style="621" bestFit="1" customWidth="1"/>
    <col min="10" max="10" width="2.08984375" style="600" bestFit="1" customWidth="1"/>
    <col min="11" max="11" width="10.7265625" style="621" bestFit="1" customWidth="1"/>
    <col min="12" max="12" width="2.08984375" style="600" bestFit="1" customWidth="1"/>
    <col min="13" max="13" width="10.7265625" style="621" bestFit="1" customWidth="1"/>
    <col min="14" max="14" width="2.08984375" style="600" bestFit="1" customWidth="1"/>
    <col min="15" max="15" width="10.7265625" style="602" customWidth="1"/>
    <col min="16" max="16" width="2.08984375" style="600" bestFit="1" customWidth="1"/>
    <col min="17" max="17" width="10.7265625" style="602" customWidth="1"/>
    <col min="18" max="18" width="2.08984375" style="600" bestFit="1" customWidth="1"/>
    <col min="19" max="19" width="10.7265625" style="602" customWidth="1"/>
    <col min="20" max="20" width="2.08984375" style="600" bestFit="1" customWidth="1"/>
    <col min="21" max="21" width="10.7265625" style="602" customWidth="1"/>
    <col min="22" max="22" width="2.08984375" style="600" bestFit="1" customWidth="1"/>
    <col min="23" max="23" width="10.7265625" style="602" customWidth="1"/>
    <col min="24" max="24" width="2.08984375" style="600" bestFit="1" customWidth="1"/>
    <col min="25" max="25" width="10.7265625" style="602" customWidth="1"/>
    <col min="26" max="26" width="2.08984375" style="600" bestFit="1" customWidth="1"/>
    <col min="27" max="27" width="10.7265625" style="602" customWidth="1"/>
    <col min="28" max="28" width="2.08984375" style="600" bestFit="1" customWidth="1"/>
    <col min="29" max="29" width="10.7265625" style="602" customWidth="1"/>
    <col min="30" max="30" width="2.08984375" style="600" bestFit="1" customWidth="1"/>
    <col min="31" max="31" width="10.7265625" style="602" customWidth="1"/>
    <col min="32" max="32" width="2.08984375" style="600" bestFit="1" customWidth="1"/>
    <col min="33" max="33" width="10.7265625" style="602" customWidth="1"/>
    <col min="34" max="34" width="2.08984375" style="600" bestFit="1" customWidth="1"/>
    <col min="35" max="35" width="10.7265625" style="602" customWidth="1"/>
    <col min="36" max="36" width="2.08984375" style="600" bestFit="1" customWidth="1"/>
    <col min="37" max="37" width="10.7265625" style="602" customWidth="1"/>
    <col min="38" max="38" width="2.08984375" style="600" bestFit="1" customWidth="1"/>
    <col min="39" max="39" width="10.7265625" style="601" customWidth="1"/>
    <col min="40" max="40" width="2.08984375" style="600" bestFit="1" customWidth="1"/>
    <col min="41" max="41" width="10.7265625" style="601" customWidth="1"/>
    <col min="42" max="42" width="2.08984375" style="600" bestFit="1" customWidth="1"/>
    <col min="43" max="44" width="8.26953125" style="601" customWidth="1"/>
    <col min="45" max="45" width="2.08984375" style="600" bestFit="1" customWidth="1"/>
    <col min="46" max="46" width="10.7265625" style="600" customWidth="1"/>
    <col min="47" max="47" width="0.54296875" style="600" customWidth="1"/>
    <col min="48" max="261" width="5" style="600"/>
    <col min="262" max="262" width="4.7265625" style="600" customWidth="1"/>
    <col min="263" max="263" width="2" style="600" customWidth="1"/>
    <col min="264" max="264" width="40.7265625" style="600" customWidth="1"/>
    <col min="265" max="265" width="3.54296875" style="600" customWidth="1"/>
    <col min="266" max="266" width="11.08984375" style="600" customWidth="1"/>
    <col min="267" max="267" width="2.7265625" style="600" customWidth="1"/>
    <col min="268" max="268" width="11.26953125" style="600" customWidth="1"/>
    <col min="269" max="269" width="2.7265625" style="600" customWidth="1"/>
    <col min="270" max="270" width="11.26953125" style="600" customWidth="1"/>
    <col min="271" max="271" width="2.7265625" style="600" customWidth="1"/>
    <col min="272" max="272" width="19.08984375" style="600" bestFit="1" customWidth="1"/>
    <col min="273" max="273" width="1.81640625" style="600" customWidth="1"/>
    <col min="274" max="274" width="6.7265625" style="600" customWidth="1"/>
    <col min="275" max="275" width="14.7265625" style="600" customWidth="1"/>
    <col min="276" max="276" width="9" style="600" bestFit="1" customWidth="1"/>
    <col min="277" max="517" width="5" style="600"/>
    <col min="518" max="518" width="4.7265625" style="600" customWidth="1"/>
    <col min="519" max="519" width="2" style="600" customWidth="1"/>
    <col min="520" max="520" width="40.7265625" style="600" customWidth="1"/>
    <col min="521" max="521" width="3.54296875" style="600" customWidth="1"/>
    <col min="522" max="522" width="11.08984375" style="600" customWidth="1"/>
    <col min="523" max="523" width="2.7265625" style="600" customWidth="1"/>
    <col min="524" max="524" width="11.26953125" style="600" customWidth="1"/>
    <col min="525" max="525" width="2.7265625" style="600" customWidth="1"/>
    <col min="526" max="526" width="11.26953125" style="600" customWidth="1"/>
    <col min="527" max="527" width="2.7265625" style="600" customWidth="1"/>
    <col min="528" max="528" width="19.08984375" style="600" bestFit="1" customWidth="1"/>
    <col min="529" max="529" width="1.81640625" style="600" customWidth="1"/>
    <col min="530" max="530" width="6.7265625" style="600" customWidth="1"/>
    <col min="531" max="531" width="14.7265625" style="600" customWidth="1"/>
    <col min="532" max="532" width="9" style="600" bestFit="1" customWidth="1"/>
    <col min="533" max="773" width="5" style="600"/>
    <col min="774" max="774" width="4.7265625" style="600" customWidth="1"/>
    <col min="775" max="775" width="2" style="600" customWidth="1"/>
    <col min="776" max="776" width="40.7265625" style="600" customWidth="1"/>
    <col min="777" max="777" width="3.54296875" style="600" customWidth="1"/>
    <col min="778" max="778" width="11.08984375" style="600" customWidth="1"/>
    <col min="779" max="779" width="2.7265625" style="600" customWidth="1"/>
    <col min="780" max="780" width="11.26953125" style="600" customWidth="1"/>
    <col min="781" max="781" width="2.7265625" style="600" customWidth="1"/>
    <col min="782" max="782" width="11.26953125" style="600" customWidth="1"/>
    <col min="783" max="783" width="2.7265625" style="600" customWidth="1"/>
    <col min="784" max="784" width="19.08984375" style="600" bestFit="1" customWidth="1"/>
    <col min="785" max="785" width="1.81640625" style="600" customWidth="1"/>
    <col min="786" max="786" width="6.7265625" style="600" customWidth="1"/>
    <col min="787" max="787" width="14.7265625" style="600" customWidth="1"/>
    <col min="788" max="788" width="9" style="600" bestFit="1" customWidth="1"/>
    <col min="789" max="1029" width="5" style="600"/>
    <col min="1030" max="1030" width="4.7265625" style="600" customWidth="1"/>
    <col min="1031" max="1031" width="2" style="600" customWidth="1"/>
    <col min="1032" max="1032" width="40.7265625" style="600" customWidth="1"/>
    <col min="1033" max="1033" width="3.54296875" style="600" customWidth="1"/>
    <col min="1034" max="1034" width="11.08984375" style="600" customWidth="1"/>
    <col min="1035" max="1035" width="2.7265625" style="600" customWidth="1"/>
    <col min="1036" max="1036" width="11.26953125" style="600" customWidth="1"/>
    <col min="1037" max="1037" width="2.7265625" style="600" customWidth="1"/>
    <col min="1038" max="1038" width="11.26953125" style="600" customWidth="1"/>
    <col min="1039" max="1039" width="2.7265625" style="600" customWidth="1"/>
    <col min="1040" max="1040" width="19.08984375" style="600" bestFit="1" customWidth="1"/>
    <col min="1041" max="1041" width="1.81640625" style="600" customWidth="1"/>
    <col min="1042" max="1042" width="6.7265625" style="600" customWidth="1"/>
    <col min="1043" max="1043" width="14.7265625" style="600" customWidth="1"/>
    <col min="1044" max="1044" width="9" style="600" bestFit="1" customWidth="1"/>
    <col min="1045" max="1285" width="5" style="600"/>
    <col min="1286" max="1286" width="4.7265625" style="600" customWidth="1"/>
    <col min="1287" max="1287" width="2" style="600" customWidth="1"/>
    <col min="1288" max="1288" width="40.7265625" style="600" customWidth="1"/>
    <col min="1289" max="1289" width="3.54296875" style="600" customWidth="1"/>
    <col min="1290" max="1290" width="11.08984375" style="600" customWidth="1"/>
    <col min="1291" max="1291" width="2.7265625" style="600" customWidth="1"/>
    <col min="1292" max="1292" width="11.26953125" style="600" customWidth="1"/>
    <col min="1293" max="1293" width="2.7265625" style="600" customWidth="1"/>
    <col min="1294" max="1294" width="11.26953125" style="600" customWidth="1"/>
    <col min="1295" max="1295" width="2.7265625" style="600" customWidth="1"/>
    <col min="1296" max="1296" width="19.08984375" style="600" bestFit="1" customWidth="1"/>
    <col min="1297" max="1297" width="1.81640625" style="600" customWidth="1"/>
    <col min="1298" max="1298" width="6.7265625" style="600" customWidth="1"/>
    <col min="1299" max="1299" width="14.7265625" style="600" customWidth="1"/>
    <col min="1300" max="1300" width="9" style="600" bestFit="1" customWidth="1"/>
    <col min="1301" max="1541" width="5" style="600"/>
    <col min="1542" max="1542" width="4.7265625" style="600" customWidth="1"/>
    <col min="1543" max="1543" width="2" style="600" customWidth="1"/>
    <col min="1544" max="1544" width="40.7265625" style="600" customWidth="1"/>
    <col min="1545" max="1545" width="3.54296875" style="600" customWidth="1"/>
    <col min="1546" max="1546" width="11.08984375" style="600" customWidth="1"/>
    <col min="1547" max="1547" width="2.7265625" style="600" customWidth="1"/>
    <col min="1548" max="1548" width="11.26953125" style="600" customWidth="1"/>
    <col min="1549" max="1549" width="2.7265625" style="600" customWidth="1"/>
    <col min="1550" max="1550" width="11.26953125" style="600" customWidth="1"/>
    <col min="1551" max="1551" width="2.7265625" style="600" customWidth="1"/>
    <col min="1552" max="1552" width="19.08984375" style="600" bestFit="1" customWidth="1"/>
    <col min="1553" max="1553" width="1.81640625" style="600" customWidth="1"/>
    <col min="1554" max="1554" width="6.7265625" style="600" customWidth="1"/>
    <col min="1555" max="1555" width="14.7265625" style="600" customWidth="1"/>
    <col min="1556" max="1556" width="9" style="600" bestFit="1" customWidth="1"/>
    <col min="1557" max="1797" width="5" style="600"/>
    <col min="1798" max="1798" width="4.7265625" style="600" customWidth="1"/>
    <col min="1799" max="1799" width="2" style="600" customWidth="1"/>
    <col min="1800" max="1800" width="40.7265625" style="600" customWidth="1"/>
    <col min="1801" max="1801" width="3.54296875" style="600" customWidth="1"/>
    <col min="1802" max="1802" width="11.08984375" style="600" customWidth="1"/>
    <col min="1803" max="1803" width="2.7265625" style="600" customWidth="1"/>
    <col min="1804" max="1804" width="11.26953125" style="600" customWidth="1"/>
    <col min="1805" max="1805" width="2.7265625" style="600" customWidth="1"/>
    <col min="1806" max="1806" width="11.26953125" style="600" customWidth="1"/>
    <col min="1807" max="1807" width="2.7265625" style="600" customWidth="1"/>
    <col min="1808" max="1808" width="19.08984375" style="600" bestFit="1" customWidth="1"/>
    <col min="1809" max="1809" width="1.81640625" style="600" customWidth="1"/>
    <col min="1810" max="1810" width="6.7265625" style="600" customWidth="1"/>
    <col min="1811" max="1811" width="14.7265625" style="600" customWidth="1"/>
    <col min="1812" max="1812" width="9" style="600" bestFit="1" customWidth="1"/>
    <col min="1813" max="2053" width="5" style="600"/>
    <col min="2054" max="2054" width="4.7265625" style="600" customWidth="1"/>
    <col min="2055" max="2055" width="2" style="600" customWidth="1"/>
    <col min="2056" max="2056" width="40.7265625" style="600" customWidth="1"/>
    <col min="2057" max="2057" width="3.54296875" style="600" customWidth="1"/>
    <col min="2058" max="2058" width="11.08984375" style="600" customWidth="1"/>
    <col min="2059" max="2059" width="2.7265625" style="600" customWidth="1"/>
    <col min="2060" max="2060" width="11.26953125" style="600" customWidth="1"/>
    <col min="2061" max="2061" width="2.7265625" style="600" customWidth="1"/>
    <col min="2062" max="2062" width="11.26953125" style="600" customWidth="1"/>
    <col min="2063" max="2063" width="2.7265625" style="600" customWidth="1"/>
    <col min="2064" max="2064" width="19.08984375" style="600" bestFit="1" customWidth="1"/>
    <col min="2065" max="2065" width="1.81640625" style="600" customWidth="1"/>
    <col min="2066" max="2066" width="6.7265625" style="600" customWidth="1"/>
    <col min="2067" max="2067" width="14.7265625" style="600" customWidth="1"/>
    <col min="2068" max="2068" width="9" style="600" bestFit="1" customWidth="1"/>
    <col min="2069" max="2309" width="5" style="600"/>
    <col min="2310" max="2310" width="4.7265625" style="600" customWidth="1"/>
    <col min="2311" max="2311" width="2" style="600" customWidth="1"/>
    <col min="2312" max="2312" width="40.7265625" style="600" customWidth="1"/>
    <col min="2313" max="2313" width="3.54296875" style="600" customWidth="1"/>
    <col min="2314" max="2314" width="11.08984375" style="600" customWidth="1"/>
    <col min="2315" max="2315" width="2.7265625" style="600" customWidth="1"/>
    <col min="2316" max="2316" width="11.26953125" style="600" customWidth="1"/>
    <col min="2317" max="2317" width="2.7265625" style="600" customWidth="1"/>
    <col min="2318" max="2318" width="11.26953125" style="600" customWidth="1"/>
    <col min="2319" max="2319" width="2.7265625" style="600" customWidth="1"/>
    <col min="2320" max="2320" width="19.08984375" style="600" bestFit="1" customWidth="1"/>
    <col min="2321" max="2321" width="1.81640625" style="600" customWidth="1"/>
    <col min="2322" max="2322" width="6.7265625" style="600" customWidth="1"/>
    <col min="2323" max="2323" width="14.7265625" style="600" customWidth="1"/>
    <col min="2324" max="2324" width="9" style="600" bestFit="1" customWidth="1"/>
    <col min="2325" max="2565" width="5" style="600"/>
    <col min="2566" max="2566" width="4.7265625" style="600" customWidth="1"/>
    <col min="2567" max="2567" width="2" style="600" customWidth="1"/>
    <col min="2568" max="2568" width="40.7265625" style="600" customWidth="1"/>
    <col min="2569" max="2569" width="3.54296875" style="600" customWidth="1"/>
    <col min="2570" max="2570" width="11.08984375" style="600" customWidth="1"/>
    <col min="2571" max="2571" width="2.7265625" style="600" customWidth="1"/>
    <col min="2572" max="2572" width="11.26953125" style="600" customWidth="1"/>
    <col min="2573" max="2573" width="2.7265625" style="600" customWidth="1"/>
    <col min="2574" max="2574" width="11.26953125" style="600" customWidth="1"/>
    <col min="2575" max="2575" width="2.7265625" style="600" customWidth="1"/>
    <col min="2576" max="2576" width="19.08984375" style="600" bestFit="1" customWidth="1"/>
    <col min="2577" max="2577" width="1.81640625" style="600" customWidth="1"/>
    <col min="2578" max="2578" width="6.7265625" style="600" customWidth="1"/>
    <col min="2579" max="2579" width="14.7265625" style="600" customWidth="1"/>
    <col min="2580" max="2580" width="9" style="600" bestFit="1" customWidth="1"/>
    <col min="2581" max="2821" width="5" style="600"/>
    <col min="2822" max="2822" width="4.7265625" style="600" customWidth="1"/>
    <col min="2823" max="2823" width="2" style="600" customWidth="1"/>
    <col min="2824" max="2824" width="40.7265625" style="600" customWidth="1"/>
    <col min="2825" max="2825" width="3.54296875" style="600" customWidth="1"/>
    <col min="2826" max="2826" width="11.08984375" style="600" customWidth="1"/>
    <col min="2827" max="2827" width="2.7265625" style="600" customWidth="1"/>
    <col min="2828" max="2828" width="11.26953125" style="600" customWidth="1"/>
    <col min="2829" max="2829" width="2.7265625" style="600" customWidth="1"/>
    <col min="2830" max="2830" width="11.26953125" style="600" customWidth="1"/>
    <col min="2831" max="2831" width="2.7265625" style="600" customWidth="1"/>
    <col min="2832" max="2832" width="19.08984375" style="600" bestFit="1" customWidth="1"/>
    <col min="2833" max="2833" width="1.81640625" style="600" customWidth="1"/>
    <col min="2834" max="2834" width="6.7265625" style="600" customWidth="1"/>
    <col min="2835" max="2835" width="14.7265625" style="600" customWidth="1"/>
    <col min="2836" max="2836" width="9" style="600" bestFit="1" customWidth="1"/>
    <col min="2837" max="3077" width="5" style="600"/>
    <col min="3078" max="3078" width="4.7265625" style="600" customWidth="1"/>
    <col min="3079" max="3079" width="2" style="600" customWidth="1"/>
    <col min="3080" max="3080" width="40.7265625" style="600" customWidth="1"/>
    <col min="3081" max="3081" width="3.54296875" style="600" customWidth="1"/>
    <col min="3082" max="3082" width="11.08984375" style="600" customWidth="1"/>
    <col min="3083" max="3083" width="2.7265625" style="600" customWidth="1"/>
    <col min="3084" max="3084" width="11.26953125" style="600" customWidth="1"/>
    <col min="3085" max="3085" width="2.7265625" style="600" customWidth="1"/>
    <col min="3086" max="3086" width="11.26953125" style="600" customWidth="1"/>
    <col min="3087" max="3087" width="2.7265625" style="600" customWidth="1"/>
    <col min="3088" max="3088" width="19.08984375" style="600" bestFit="1" customWidth="1"/>
    <col min="3089" max="3089" width="1.81640625" style="600" customWidth="1"/>
    <col min="3090" max="3090" width="6.7265625" style="600" customWidth="1"/>
    <col min="3091" max="3091" width="14.7265625" style="600" customWidth="1"/>
    <col min="3092" max="3092" width="9" style="600" bestFit="1" customWidth="1"/>
    <col min="3093" max="3333" width="5" style="600"/>
    <col min="3334" max="3334" width="4.7265625" style="600" customWidth="1"/>
    <col min="3335" max="3335" width="2" style="600" customWidth="1"/>
    <col min="3336" max="3336" width="40.7265625" style="600" customWidth="1"/>
    <col min="3337" max="3337" width="3.54296875" style="600" customWidth="1"/>
    <col min="3338" max="3338" width="11.08984375" style="600" customWidth="1"/>
    <col min="3339" max="3339" width="2.7265625" style="600" customWidth="1"/>
    <col min="3340" max="3340" width="11.26953125" style="600" customWidth="1"/>
    <col min="3341" max="3341" width="2.7265625" style="600" customWidth="1"/>
    <col min="3342" max="3342" width="11.26953125" style="600" customWidth="1"/>
    <col min="3343" max="3343" width="2.7265625" style="600" customWidth="1"/>
    <col min="3344" max="3344" width="19.08984375" style="600" bestFit="1" customWidth="1"/>
    <col min="3345" max="3345" width="1.81640625" style="600" customWidth="1"/>
    <col min="3346" max="3346" width="6.7265625" style="600" customWidth="1"/>
    <col min="3347" max="3347" width="14.7265625" style="600" customWidth="1"/>
    <col min="3348" max="3348" width="9" style="600" bestFit="1" customWidth="1"/>
    <col min="3349" max="3589" width="5" style="600"/>
    <col min="3590" max="3590" width="4.7265625" style="600" customWidth="1"/>
    <col min="3591" max="3591" width="2" style="600" customWidth="1"/>
    <col min="3592" max="3592" width="40.7265625" style="600" customWidth="1"/>
    <col min="3593" max="3593" width="3.54296875" style="600" customWidth="1"/>
    <col min="3594" max="3594" width="11.08984375" style="600" customWidth="1"/>
    <col min="3595" max="3595" width="2.7265625" style="600" customWidth="1"/>
    <col min="3596" max="3596" width="11.26953125" style="600" customWidth="1"/>
    <col min="3597" max="3597" width="2.7265625" style="600" customWidth="1"/>
    <col min="3598" max="3598" width="11.26953125" style="600" customWidth="1"/>
    <col min="3599" max="3599" width="2.7265625" style="600" customWidth="1"/>
    <col min="3600" max="3600" width="19.08984375" style="600" bestFit="1" customWidth="1"/>
    <col min="3601" max="3601" width="1.81640625" style="600" customWidth="1"/>
    <col min="3602" max="3602" width="6.7265625" style="600" customWidth="1"/>
    <col min="3603" max="3603" width="14.7265625" style="600" customWidth="1"/>
    <col min="3604" max="3604" width="9" style="600" bestFit="1" customWidth="1"/>
    <col min="3605" max="3845" width="5" style="600"/>
    <col min="3846" max="3846" width="4.7265625" style="600" customWidth="1"/>
    <col min="3847" max="3847" width="2" style="600" customWidth="1"/>
    <col min="3848" max="3848" width="40.7265625" style="600" customWidth="1"/>
    <col min="3849" max="3849" width="3.54296875" style="600" customWidth="1"/>
    <col min="3850" max="3850" width="11.08984375" style="600" customWidth="1"/>
    <col min="3851" max="3851" width="2.7265625" style="600" customWidth="1"/>
    <col min="3852" max="3852" width="11.26953125" style="600" customWidth="1"/>
    <col min="3853" max="3853" width="2.7265625" style="600" customWidth="1"/>
    <col min="3854" max="3854" width="11.26953125" style="600" customWidth="1"/>
    <col min="3855" max="3855" width="2.7265625" style="600" customWidth="1"/>
    <col min="3856" max="3856" width="19.08984375" style="600" bestFit="1" customWidth="1"/>
    <col min="3857" max="3857" width="1.81640625" style="600" customWidth="1"/>
    <col min="3858" max="3858" width="6.7265625" style="600" customWidth="1"/>
    <col min="3859" max="3859" width="14.7265625" style="600" customWidth="1"/>
    <col min="3860" max="3860" width="9" style="600" bestFit="1" customWidth="1"/>
    <col min="3861" max="4101" width="5" style="600"/>
    <col min="4102" max="4102" width="4.7265625" style="600" customWidth="1"/>
    <col min="4103" max="4103" width="2" style="600" customWidth="1"/>
    <col min="4104" max="4104" width="40.7265625" style="600" customWidth="1"/>
    <col min="4105" max="4105" width="3.54296875" style="600" customWidth="1"/>
    <col min="4106" max="4106" width="11.08984375" style="600" customWidth="1"/>
    <col min="4107" max="4107" width="2.7265625" style="600" customWidth="1"/>
    <col min="4108" max="4108" width="11.26953125" style="600" customWidth="1"/>
    <col min="4109" max="4109" width="2.7265625" style="600" customWidth="1"/>
    <col min="4110" max="4110" width="11.26953125" style="600" customWidth="1"/>
    <col min="4111" max="4111" width="2.7265625" style="600" customWidth="1"/>
    <col min="4112" max="4112" width="19.08984375" style="600" bestFit="1" customWidth="1"/>
    <col min="4113" max="4113" width="1.81640625" style="600" customWidth="1"/>
    <col min="4114" max="4114" width="6.7265625" style="600" customWidth="1"/>
    <col min="4115" max="4115" width="14.7265625" style="600" customWidth="1"/>
    <col min="4116" max="4116" width="9" style="600" bestFit="1" customWidth="1"/>
    <col min="4117" max="4357" width="5" style="600"/>
    <col min="4358" max="4358" width="4.7265625" style="600" customWidth="1"/>
    <col min="4359" max="4359" width="2" style="600" customWidth="1"/>
    <col min="4360" max="4360" width="40.7265625" style="600" customWidth="1"/>
    <col min="4361" max="4361" width="3.54296875" style="600" customWidth="1"/>
    <col min="4362" max="4362" width="11.08984375" style="600" customWidth="1"/>
    <col min="4363" max="4363" width="2.7265625" style="600" customWidth="1"/>
    <col min="4364" max="4364" width="11.26953125" style="600" customWidth="1"/>
    <col min="4365" max="4365" width="2.7265625" style="600" customWidth="1"/>
    <col min="4366" max="4366" width="11.26953125" style="600" customWidth="1"/>
    <col min="4367" max="4367" width="2.7265625" style="600" customWidth="1"/>
    <col min="4368" max="4368" width="19.08984375" style="600" bestFit="1" customWidth="1"/>
    <col min="4369" max="4369" width="1.81640625" style="600" customWidth="1"/>
    <col min="4370" max="4370" width="6.7265625" style="600" customWidth="1"/>
    <col min="4371" max="4371" width="14.7265625" style="600" customWidth="1"/>
    <col min="4372" max="4372" width="9" style="600" bestFit="1" customWidth="1"/>
    <col min="4373" max="4613" width="5" style="600"/>
    <col min="4614" max="4614" width="4.7265625" style="600" customWidth="1"/>
    <col min="4615" max="4615" width="2" style="600" customWidth="1"/>
    <col min="4616" max="4616" width="40.7265625" style="600" customWidth="1"/>
    <col min="4617" max="4617" width="3.54296875" style="600" customWidth="1"/>
    <col min="4618" max="4618" width="11.08984375" style="600" customWidth="1"/>
    <col min="4619" max="4619" width="2.7265625" style="600" customWidth="1"/>
    <col min="4620" max="4620" width="11.26953125" style="600" customWidth="1"/>
    <col min="4621" max="4621" width="2.7265625" style="600" customWidth="1"/>
    <col min="4622" max="4622" width="11.26953125" style="600" customWidth="1"/>
    <col min="4623" max="4623" width="2.7265625" style="600" customWidth="1"/>
    <col min="4624" max="4624" width="19.08984375" style="600" bestFit="1" customWidth="1"/>
    <col min="4625" max="4625" width="1.81640625" style="600" customWidth="1"/>
    <col min="4626" max="4626" width="6.7265625" style="600" customWidth="1"/>
    <col min="4627" max="4627" width="14.7265625" style="600" customWidth="1"/>
    <col min="4628" max="4628" width="9" style="600" bestFit="1" customWidth="1"/>
    <col min="4629" max="4869" width="5" style="600"/>
    <col min="4870" max="4870" width="4.7265625" style="600" customWidth="1"/>
    <col min="4871" max="4871" width="2" style="600" customWidth="1"/>
    <col min="4872" max="4872" width="40.7265625" style="600" customWidth="1"/>
    <col min="4873" max="4873" width="3.54296875" style="600" customWidth="1"/>
    <col min="4874" max="4874" width="11.08984375" style="600" customWidth="1"/>
    <col min="4875" max="4875" width="2.7265625" style="600" customWidth="1"/>
    <col min="4876" max="4876" width="11.26953125" style="600" customWidth="1"/>
    <col min="4877" max="4877" width="2.7265625" style="600" customWidth="1"/>
    <col min="4878" max="4878" width="11.26953125" style="600" customWidth="1"/>
    <col min="4879" max="4879" width="2.7265625" style="600" customWidth="1"/>
    <col min="4880" max="4880" width="19.08984375" style="600" bestFit="1" customWidth="1"/>
    <col min="4881" max="4881" width="1.81640625" style="600" customWidth="1"/>
    <col min="4882" max="4882" width="6.7265625" style="600" customWidth="1"/>
    <col min="4883" max="4883" width="14.7265625" style="600" customWidth="1"/>
    <col min="4884" max="4884" width="9" style="600" bestFit="1" customWidth="1"/>
    <col min="4885" max="5125" width="5" style="600"/>
    <col min="5126" max="5126" width="4.7265625" style="600" customWidth="1"/>
    <col min="5127" max="5127" width="2" style="600" customWidth="1"/>
    <col min="5128" max="5128" width="40.7265625" style="600" customWidth="1"/>
    <col min="5129" max="5129" width="3.54296875" style="600" customWidth="1"/>
    <col min="5130" max="5130" width="11.08984375" style="600" customWidth="1"/>
    <col min="5131" max="5131" width="2.7265625" style="600" customWidth="1"/>
    <col min="5132" max="5132" width="11.26953125" style="600" customWidth="1"/>
    <col min="5133" max="5133" width="2.7265625" style="600" customWidth="1"/>
    <col min="5134" max="5134" width="11.26953125" style="600" customWidth="1"/>
    <col min="5135" max="5135" width="2.7265625" style="600" customWidth="1"/>
    <col min="5136" max="5136" width="19.08984375" style="600" bestFit="1" customWidth="1"/>
    <col min="5137" max="5137" width="1.81640625" style="600" customWidth="1"/>
    <col min="5138" max="5138" width="6.7265625" style="600" customWidth="1"/>
    <col min="5139" max="5139" width="14.7265625" style="600" customWidth="1"/>
    <col min="5140" max="5140" width="9" style="600" bestFit="1" customWidth="1"/>
    <col min="5141" max="5381" width="5" style="600"/>
    <col min="5382" max="5382" width="4.7265625" style="600" customWidth="1"/>
    <col min="5383" max="5383" width="2" style="600" customWidth="1"/>
    <col min="5384" max="5384" width="40.7265625" style="600" customWidth="1"/>
    <col min="5385" max="5385" width="3.54296875" style="600" customWidth="1"/>
    <col min="5386" max="5386" width="11.08984375" style="600" customWidth="1"/>
    <col min="5387" max="5387" width="2.7265625" style="600" customWidth="1"/>
    <col min="5388" max="5388" width="11.26953125" style="600" customWidth="1"/>
    <col min="5389" max="5389" width="2.7265625" style="600" customWidth="1"/>
    <col min="5390" max="5390" width="11.26953125" style="600" customWidth="1"/>
    <col min="5391" max="5391" width="2.7265625" style="600" customWidth="1"/>
    <col min="5392" max="5392" width="19.08984375" style="600" bestFit="1" customWidth="1"/>
    <col min="5393" max="5393" width="1.81640625" style="600" customWidth="1"/>
    <col min="5394" max="5394" width="6.7265625" style="600" customWidth="1"/>
    <col min="5395" max="5395" width="14.7265625" style="600" customWidth="1"/>
    <col min="5396" max="5396" width="9" style="600" bestFit="1" customWidth="1"/>
    <col min="5397" max="5637" width="5" style="600"/>
    <col min="5638" max="5638" width="4.7265625" style="600" customWidth="1"/>
    <col min="5639" max="5639" width="2" style="600" customWidth="1"/>
    <col min="5640" max="5640" width="40.7265625" style="600" customWidth="1"/>
    <col min="5641" max="5641" width="3.54296875" style="600" customWidth="1"/>
    <col min="5642" max="5642" width="11.08984375" style="600" customWidth="1"/>
    <col min="5643" max="5643" width="2.7265625" style="600" customWidth="1"/>
    <col min="5644" max="5644" width="11.26953125" style="600" customWidth="1"/>
    <col min="5645" max="5645" width="2.7265625" style="600" customWidth="1"/>
    <col min="5646" max="5646" width="11.26953125" style="600" customWidth="1"/>
    <col min="5647" max="5647" width="2.7265625" style="600" customWidth="1"/>
    <col min="5648" max="5648" width="19.08984375" style="600" bestFit="1" customWidth="1"/>
    <col min="5649" max="5649" width="1.81640625" style="600" customWidth="1"/>
    <col min="5650" max="5650" width="6.7265625" style="600" customWidth="1"/>
    <col min="5651" max="5651" width="14.7265625" style="600" customWidth="1"/>
    <col min="5652" max="5652" width="9" style="600" bestFit="1" customWidth="1"/>
    <col min="5653" max="5893" width="5" style="600"/>
    <col min="5894" max="5894" width="4.7265625" style="600" customWidth="1"/>
    <col min="5895" max="5895" width="2" style="600" customWidth="1"/>
    <col min="5896" max="5896" width="40.7265625" style="600" customWidth="1"/>
    <col min="5897" max="5897" width="3.54296875" style="600" customWidth="1"/>
    <col min="5898" max="5898" width="11.08984375" style="600" customWidth="1"/>
    <col min="5899" max="5899" width="2.7265625" style="600" customWidth="1"/>
    <col min="5900" max="5900" width="11.26953125" style="600" customWidth="1"/>
    <col min="5901" max="5901" width="2.7265625" style="600" customWidth="1"/>
    <col min="5902" max="5902" width="11.26953125" style="600" customWidth="1"/>
    <col min="5903" max="5903" width="2.7265625" style="600" customWidth="1"/>
    <col min="5904" max="5904" width="19.08984375" style="600" bestFit="1" customWidth="1"/>
    <col min="5905" max="5905" width="1.81640625" style="600" customWidth="1"/>
    <col min="5906" max="5906" width="6.7265625" style="600" customWidth="1"/>
    <col min="5907" max="5907" width="14.7265625" style="600" customWidth="1"/>
    <col min="5908" max="5908" width="9" style="600" bestFit="1" customWidth="1"/>
    <col min="5909" max="6149" width="5" style="600"/>
    <col min="6150" max="6150" width="4.7265625" style="600" customWidth="1"/>
    <col min="6151" max="6151" width="2" style="600" customWidth="1"/>
    <col min="6152" max="6152" width="40.7265625" style="600" customWidth="1"/>
    <col min="6153" max="6153" width="3.54296875" style="600" customWidth="1"/>
    <col min="6154" max="6154" width="11.08984375" style="600" customWidth="1"/>
    <col min="6155" max="6155" width="2.7265625" style="600" customWidth="1"/>
    <col min="6156" max="6156" width="11.26953125" style="600" customWidth="1"/>
    <col min="6157" max="6157" width="2.7265625" style="600" customWidth="1"/>
    <col min="6158" max="6158" width="11.26953125" style="600" customWidth="1"/>
    <col min="6159" max="6159" width="2.7265625" style="600" customWidth="1"/>
    <col min="6160" max="6160" width="19.08984375" style="600" bestFit="1" customWidth="1"/>
    <col min="6161" max="6161" width="1.81640625" style="600" customWidth="1"/>
    <col min="6162" max="6162" width="6.7265625" style="600" customWidth="1"/>
    <col min="6163" max="6163" width="14.7265625" style="600" customWidth="1"/>
    <col min="6164" max="6164" width="9" style="600" bestFit="1" customWidth="1"/>
    <col min="6165" max="6405" width="5" style="600"/>
    <col min="6406" max="6406" width="4.7265625" style="600" customWidth="1"/>
    <col min="6407" max="6407" width="2" style="600" customWidth="1"/>
    <col min="6408" max="6408" width="40.7265625" style="600" customWidth="1"/>
    <col min="6409" max="6409" width="3.54296875" style="600" customWidth="1"/>
    <col min="6410" max="6410" width="11.08984375" style="600" customWidth="1"/>
    <col min="6411" max="6411" width="2.7265625" style="600" customWidth="1"/>
    <col min="6412" max="6412" width="11.26953125" style="600" customWidth="1"/>
    <col min="6413" max="6413" width="2.7265625" style="600" customWidth="1"/>
    <col min="6414" max="6414" width="11.26953125" style="600" customWidth="1"/>
    <col min="6415" max="6415" width="2.7265625" style="600" customWidth="1"/>
    <col min="6416" max="6416" width="19.08984375" style="600" bestFit="1" customWidth="1"/>
    <col min="6417" max="6417" width="1.81640625" style="600" customWidth="1"/>
    <col min="6418" max="6418" width="6.7265625" style="600" customWidth="1"/>
    <col min="6419" max="6419" width="14.7265625" style="600" customWidth="1"/>
    <col min="6420" max="6420" width="9" style="600" bestFit="1" customWidth="1"/>
    <col min="6421" max="6661" width="5" style="600"/>
    <col min="6662" max="6662" width="4.7265625" style="600" customWidth="1"/>
    <col min="6663" max="6663" width="2" style="600" customWidth="1"/>
    <col min="6664" max="6664" width="40.7265625" style="600" customWidth="1"/>
    <col min="6665" max="6665" width="3.54296875" style="600" customWidth="1"/>
    <col min="6666" max="6666" width="11.08984375" style="600" customWidth="1"/>
    <col min="6667" max="6667" width="2.7265625" style="600" customWidth="1"/>
    <col min="6668" max="6668" width="11.26953125" style="600" customWidth="1"/>
    <col min="6669" max="6669" width="2.7265625" style="600" customWidth="1"/>
    <col min="6670" max="6670" width="11.26953125" style="600" customWidth="1"/>
    <col min="6671" max="6671" width="2.7265625" style="600" customWidth="1"/>
    <col min="6672" max="6672" width="19.08984375" style="600" bestFit="1" customWidth="1"/>
    <col min="6673" max="6673" width="1.81640625" style="600" customWidth="1"/>
    <col min="6674" max="6674" width="6.7265625" style="600" customWidth="1"/>
    <col min="6675" max="6675" width="14.7265625" style="600" customWidth="1"/>
    <col min="6676" max="6676" width="9" style="600" bestFit="1" customWidth="1"/>
    <col min="6677" max="6917" width="5" style="600"/>
    <col min="6918" max="6918" width="4.7265625" style="600" customWidth="1"/>
    <col min="6919" max="6919" width="2" style="600" customWidth="1"/>
    <col min="6920" max="6920" width="40.7265625" style="600" customWidth="1"/>
    <col min="6921" max="6921" width="3.54296875" style="600" customWidth="1"/>
    <col min="6922" max="6922" width="11.08984375" style="600" customWidth="1"/>
    <col min="6923" max="6923" width="2.7265625" style="600" customWidth="1"/>
    <col min="6924" max="6924" width="11.26953125" style="600" customWidth="1"/>
    <col min="6925" max="6925" width="2.7265625" style="600" customWidth="1"/>
    <col min="6926" max="6926" width="11.26953125" style="600" customWidth="1"/>
    <col min="6927" max="6927" width="2.7265625" style="600" customWidth="1"/>
    <col min="6928" max="6928" width="19.08984375" style="600" bestFit="1" customWidth="1"/>
    <col min="6929" max="6929" width="1.81640625" style="600" customWidth="1"/>
    <col min="6930" max="6930" width="6.7265625" style="600" customWidth="1"/>
    <col min="6931" max="6931" width="14.7265625" style="600" customWidth="1"/>
    <col min="6932" max="6932" width="9" style="600" bestFit="1" customWidth="1"/>
    <col min="6933" max="7173" width="5" style="600"/>
    <col min="7174" max="7174" width="4.7265625" style="600" customWidth="1"/>
    <col min="7175" max="7175" width="2" style="600" customWidth="1"/>
    <col min="7176" max="7176" width="40.7265625" style="600" customWidth="1"/>
    <col min="7177" max="7177" width="3.54296875" style="600" customWidth="1"/>
    <col min="7178" max="7178" width="11.08984375" style="600" customWidth="1"/>
    <col min="7179" max="7179" width="2.7265625" style="600" customWidth="1"/>
    <col min="7180" max="7180" width="11.26953125" style="600" customWidth="1"/>
    <col min="7181" max="7181" width="2.7265625" style="600" customWidth="1"/>
    <col min="7182" max="7182" width="11.26953125" style="600" customWidth="1"/>
    <col min="7183" max="7183" width="2.7265625" style="600" customWidth="1"/>
    <col min="7184" max="7184" width="19.08984375" style="600" bestFit="1" customWidth="1"/>
    <col min="7185" max="7185" width="1.81640625" style="600" customWidth="1"/>
    <col min="7186" max="7186" width="6.7265625" style="600" customWidth="1"/>
    <col min="7187" max="7187" width="14.7265625" style="600" customWidth="1"/>
    <col min="7188" max="7188" width="9" style="600" bestFit="1" customWidth="1"/>
    <col min="7189" max="7429" width="5" style="600"/>
    <col min="7430" max="7430" width="4.7265625" style="600" customWidth="1"/>
    <col min="7431" max="7431" width="2" style="600" customWidth="1"/>
    <col min="7432" max="7432" width="40.7265625" style="600" customWidth="1"/>
    <col min="7433" max="7433" width="3.54296875" style="600" customWidth="1"/>
    <col min="7434" max="7434" width="11.08984375" style="600" customWidth="1"/>
    <col min="7435" max="7435" width="2.7265625" style="600" customWidth="1"/>
    <col min="7436" max="7436" width="11.26953125" style="600" customWidth="1"/>
    <col min="7437" max="7437" width="2.7265625" style="600" customWidth="1"/>
    <col min="7438" max="7438" width="11.26953125" style="600" customWidth="1"/>
    <col min="7439" max="7439" width="2.7265625" style="600" customWidth="1"/>
    <col min="7440" max="7440" width="19.08984375" style="600" bestFit="1" customWidth="1"/>
    <col min="7441" max="7441" width="1.81640625" style="600" customWidth="1"/>
    <col min="7442" max="7442" width="6.7265625" style="600" customWidth="1"/>
    <col min="7443" max="7443" width="14.7265625" style="600" customWidth="1"/>
    <col min="7444" max="7444" width="9" style="600" bestFit="1" customWidth="1"/>
    <col min="7445" max="7685" width="5" style="600"/>
    <col min="7686" max="7686" width="4.7265625" style="600" customWidth="1"/>
    <col min="7687" max="7687" width="2" style="600" customWidth="1"/>
    <col min="7688" max="7688" width="40.7265625" style="600" customWidth="1"/>
    <col min="7689" max="7689" width="3.54296875" style="600" customWidth="1"/>
    <col min="7690" max="7690" width="11.08984375" style="600" customWidth="1"/>
    <col min="7691" max="7691" width="2.7265625" style="600" customWidth="1"/>
    <col min="7692" max="7692" width="11.26953125" style="600" customWidth="1"/>
    <col min="7693" max="7693" width="2.7265625" style="600" customWidth="1"/>
    <col min="7694" max="7694" width="11.26953125" style="600" customWidth="1"/>
    <col min="7695" max="7695" width="2.7265625" style="600" customWidth="1"/>
    <col min="7696" max="7696" width="19.08984375" style="600" bestFit="1" customWidth="1"/>
    <col min="7697" max="7697" width="1.81640625" style="600" customWidth="1"/>
    <col min="7698" max="7698" width="6.7265625" style="600" customWidth="1"/>
    <col min="7699" max="7699" width="14.7265625" style="600" customWidth="1"/>
    <col min="7700" max="7700" width="9" style="600" bestFit="1" customWidth="1"/>
    <col min="7701" max="7941" width="5" style="600"/>
    <col min="7942" max="7942" width="4.7265625" style="600" customWidth="1"/>
    <col min="7943" max="7943" width="2" style="600" customWidth="1"/>
    <col min="7944" max="7944" width="40.7265625" style="600" customWidth="1"/>
    <col min="7945" max="7945" width="3.54296875" style="600" customWidth="1"/>
    <col min="7946" max="7946" width="11.08984375" style="600" customWidth="1"/>
    <col min="7947" max="7947" width="2.7265625" style="600" customWidth="1"/>
    <col min="7948" max="7948" width="11.26953125" style="600" customWidth="1"/>
    <col min="7949" max="7949" width="2.7265625" style="600" customWidth="1"/>
    <col min="7950" max="7950" width="11.26953125" style="600" customWidth="1"/>
    <col min="7951" max="7951" width="2.7265625" style="600" customWidth="1"/>
    <col min="7952" max="7952" width="19.08984375" style="600" bestFit="1" customWidth="1"/>
    <col min="7953" max="7953" width="1.81640625" style="600" customWidth="1"/>
    <col min="7954" max="7954" width="6.7265625" style="600" customWidth="1"/>
    <col min="7955" max="7955" width="14.7265625" style="600" customWidth="1"/>
    <col min="7956" max="7956" width="9" style="600" bestFit="1" customWidth="1"/>
    <col min="7957" max="8197" width="5" style="600"/>
    <col min="8198" max="8198" width="4.7265625" style="600" customWidth="1"/>
    <col min="8199" max="8199" width="2" style="600" customWidth="1"/>
    <col min="8200" max="8200" width="40.7265625" style="600" customWidth="1"/>
    <col min="8201" max="8201" width="3.54296875" style="600" customWidth="1"/>
    <col min="8202" max="8202" width="11.08984375" style="600" customWidth="1"/>
    <col min="8203" max="8203" width="2.7265625" style="600" customWidth="1"/>
    <col min="8204" max="8204" width="11.26953125" style="600" customWidth="1"/>
    <col min="8205" max="8205" width="2.7265625" style="600" customWidth="1"/>
    <col min="8206" max="8206" width="11.26953125" style="600" customWidth="1"/>
    <col min="8207" max="8207" width="2.7265625" style="600" customWidth="1"/>
    <col min="8208" max="8208" width="19.08984375" style="600" bestFit="1" customWidth="1"/>
    <col min="8209" max="8209" width="1.81640625" style="600" customWidth="1"/>
    <col min="8210" max="8210" width="6.7265625" style="600" customWidth="1"/>
    <col min="8211" max="8211" width="14.7265625" style="600" customWidth="1"/>
    <col min="8212" max="8212" width="9" style="600" bestFit="1" customWidth="1"/>
    <col min="8213" max="8453" width="5" style="600"/>
    <col min="8454" max="8454" width="4.7265625" style="600" customWidth="1"/>
    <col min="8455" max="8455" width="2" style="600" customWidth="1"/>
    <col min="8456" max="8456" width="40.7265625" style="600" customWidth="1"/>
    <col min="8457" max="8457" width="3.54296875" style="600" customWidth="1"/>
    <col min="8458" max="8458" width="11.08984375" style="600" customWidth="1"/>
    <col min="8459" max="8459" width="2.7265625" style="600" customWidth="1"/>
    <col min="8460" max="8460" width="11.26953125" style="600" customWidth="1"/>
    <col min="8461" max="8461" width="2.7265625" style="600" customWidth="1"/>
    <col min="8462" max="8462" width="11.26953125" style="600" customWidth="1"/>
    <col min="8463" max="8463" width="2.7265625" style="600" customWidth="1"/>
    <col min="8464" max="8464" width="19.08984375" style="600" bestFit="1" customWidth="1"/>
    <col min="8465" max="8465" width="1.81640625" style="600" customWidth="1"/>
    <col min="8466" max="8466" width="6.7265625" style="600" customWidth="1"/>
    <col min="8467" max="8467" width="14.7265625" style="600" customWidth="1"/>
    <col min="8468" max="8468" width="9" style="600" bestFit="1" customWidth="1"/>
    <col min="8469" max="8709" width="5" style="600"/>
    <col min="8710" max="8710" width="4.7265625" style="600" customWidth="1"/>
    <col min="8711" max="8711" width="2" style="600" customWidth="1"/>
    <col min="8712" max="8712" width="40.7265625" style="600" customWidth="1"/>
    <col min="8713" max="8713" width="3.54296875" style="600" customWidth="1"/>
    <col min="8714" max="8714" width="11.08984375" style="600" customWidth="1"/>
    <col min="8715" max="8715" width="2.7265625" style="600" customWidth="1"/>
    <col min="8716" max="8716" width="11.26953125" style="600" customWidth="1"/>
    <col min="8717" max="8717" width="2.7265625" style="600" customWidth="1"/>
    <col min="8718" max="8718" width="11.26953125" style="600" customWidth="1"/>
    <col min="8719" max="8719" width="2.7265625" style="600" customWidth="1"/>
    <col min="8720" max="8720" width="19.08984375" style="600" bestFit="1" customWidth="1"/>
    <col min="8721" max="8721" width="1.81640625" style="600" customWidth="1"/>
    <col min="8722" max="8722" width="6.7265625" style="600" customWidth="1"/>
    <col min="8723" max="8723" width="14.7265625" style="600" customWidth="1"/>
    <col min="8724" max="8724" width="9" style="600" bestFit="1" customWidth="1"/>
    <col min="8725" max="8965" width="5" style="600"/>
    <col min="8966" max="8966" width="4.7265625" style="600" customWidth="1"/>
    <col min="8967" max="8967" width="2" style="600" customWidth="1"/>
    <col min="8968" max="8968" width="40.7265625" style="600" customWidth="1"/>
    <col min="8969" max="8969" width="3.54296875" style="600" customWidth="1"/>
    <col min="8970" max="8970" width="11.08984375" style="600" customWidth="1"/>
    <col min="8971" max="8971" width="2.7265625" style="600" customWidth="1"/>
    <col min="8972" max="8972" width="11.26953125" style="600" customWidth="1"/>
    <col min="8973" max="8973" width="2.7265625" style="600" customWidth="1"/>
    <col min="8974" max="8974" width="11.26953125" style="600" customWidth="1"/>
    <col min="8975" max="8975" width="2.7265625" style="600" customWidth="1"/>
    <col min="8976" max="8976" width="19.08984375" style="600" bestFit="1" customWidth="1"/>
    <col min="8977" max="8977" width="1.81640625" style="600" customWidth="1"/>
    <col min="8978" max="8978" width="6.7265625" style="600" customWidth="1"/>
    <col min="8979" max="8979" width="14.7265625" style="600" customWidth="1"/>
    <col min="8980" max="8980" width="9" style="600" bestFit="1" customWidth="1"/>
    <col min="8981" max="9221" width="5" style="600"/>
    <col min="9222" max="9222" width="4.7265625" style="600" customWidth="1"/>
    <col min="9223" max="9223" width="2" style="600" customWidth="1"/>
    <col min="9224" max="9224" width="40.7265625" style="600" customWidth="1"/>
    <col min="9225" max="9225" width="3.54296875" style="600" customWidth="1"/>
    <col min="9226" max="9226" width="11.08984375" style="600" customWidth="1"/>
    <col min="9227" max="9227" width="2.7265625" style="600" customWidth="1"/>
    <col min="9228" max="9228" width="11.26953125" style="600" customWidth="1"/>
    <col min="9229" max="9229" width="2.7265625" style="600" customWidth="1"/>
    <col min="9230" max="9230" width="11.26953125" style="600" customWidth="1"/>
    <col min="9231" max="9231" width="2.7265625" style="600" customWidth="1"/>
    <col min="9232" max="9232" width="19.08984375" style="600" bestFit="1" customWidth="1"/>
    <col min="9233" max="9233" width="1.81640625" style="600" customWidth="1"/>
    <col min="9234" max="9234" width="6.7265625" style="600" customWidth="1"/>
    <col min="9235" max="9235" width="14.7265625" style="600" customWidth="1"/>
    <col min="9236" max="9236" width="9" style="600" bestFit="1" customWidth="1"/>
    <col min="9237" max="9477" width="5" style="600"/>
    <col min="9478" max="9478" width="4.7265625" style="600" customWidth="1"/>
    <col min="9479" max="9479" width="2" style="600" customWidth="1"/>
    <col min="9480" max="9480" width="40.7265625" style="600" customWidth="1"/>
    <col min="9481" max="9481" width="3.54296875" style="600" customWidth="1"/>
    <col min="9482" max="9482" width="11.08984375" style="600" customWidth="1"/>
    <col min="9483" max="9483" width="2.7265625" style="600" customWidth="1"/>
    <col min="9484" max="9484" width="11.26953125" style="600" customWidth="1"/>
    <col min="9485" max="9485" width="2.7265625" style="600" customWidth="1"/>
    <col min="9486" max="9486" width="11.26953125" style="600" customWidth="1"/>
    <col min="9487" max="9487" width="2.7265625" style="600" customWidth="1"/>
    <col min="9488" max="9488" width="19.08984375" style="600" bestFit="1" customWidth="1"/>
    <col min="9489" max="9489" width="1.81640625" style="600" customWidth="1"/>
    <col min="9490" max="9490" width="6.7265625" style="600" customWidth="1"/>
    <col min="9491" max="9491" width="14.7265625" style="600" customWidth="1"/>
    <col min="9492" max="9492" width="9" style="600" bestFit="1" customWidth="1"/>
    <col min="9493" max="9733" width="5" style="600"/>
    <col min="9734" max="9734" width="4.7265625" style="600" customWidth="1"/>
    <col min="9735" max="9735" width="2" style="600" customWidth="1"/>
    <col min="9736" max="9736" width="40.7265625" style="600" customWidth="1"/>
    <col min="9737" max="9737" width="3.54296875" style="600" customWidth="1"/>
    <col min="9738" max="9738" width="11.08984375" style="600" customWidth="1"/>
    <col min="9739" max="9739" width="2.7265625" style="600" customWidth="1"/>
    <col min="9740" max="9740" width="11.26953125" style="600" customWidth="1"/>
    <col min="9741" max="9741" width="2.7265625" style="600" customWidth="1"/>
    <col min="9742" max="9742" width="11.26953125" style="600" customWidth="1"/>
    <col min="9743" max="9743" width="2.7265625" style="600" customWidth="1"/>
    <col min="9744" max="9744" width="19.08984375" style="600" bestFit="1" customWidth="1"/>
    <col min="9745" max="9745" width="1.81640625" style="600" customWidth="1"/>
    <col min="9746" max="9746" width="6.7265625" style="600" customWidth="1"/>
    <col min="9747" max="9747" width="14.7265625" style="600" customWidth="1"/>
    <col min="9748" max="9748" width="9" style="600" bestFit="1" customWidth="1"/>
    <col min="9749" max="9989" width="5" style="600"/>
    <col min="9990" max="9990" width="4.7265625" style="600" customWidth="1"/>
    <col min="9991" max="9991" width="2" style="600" customWidth="1"/>
    <col min="9992" max="9992" width="40.7265625" style="600" customWidth="1"/>
    <col min="9993" max="9993" width="3.54296875" style="600" customWidth="1"/>
    <col min="9994" max="9994" width="11.08984375" style="600" customWidth="1"/>
    <col min="9995" max="9995" width="2.7265625" style="600" customWidth="1"/>
    <col min="9996" max="9996" width="11.26953125" style="600" customWidth="1"/>
    <col min="9997" max="9997" width="2.7265625" style="600" customWidth="1"/>
    <col min="9998" max="9998" width="11.26953125" style="600" customWidth="1"/>
    <col min="9999" max="9999" width="2.7265625" style="600" customWidth="1"/>
    <col min="10000" max="10000" width="19.08984375" style="600" bestFit="1" customWidth="1"/>
    <col min="10001" max="10001" width="1.81640625" style="600" customWidth="1"/>
    <col min="10002" max="10002" width="6.7265625" style="600" customWidth="1"/>
    <col min="10003" max="10003" width="14.7265625" style="600" customWidth="1"/>
    <col min="10004" max="10004" width="9" style="600" bestFit="1" customWidth="1"/>
    <col min="10005" max="10245" width="5" style="600"/>
    <col min="10246" max="10246" width="4.7265625" style="600" customWidth="1"/>
    <col min="10247" max="10247" width="2" style="600" customWidth="1"/>
    <col min="10248" max="10248" width="40.7265625" style="600" customWidth="1"/>
    <col min="10249" max="10249" width="3.54296875" style="600" customWidth="1"/>
    <col min="10250" max="10250" width="11.08984375" style="600" customWidth="1"/>
    <col min="10251" max="10251" width="2.7265625" style="600" customWidth="1"/>
    <col min="10252" max="10252" width="11.26953125" style="600" customWidth="1"/>
    <col min="10253" max="10253" width="2.7265625" style="600" customWidth="1"/>
    <col min="10254" max="10254" width="11.26953125" style="600" customWidth="1"/>
    <col min="10255" max="10255" width="2.7265625" style="600" customWidth="1"/>
    <col min="10256" max="10256" width="19.08984375" style="600" bestFit="1" customWidth="1"/>
    <col min="10257" max="10257" width="1.81640625" style="600" customWidth="1"/>
    <col min="10258" max="10258" width="6.7265625" style="600" customWidth="1"/>
    <col min="10259" max="10259" width="14.7265625" style="600" customWidth="1"/>
    <col min="10260" max="10260" width="9" style="600" bestFit="1" customWidth="1"/>
    <col min="10261" max="10501" width="5" style="600"/>
    <col min="10502" max="10502" width="4.7265625" style="600" customWidth="1"/>
    <col min="10503" max="10503" width="2" style="600" customWidth="1"/>
    <col min="10504" max="10504" width="40.7265625" style="600" customWidth="1"/>
    <col min="10505" max="10505" width="3.54296875" style="600" customWidth="1"/>
    <col min="10506" max="10506" width="11.08984375" style="600" customWidth="1"/>
    <col min="10507" max="10507" width="2.7265625" style="600" customWidth="1"/>
    <col min="10508" max="10508" width="11.26953125" style="600" customWidth="1"/>
    <col min="10509" max="10509" width="2.7265625" style="600" customWidth="1"/>
    <col min="10510" max="10510" width="11.26953125" style="600" customWidth="1"/>
    <col min="10511" max="10511" width="2.7265625" style="600" customWidth="1"/>
    <col min="10512" max="10512" width="19.08984375" style="600" bestFit="1" customWidth="1"/>
    <col min="10513" max="10513" width="1.81640625" style="600" customWidth="1"/>
    <col min="10514" max="10514" width="6.7265625" style="600" customWidth="1"/>
    <col min="10515" max="10515" width="14.7265625" style="600" customWidth="1"/>
    <col min="10516" max="10516" width="9" style="600" bestFit="1" customWidth="1"/>
    <col min="10517" max="10757" width="5" style="600"/>
    <col min="10758" max="10758" width="4.7265625" style="600" customWidth="1"/>
    <col min="10759" max="10759" width="2" style="600" customWidth="1"/>
    <col min="10760" max="10760" width="40.7265625" style="600" customWidth="1"/>
    <col min="10761" max="10761" width="3.54296875" style="600" customWidth="1"/>
    <col min="10762" max="10762" width="11.08984375" style="600" customWidth="1"/>
    <col min="10763" max="10763" width="2.7265625" style="600" customWidth="1"/>
    <col min="10764" max="10764" width="11.26953125" style="600" customWidth="1"/>
    <col min="10765" max="10765" width="2.7265625" style="600" customWidth="1"/>
    <col min="10766" max="10766" width="11.26953125" style="600" customWidth="1"/>
    <col min="10767" max="10767" width="2.7265625" style="600" customWidth="1"/>
    <col min="10768" max="10768" width="19.08984375" style="600" bestFit="1" customWidth="1"/>
    <col min="10769" max="10769" width="1.81640625" style="600" customWidth="1"/>
    <col min="10770" max="10770" width="6.7265625" style="600" customWidth="1"/>
    <col min="10771" max="10771" width="14.7265625" style="600" customWidth="1"/>
    <col min="10772" max="10772" width="9" style="600" bestFit="1" customWidth="1"/>
    <col min="10773" max="11013" width="5" style="600"/>
    <col min="11014" max="11014" width="4.7265625" style="600" customWidth="1"/>
    <col min="11015" max="11015" width="2" style="600" customWidth="1"/>
    <col min="11016" max="11016" width="40.7265625" style="600" customWidth="1"/>
    <col min="11017" max="11017" width="3.54296875" style="600" customWidth="1"/>
    <col min="11018" max="11018" width="11.08984375" style="600" customWidth="1"/>
    <col min="11019" max="11019" width="2.7265625" style="600" customWidth="1"/>
    <col min="11020" max="11020" width="11.26953125" style="600" customWidth="1"/>
    <col min="11021" max="11021" width="2.7265625" style="600" customWidth="1"/>
    <col min="11022" max="11022" width="11.26953125" style="600" customWidth="1"/>
    <col min="11023" max="11023" width="2.7265625" style="600" customWidth="1"/>
    <col min="11024" max="11024" width="19.08984375" style="600" bestFit="1" customWidth="1"/>
    <col min="11025" max="11025" width="1.81640625" style="600" customWidth="1"/>
    <col min="11026" max="11026" width="6.7265625" style="600" customWidth="1"/>
    <col min="11027" max="11027" width="14.7265625" style="600" customWidth="1"/>
    <col min="11028" max="11028" width="9" style="600" bestFit="1" customWidth="1"/>
    <col min="11029" max="11269" width="5" style="600"/>
    <col min="11270" max="11270" width="4.7265625" style="600" customWidth="1"/>
    <col min="11271" max="11271" width="2" style="600" customWidth="1"/>
    <col min="11272" max="11272" width="40.7265625" style="600" customWidth="1"/>
    <col min="11273" max="11273" width="3.54296875" style="600" customWidth="1"/>
    <col min="11274" max="11274" width="11.08984375" style="600" customWidth="1"/>
    <col min="11275" max="11275" width="2.7265625" style="600" customWidth="1"/>
    <col min="11276" max="11276" width="11.26953125" style="600" customWidth="1"/>
    <col min="11277" max="11277" width="2.7265625" style="600" customWidth="1"/>
    <col min="11278" max="11278" width="11.26953125" style="600" customWidth="1"/>
    <col min="11279" max="11279" width="2.7265625" style="600" customWidth="1"/>
    <col min="11280" max="11280" width="19.08984375" style="600" bestFit="1" customWidth="1"/>
    <col min="11281" max="11281" width="1.81640625" style="600" customWidth="1"/>
    <col min="11282" max="11282" width="6.7265625" style="600" customWidth="1"/>
    <col min="11283" max="11283" width="14.7265625" style="600" customWidth="1"/>
    <col min="11284" max="11284" width="9" style="600" bestFit="1" customWidth="1"/>
    <col min="11285" max="11525" width="5" style="600"/>
    <col min="11526" max="11526" width="4.7265625" style="600" customWidth="1"/>
    <col min="11527" max="11527" width="2" style="600" customWidth="1"/>
    <col min="11528" max="11528" width="40.7265625" style="600" customWidth="1"/>
    <col min="11529" max="11529" width="3.54296875" style="600" customWidth="1"/>
    <col min="11530" max="11530" width="11.08984375" style="600" customWidth="1"/>
    <col min="11531" max="11531" width="2.7265625" style="600" customWidth="1"/>
    <col min="11532" max="11532" width="11.26953125" style="600" customWidth="1"/>
    <col min="11533" max="11533" width="2.7265625" style="600" customWidth="1"/>
    <col min="11534" max="11534" width="11.26953125" style="600" customWidth="1"/>
    <col min="11535" max="11535" width="2.7265625" style="600" customWidth="1"/>
    <col min="11536" max="11536" width="19.08984375" style="600" bestFit="1" customWidth="1"/>
    <col min="11537" max="11537" width="1.81640625" style="600" customWidth="1"/>
    <col min="11538" max="11538" width="6.7265625" style="600" customWidth="1"/>
    <col min="11539" max="11539" width="14.7265625" style="600" customWidth="1"/>
    <col min="11540" max="11540" width="9" style="600" bestFit="1" customWidth="1"/>
    <col min="11541" max="11781" width="5" style="600"/>
    <col min="11782" max="11782" width="4.7265625" style="600" customWidth="1"/>
    <col min="11783" max="11783" width="2" style="600" customWidth="1"/>
    <col min="11784" max="11784" width="40.7265625" style="600" customWidth="1"/>
    <col min="11785" max="11785" width="3.54296875" style="600" customWidth="1"/>
    <col min="11786" max="11786" width="11.08984375" style="600" customWidth="1"/>
    <col min="11787" max="11787" width="2.7265625" style="600" customWidth="1"/>
    <col min="11788" max="11788" width="11.26953125" style="600" customWidth="1"/>
    <col min="11789" max="11789" width="2.7265625" style="600" customWidth="1"/>
    <col min="11790" max="11790" width="11.26953125" style="600" customWidth="1"/>
    <col min="11791" max="11791" width="2.7265625" style="600" customWidth="1"/>
    <col min="11792" max="11792" width="19.08984375" style="600" bestFit="1" customWidth="1"/>
    <col min="11793" max="11793" width="1.81640625" style="600" customWidth="1"/>
    <col min="11794" max="11794" width="6.7265625" style="600" customWidth="1"/>
    <col min="11795" max="11795" width="14.7265625" style="600" customWidth="1"/>
    <col min="11796" max="11796" width="9" style="600" bestFit="1" customWidth="1"/>
    <col min="11797" max="12037" width="5" style="600"/>
    <col min="12038" max="12038" width="4.7265625" style="600" customWidth="1"/>
    <col min="12039" max="12039" width="2" style="600" customWidth="1"/>
    <col min="12040" max="12040" width="40.7265625" style="600" customWidth="1"/>
    <col min="12041" max="12041" width="3.54296875" style="600" customWidth="1"/>
    <col min="12042" max="12042" width="11.08984375" style="600" customWidth="1"/>
    <col min="12043" max="12043" width="2.7265625" style="600" customWidth="1"/>
    <col min="12044" max="12044" width="11.26953125" style="600" customWidth="1"/>
    <col min="12045" max="12045" width="2.7265625" style="600" customWidth="1"/>
    <col min="12046" max="12046" width="11.26953125" style="600" customWidth="1"/>
    <col min="12047" max="12047" width="2.7265625" style="600" customWidth="1"/>
    <col min="12048" max="12048" width="19.08984375" style="600" bestFit="1" customWidth="1"/>
    <col min="12049" max="12049" width="1.81640625" style="600" customWidth="1"/>
    <col min="12050" max="12050" width="6.7265625" style="600" customWidth="1"/>
    <col min="12051" max="12051" width="14.7265625" style="600" customWidth="1"/>
    <col min="12052" max="12052" width="9" style="600" bestFit="1" customWidth="1"/>
    <col min="12053" max="12293" width="5" style="600"/>
    <col min="12294" max="12294" width="4.7265625" style="600" customWidth="1"/>
    <col min="12295" max="12295" width="2" style="600" customWidth="1"/>
    <col min="12296" max="12296" width="40.7265625" style="600" customWidth="1"/>
    <col min="12297" max="12297" width="3.54296875" style="600" customWidth="1"/>
    <col min="12298" max="12298" width="11.08984375" style="600" customWidth="1"/>
    <col min="12299" max="12299" width="2.7265625" style="600" customWidth="1"/>
    <col min="12300" max="12300" width="11.26953125" style="600" customWidth="1"/>
    <col min="12301" max="12301" width="2.7265625" style="600" customWidth="1"/>
    <col min="12302" max="12302" width="11.26953125" style="600" customWidth="1"/>
    <col min="12303" max="12303" width="2.7265625" style="600" customWidth="1"/>
    <col min="12304" max="12304" width="19.08984375" style="600" bestFit="1" customWidth="1"/>
    <col min="12305" max="12305" width="1.81640625" style="600" customWidth="1"/>
    <col min="12306" max="12306" width="6.7265625" style="600" customWidth="1"/>
    <col min="12307" max="12307" width="14.7265625" style="600" customWidth="1"/>
    <col min="12308" max="12308" width="9" style="600" bestFit="1" customWidth="1"/>
    <col min="12309" max="12549" width="5" style="600"/>
    <col min="12550" max="12550" width="4.7265625" style="600" customWidth="1"/>
    <col min="12551" max="12551" width="2" style="600" customWidth="1"/>
    <col min="12552" max="12552" width="40.7265625" style="600" customWidth="1"/>
    <col min="12553" max="12553" width="3.54296875" style="600" customWidth="1"/>
    <col min="12554" max="12554" width="11.08984375" style="600" customWidth="1"/>
    <col min="12555" max="12555" width="2.7265625" style="600" customWidth="1"/>
    <col min="12556" max="12556" width="11.26953125" style="600" customWidth="1"/>
    <col min="12557" max="12557" width="2.7265625" style="600" customWidth="1"/>
    <col min="12558" max="12558" width="11.26953125" style="600" customWidth="1"/>
    <col min="12559" max="12559" width="2.7265625" style="600" customWidth="1"/>
    <col min="12560" max="12560" width="19.08984375" style="600" bestFit="1" customWidth="1"/>
    <col min="12561" max="12561" width="1.81640625" style="600" customWidth="1"/>
    <col min="12562" max="12562" width="6.7265625" style="600" customWidth="1"/>
    <col min="12563" max="12563" width="14.7265625" style="600" customWidth="1"/>
    <col min="12564" max="12564" width="9" style="600" bestFit="1" customWidth="1"/>
    <col min="12565" max="12805" width="5" style="600"/>
    <col min="12806" max="12806" width="4.7265625" style="600" customWidth="1"/>
    <col min="12807" max="12807" width="2" style="600" customWidth="1"/>
    <col min="12808" max="12808" width="40.7265625" style="600" customWidth="1"/>
    <col min="12809" max="12809" width="3.54296875" style="600" customWidth="1"/>
    <col min="12810" max="12810" width="11.08984375" style="600" customWidth="1"/>
    <col min="12811" max="12811" width="2.7265625" style="600" customWidth="1"/>
    <col min="12812" max="12812" width="11.26953125" style="600" customWidth="1"/>
    <col min="12813" max="12813" width="2.7265625" style="600" customWidth="1"/>
    <col min="12814" max="12814" width="11.26953125" style="600" customWidth="1"/>
    <col min="12815" max="12815" width="2.7265625" style="600" customWidth="1"/>
    <col min="12816" max="12816" width="19.08984375" style="600" bestFit="1" customWidth="1"/>
    <col min="12817" max="12817" width="1.81640625" style="600" customWidth="1"/>
    <col min="12818" max="12818" width="6.7265625" style="600" customWidth="1"/>
    <col min="12819" max="12819" width="14.7265625" style="600" customWidth="1"/>
    <col min="12820" max="12820" width="9" style="600" bestFit="1" customWidth="1"/>
    <col min="12821" max="13061" width="5" style="600"/>
    <col min="13062" max="13062" width="4.7265625" style="600" customWidth="1"/>
    <col min="13063" max="13063" width="2" style="600" customWidth="1"/>
    <col min="13064" max="13064" width="40.7265625" style="600" customWidth="1"/>
    <col min="13065" max="13065" width="3.54296875" style="600" customWidth="1"/>
    <col min="13066" max="13066" width="11.08984375" style="600" customWidth="1"/>
    <col min="13067" max="13067" width="2.7265625" style="600" customWidth="1"/>
    <col min="13068" max="13068" width="11.26953125" style="600" customWidth="1"/>
    <col min="13069" max="13069" width="2.7265625" style="600" customWidth="1"/>
    <col min="13070" max="13070" width="11.26953125" style="600" customWidth="1"/>
    <col min="13071" max="13071" width="2.7265625" style="600" customWidth="1"/>
    <col min="13072" max="13072" width="19.08984375" style="600" bestFit="1" customWidth="1"/>
    <col min="13073" max="13073" width="1.81640625" style="600" customWidth="1"/>
    <col min="13074" max="13074" width="6.7265625" style="600" customWidth="1"/>
    <col min="13075" max="13075" width="14.7265625" style="600" customWidth="1"/>
    <col min="13076" max="13076" width="9" style="600" bestFit="1" customWidth="1"/>
    <col min="13077" max="13317" width="5" style="600"/>
    <col min="13318" max="13318" width="4.7265625" style="600" customWidth="1"/>
    <col min="13319" max="13319" width="2" style="600" customWidth="1"/>
    <col min="13320" max="13320" width="40.7265625" style="600" customWidth="1"/>
    <col min="13321" max="13321" width="3.54296875" style="600" customWidth="1"/>
    <col min="13322" max="13322" width="11.08984375" style="600" customWidth="1"/>
    <col min="13323" max="13323" width="2.7265625" style="600" customWidth="1"/>
    <col min="13324" max="13324" width="11.26953125" style="600" customWidth="1"/>
    <col min="13325" max="13325" width="2.7265625" style="600" customWidth="1"/>
    <col min="13326" max="13326" width="11.26953125" style="600" customWidth="1"/>
    <col min="13327" max="13327" width="2.7265625" style="600" customWidth="1"/>
    <col min="13328" max="13328" width="19.08984375" style="600" bestFit="1" customWidth="1"/>
    <col min="13329" max="13329" width="1.81640625" style="600" customWidth="1"/>
    <col min="13330" max="13330" width="6.7265625" style="600" customWidth="1"/>
    <col min="13331" max="13331" width="14.7265625" style="600" customWidth="1"/>
    <col min="13332" max="13332" width="9" style="600" bestFit="1" customWidth="1"/>
    <col min="13333" max="13573" width="5" style="600"/>
    <col min="13574" max="13574" width="4.7265625" style="600" customWidth="1"/>
    <col min="13575" max="13575" width="2" style="600" customWidth="1"/>
    <col min="13576" max="13576" width="40.7265625" style="600" customWidth="1"/>
    <col min="13577" max="13577" width="3.54296875" style="600" customWidth="1"/>
    <col min="13578" max="13578" width="11.08984375" style="600" customWidth="1"/>
    <col min="13579" max="13579" width="2.7265625" style="600" customWidth="1"/>
    <col min="13580" max="13580" width="11.26953125" style="600" customWidth="1"/>
    <col min="13581" max="13581" width="2.7265625" style="600" customWidth="1"/>
    <col min="13582" max="13582" width="11.26953125" style="600" customWidth="1"/>
    <col min="13583" max="13583" width="2.7265625" style="600" customWidth="1"/>
    <col min="13584" max="13584" width="19.08984375" style="600" bestFit="1" customWidth="1"/>
    <col min="13585" max="13585" width="1.81640625" style="600" customWidth="1"/>
    <col min="13586" max="13586" width="6.7265625" style="600" customWidth="1"/>
    <col min="13587" max="13587" width="14.7265625" style="600" customWidth="1"/>
    <col min="13588" max="13588" width="9" style="600" bestFit="1" customWidth="1"/>
    <col min="13589" max="13829" width="5" style="600"/>
    <col min="13830" max="13830" width="4.7265625" style="600" customWidth="1"/>
    <col min="13831" max="13831" width="2" style="600" customWidth="1"/>
    <col min="13832" max="13832" width="40.7265625" style="600" customWidth="1"/>
    <col min="13833" max="13833" width="3.54296875" style="600" customWidth="1"/>
    <col min="13834" max="13834" width="11.08984375" style="600" customWidth="1"/>
    <col min="13835" max="13835" width="2.7265625" style="600" customWidth="1"/>
    <col min="13836" max="13836" width="11.26953125" style="600" customWidth="1"/>
    <col min="13837" max="13837" width="2.7265625" style="600" customWidth="1"/>
    <col min="13838" max="13838" width="11.26953125" style="600" customWidth="1"/>
    <col min="13839" max="13839" width="2.7265625" style="600" customWidth="1"/>
    <col min="13840" max="13840" width="19.08984375" style="600" bestFit="1" customWidth="1"/>
    <col min="13841" max="13841" width="1.81640625" style="600" customWidth="1"/>
    <col min="13842" max="13842" width="6.7265625" style="600" customWidth="1"/>
    <col min="13843" max="13843" width="14.7265625" style="600" customWidth="1"/>
    <col min="13844" max="13844" width="9" style="600" bestFit="1" customWidth="1"/>
    <col min="13845" max="14085" width="5" style="600"/>
    <col min="14086" max="14086" width="4.7265625" style="600" customWidth="1"/>
    <col min="14087" max="14087" width="2" style="600" customWidth="1"/>
    <col min="14088" max="14088" width="40.7265625" style="600" customWidth="1"/>
    <col min="14089" max="14089" width="3.54296875" style="600" customWidth="1"/>
    <col min="14090" max="14090" width="11.08984375" style="600" customWidth="1"/>
    <col min="14091" max="14091" width="2.7265625" style="600" customWidth="1"/>
    <col min="14092" max="14092" width="11.26953125" style="600" customWidth="1"/>
    <col min="14093" max="14093" width="2.7265625" style="600" customWidth="1"/>
    <col min="14094" max="14094" width="11.26953125" style="600" customWidth="1"/>
    <col min="14095" max="14095" width="2.7265625" style="600" customWidth="1"/>
    <col min="14096" max="14096" width="19.08984375" style="600" bestFit="1" customWidth="1"/>
    <col min="14097" max="14097" width="1.81640625" style="600" customWidth="1"/>
    <col min="14098" max="14098" width="6.7265625" style="600" customWidth="1"/>
    <col min="14099" max="14099" width="14.7265625" style="600" customWidth="1"/>
    <col min="14100" max="14100" width="9" style="600" bestFit="1" customWidth="1"/>
    <col min="14101" max="14341" width="5" style="600"/>
    <col min="14342" max="14342" width="4.7265625" style="600" customWidth="1"/>
    <col min="14343" max="14343" width="2" style="600" customWidth="1"/>
    <col min="14344" max="14344" width="40.7265625" style="600" customWidth="1"/>
    <col min="14345" max="14345" width="3.54296875" style="600" customWidth="1"/>
    <col min="14346" max="14346" width="11.08984375" style="600" customWidth="1"/>
    <col min="14347" max="14347" width="2.7265625" style="600" customWidth="1"/>
    <col min="14348" max="14348" width="11.26953125" style="600" customWidth="1"/>
    <col min="14349" max="14349" width="2.7265625" style="600" customWidth="1"/>
    <col min="14350" max="14350" width="11.26953125" style="600" customWidth="1"/>
    <col min="14351" max="14351" width="2.7265625" style="600" customWidth="1"/>
    <col min="14352" max="14352" width="19.08984375" style="600" bestFit="1" customWidth="1"/>
    <col min="14353" max="14353" width="1.81640625" style="600" customWidth="1"/>
    <col min="14354" max="14354" width="6.7265625" style="600" customWidth="1"/>
    <col min="14355" max="14355" width="14.7265625" style="600" customWidth="1"/>
    <col min="14356" max="14356" width="9" style="600" bestFit="1" customWidth="1"/>
    <col min="14357" max="14597" width="5" style="600"/>
    <col min="14598" max="14598" width="4.7265625" style="600" customWidth="1"/>
    <col min="14599" max="14599" width="2" style="600" customWidth="1"/>
    <col min="14600" max="14600" width="40.7265625" style="600" customWidth="1"/>
    <col min="14601" max="14601" width="3.54296875" style="600" customWidth="1"/>
    <col min="14602" max="14602" width="11.08984375" style="600" customWidth="1"/>
    <col min="14603" max="14603" width="2.7265625" style="600" customWidth="1"/>
    <col min="14604" max="14604" width="11.26953125" style="600" customWidth="1"/>
    <col min="14605" max="14605" width="2.7265625" style="600" customWidth="1"/>
    <col min="14606" max="14606" width="11.26953125" style="600" customWidth="1"/>
    <col min="14607" max="14607" width="2.7265625" style="600" customWidth="1"/>
    <col min="14608" max="14608" width="19.08984375" style="600" bestFit="1" customWidth="1"/>
    <col min="14609" max="14609" width="1.81640625" style="600" customWidth="1"/>
    <col min="14610" max="14610" width="6.7265625" style="600" customWidth="1"/>
    <col min="14611" max="14611" width="14.7265625" style="600" customWidth="1"/>
    <col min="14612" max="14612" width="9" style="600" bestFit="1" customWidth="1"/>
    <col min="14613" max="14853" width="5" style="600"/>
    <col min="14854" max="14854" width="4.7265625" style="600" customWidth="1"/>
    <col min="14855" max="14855" width="2" style="600" customWidth="1"/>
    <col min="14856" max="14856" width="40.7265625" style="600" customWidth="1"/>
    <col min="14857" max="14857" width="3.54296875" style="600" customWidth="1"/>
    <col min="14858" max="14858" width="11.08984375" style="600" customWidth="1"/>
    <col min="14859" max="14859" width="2.7265625" style="600" customWidth="1"/>
    <col min="14860" max="14860" width="11.26953125" style="600" customWidth="1"/>
    <col min="14861" max="14861" width="2.7265625" style="600" customWidth="1"/>
    <col min="14862" max="14862" width="11.26953125" style="600" customWidth="1"/>
    <col min="14863" max="14863" width="2.7265625" style="600" customWidth="1"/>
    <col min="14864" max="14864" width="19.08984375" style="600" bestFit="1" customWidth="1"/>
    <col min="14865" max="14865" width="1.81640625" style="600" customWidth="1"/>
    <col min="14866" max="14866" width="6.7265625" style="600" customWidth="1"/>
    <col min="14867" max="14867" width="14.7265625" style="600" customWidth="1"/>
    <col min="14868" max="14868" width="9" style="600" bestFit="1" customWidth="1"/>
    <col min="14869" max="15109" width="5" style="600"/>
    <col min="15110" max="15110" width="4.7265625" style="600" customWidth="1"/>
    <col min="15111" max="15111" width="2" style="600" customWidth="1"/>
    <col min="15112" max="15112" width="40.7265625" style="600" customWidth="1"/>
    <col min="15113" max="15113" width="3.54296875" style="600" customWidth="1"/>
    <col min="15114" max="15114" width="11.08984375" style="600" customWidth="1"/>
    <col min="15115" max="15115" width="2.7265625" style="600" customWidth="1"/>
    <col min="15116" max="15116" width="11.26953125" style="600" customWidth="1"/>
    <col min="15117" max="15117" width="2.7265625" style="600" customWidth="1"/>
    <col min="15118" max="15118" width="11.26953125" style="600" customWidth="1"/>
    <col min="15119" max="15119" width="2.7265625" style="600" customWidth="1"/>
    <col min="15120" max="15120" width="19.08984375" style="600" bestFit="1" customWidth="1"/>
    <col min="15121" max="15121" width="1.81640625" style="600" customWidth="1"/>
    <col min="15122" max="15122" width="6.7265625" style="600" customWidth="1"/>
    <col min="15123" max="15123" width="14.7265625" style="600" customWidth="1"/>
    <col min="15124" max="15124" width="9" style="600" bestFit="1" customWidth="1"/>
    <col min="15125" max="15365" width="5" style="600"/>
    <col min="15366" max="15366" width="4.7265625" style="600" customWidth="1"/>
    <col min="15367" max="15367" width="2" style="600" customWidth="1"/>
    <col min="15368" max="15368" width="40.7265625" style="600" customWidth="1"/>
    <col min="15369" max="15369" width="3.54296875" style="600" customWidth="1"/>
    <col min="15370" max="15370" width="11.08984375" style="600" customWidth="1"/>
    <col min="15371" max="15371" width="2.7265625" style="600" customWidth="1"/>
    <col min="15372" max="15372" width="11.26953125" style="600" customWidth="1"/>
    <col min="15373" max="15373" width="2.7265625" style="600" customWidth="1"/>
    <col min="15374" max="15374" width="11.26953125" style="600" customWidth="1"/>
    <col min="15375" max="15375" width="2.7265625" style="600" customWidth="1"/>
    <col min="15376" max="15376" width="19.08984375" style="600" bestFit="1" customWidth="1"/>
    <col min="15377" max="15377" width="1.81640625" style="600" customWidth="1"/>
    <col min="15378" max="15378" width="6.7265625" style="600" customWidth="1"/>
    <col min="15379" max="15379" width="14.7265625" style="600" customWidth="1"/>
    <col min="15380" max="15380" width="9" style="600" bestFit="1" customWidth="1"/>
    <col min="15381" max="15621" width="5" style="600"/>
    <col min="15622" max="15622" width="4.7265625" style="600" customWidth="1"/>
    <col min="15623" max="15623" width="2" style="600" customWidth="1"/>
    <col min="15624" max="15624" width="40.7265625" style="600" customWidth="1"/>
    <col min="15625" max="15625" width="3.54296875" style="600" customWidth="1"/>
    <col min="15626" max="15626" width="11.08984375" style="600" customWidth="1"/>
    <col min="15627" max="15627" width="2.7265625" style="600" customWidth="1"/>
    <col min="15628" max="15628" width="11.26953125" style="600" customWidth="1"/>
    <col min="15629" max="15629" width="2.7265625" style="600" customWidth="1"/>
    <col min="15630" max="15630" width="11.26953125" style="600" customWidth="1"/>
    <col min="15631" max="15631" width="2.7265625" style="600" customWidth="1"/>
    <col min="15632" max="15632" width="19.08984375" style="600" bestFit="1" customWidth="1"/>
    <col min="15633" max="15633" width="1.81640625" style="600" customWidth="1"/>
    <col min="15634" max="15634" width="6.7265625" style="600" customWidth="1"/>
    <col min="15635" max="15635" width="14.7265625" style="600" customWidth="1"/>
    <col min="15636" max="15636" width="9" style="600" bestFit="1" customWidth="1"/>
    <col min="15637" max="15877" width="5" style="600"/>
    <col min="15878" max="15878" width="4.7265625" style="600" customWidth="1"/>
    <col min="15879" max="15879" width="2" style="600" customWidth="1"/>
    <col min="15880" max="15880" width="40.7265625" style="600" customWidth="1"/>
    <col min="15881" max="15881" width="3.54296875" style="600" customWidth="1"/>
    <col min="15882" max="15882" width="11.08984375" style="600" customWidth="1"/>
    <col min="15883" max="15883" width="2.7265625" style="600" customWidth="1"/>
    <col min="15884" max="15884" width="11.26953125" style="600" customWidth="1"/>
    <col min="15885" max="15885" width="2.7265625" style="600" customWidth="1"/>
    <col min="15886" max="15886" width="11.26953125" style="600" customWidth="1"/>
    <col min="15887" max="15887" width="2.7265625" style="600" customWidth="1"/>
    <col min="15888" max="15888" width="19.08984375" style="600" bestFit="1" customWidth="1"/>
    <col min="15889" max="15889" width="1.81640625" style="600" customWidth="1"/>
    <col min="15890" max="15890" width="6.7265625" style="600" customWidth="1"/>
    <col min="15891" max="15891" width="14.7265625" style="600" customWidth="1"/>
    <col min="15892" max="15892" width="9" style="600" bestFit="1" customWidth="1"/>
    <col min="15893" max="16133" width="5" style="600"/>
    <col min="16134" max="16134" width="4.7265625" style="600" customWidth="1"/>
    <col min="16135" max="16135" width="2" style="600" customWidth="1"/>
    <col min="16136" max="16136" width="40.7265625" style="600" customWidth="1"/>
    <col min="16137" max="16137" width="3.54296875" style="600" customWidth="1"/>
    <col min="16138" max="16138" width="11.08984375" style="600" customWidth="1"/>
    <col min="16139" max="16139" width="2.7265625" style="600" customWidth="1"/>
    <col min="16140" max="16140" width="11.26953125" style="600" customWidth="1"/>
    <col min="16141" max="16141" width="2.7265625" style="600" customWidth="1"/>
    <col min="16142" max="16142" width="11.26953125" style="600" customWidth="1"/>
    <col min="16143" max="16143" width="2.7265625" style="600" customWidth="1"/>
    <col min="16144" max="16144" width="19.08984375" style="600" bestFit="1" customWidth="1"/>
    <col min="16145" max="16145" width="1.81640625" style="600" customWidth="1"/>
    <col min="16146" max="16146" width="6.7265625" style="600" customWidth="1"/>
    <col min="16147" max="16147" width="14.7265625" style="600" customWidth="1"/>
    <col min="16148" max="16148" width="9" style="600" bestFit="1" customWidth="1"/>
    <col min="16149" max="16384" width="5" style="600"/>
  </cols>
  <sheetData>
    <row r="1" spans="1:47">
      <c r="AO1" s="600"/>
      <c r="AS1"/>
      <c r="AT1" s="856" t="s">
        <v>988</v>
      </c>
    </row>
    <row r="2" spans="1:47">
      <c r="AO2" s="600"/>
      <c r="AS2"/>
      <c r="AT2" s="856" t="s">
        <v>144</v>
      </c>
    </row>
    <row r="3" spans="1:47">
      <c r="AO3" s="600"/>
      <c r="AS3"/>
      <c r="AT3" s="3" t="str">
        <f>'Attachment 16 - Abandoned Plant'!I3</f>
        <v>For the 12 months ended 12/31/2023</v>
      </c>
    </row>
    <row r="5" spans="1:47">
      <c r="C5" s="620" t="s">
        <v>627</v>
      </c>
      <c r="E5" s="620" t="str">
        <f>"("&amp;CHAR(CODE(MID(C5,2,1))+1)&amp;")"</f>
        <v>(B)</v>
      </c>
      <c r="G5" s="620" t="str">
        <f>"("&amp;CHAR(CODE(MID(E5,2,1))+1)&amp;")"</f>
        <v>(C)</v>
      </c>
      <c r="I5" s="620" t="str">
        <f t="shared" ref="I5" si="0">"("&amp;CHAR(CODE(MID(G5,2,1))+1)&amp;")"</f>
        <v>(D)</v>
      </c>
      <c r="K5" s="620" t="str">
        <f t="shared" ref="K5" si="1">"("&amp;CHAR(CODE(MID(I5,2,1))+1)&amp;")"</f>
        <v>(E)</v>
      </c>
      <c r="M5" s="620" t="str">
        <f t="shared" ref="M5" si="2">"("&amp;CHAR(CODE(MID(K5,2,1))+1)&amp;")"</f>
        <v>(F)</v>
      </c>
      <c r="O5" s="620" t="str">
        <f t="shared" ref="O5" si="3">"("&amp;CHAR(CODE(MID(M5,2,1))+1)&amp;")"</f>
        <v>(G)</v>
      </c>
      <c r="Q5" s="620" t="str">
        <f>"("&amp;CHAR(CODE(MID(O5,2,1))+1)&amp;")"</f>
        <v>(H)</v>
      </c>
      <c r="S5" s="620" t="str">
        <f>"("&amp;CHAR(CODE(MID(Q5,2,1))+1)&amp;")"</f>
        <v>(I)</v>
      </c>
      <c r="U5" s="620" t="str">
        <f>"("&amp;CHAR(CODE(MID(S5,2,1))+1)&amp;")"</f>
        <v>(J)</v>
      </c>
      <c r="W5" s="620" t="str">
        <f>"("&amp;CHAR(CODE(MID(U5,2,1))+1)&amp;")"</f>
        <v>(K)</v>
      </c>
      <c r="Y5" s="620" t="str">
        <f>"("&amp;CHAR(CODE(MID(W5,2,1))+1)&amp;")"</f>
        <v>(L)</v>
      </c>
      <c r="AA5" s="620" t="str">
        <f>"("&amp;CHAR(CODE(MID(Y5,2,1))+1)&amp;")"</f>
        <v>(M)</v>
      </c>
      <c r="AC5" s="620" t="str">
        <f>"("&amp;CHAR(CODE(MID(AA5,2,1))+1)&amp;")"</f>
        <v>(N)</v>
      </c>
      <c r="AE5" s="620" t="str">
        <f>"("&amp;CHAR(CODE(MID(AC5,2,1))+1)&amp;")"</f>
        <v>(O)</v>
      </c>
      <c r="AG5" s="620" t="str">
        <f>"("&amp;CHAR(CODE(MID(AE5,2,1))+1)&amp;")"</f>
        <v>(P)</v>
      </c>
      <c r="AI5" s="620" t="str">
        <f>"("&amp;CHAR(CODE(MID(AG5,2,1))+1)&amp;")"</f>
        <v>(Q)</v>
      </c>
      <c r="AK5" s="620" t="str">
        <f>"("&amp;CHAR(CODE(MID(AI5,2,1))+1)&amp;")"</f>
        <v>(R)</v>
      </c>
      <c r="AM5" s="620" t="str">
        <f>"("&amp;CHAR(CODE(MID(AK5,2,1))+1)&amp;")"</f>
        <v>(S)</v>
      </c>
      <c r="AO5" s="620" t="str">
        <f>"("&amp;CHAR(CODE(MID(AM5,2,1))+1)&amp;")"</f>
        <v>(T)</v>
      </c>
      <c r="AQ5" s="620" t="str">
        <f>"("&amp;CHAR(CODE(MID(AO5,2,1))+1)&amp;")"</f>
        <v>(U)</v>
      </c>
      <c r="AR5" s="744" t="str">
        <f>"("&amp;CHAR(CODE(MID(AQ5,2,1))+1)&amp;")"</f>
        <v>(V)</v>
      </c>
      <c r="AS5" s="744"/>
      <c r="AT5" s="744" t="str">
        <f>"("&amp;CHAR(CODE(MID(AR5,2,1))+1)&amp;")"</f>
        <v>(W)</v>
      </c>
    </row>
    <row r="6" spans="1:47">
      <c r="E6" s="620"/>
      <c r="G6" s="620"/>
      <c r="O6" s="620"/>
      <c r="Q6" s="620"/>
      <c r="S6" s="620"/>
      <c r="U6" s="620"/>
      <c r="W6" s="620"/>
      <c r="Y6" s="620"/>
      <c r="AA6" s="620"/>
      <c r="AC6" s="620"/>
      <c r="AE6" s="620"/>
      <c r="AG6" s="620"/>
      <c r="AI6" s="620"/>
      <c r="AK6" s="620"/>
      <c r="AU6" s="601"/>
    </row>
    <row r="7" spans="1:47">
      <c r="E7" s="620"/>
      <c r="G7" s="601"/>
      <c r="O7" s="619">
        <f>'Attachment 4 - Accum Depr'!C8</f>
        <v>2022</v>
      </c>
      <c r="Q7" s="619">
        <f>$O$7+1</f>
        <v>2023</v>
      </c>
      <c r="S7" s="619">
        <f>$O$7+1</f>
        <v>2023</v>
      </c>
      <c r="U7" s="619">
        <f>$O$7+1</f>
        <v>2023</v>
      </c>
      <c r="W7" s="619">
        <f>$O$7+1</f>
        <v>2023</v>
      </c>
      <c r="Y7" s="619">
        <f>$O$7+1</f>
        <v>2023</v>
      </c>
      <c r="AA7" s="619">
        <f>$O$7+1</f>
        <v>2023</v>
      </c>
      <c r="AC7" s="619">
        <f>$O$7+1</f>
        <v>2023</v>
      </c>
      <c r="AE7" s="619">
        <f>$O$7+1</f>
        <v>2023</v>
      </c>
      <c r="AG7" s="619">
        <f>$O$7+1</f>
        <v>2023</v>
      </c>
      <c r="AI7" s="619">
        <f>$O$7+1</f>
        <v>2023</v>
      </c>
      <c r="AK7" s="619">
        <f>$O$7+1</f>
        <v>2023</v>
      </c>
      <c r="AM7" s="619">
        <f>$O$7+1</f>
        <v>2023</v>
      </c>
      <c r="AU7" s="601"/>
    </row>
    <row r="8" spans="1:47" ht="47.4">
      <c r="A8" s="618" t="s">
        <v>630</v>
      </c>
      <c r="B8" s="698"/>
      <c r="C8" s="617" t="s">
        <v>703</v>
      </c>
      <c r="D8" s="698"/>
      <c r="E8" s="616" t="s">
        <v>625</v>
      </c>
      <c r="F8" s="698"/>
      <c r="G8" s="627" t="s">
        <v>637</v>
      </c>
      <c r="H8" s="698"/>
      <c r="I8" s="615" t="s">
        <v>704</v>
      </c>
      <c r="J8" s="698"/>
      <c r="K8" s="615" t="s">
        <v>705</v>
      </c>
      <c r="L8" s="698"/>
      <c r="M8" s="615" t="s">
        <v>706</v>
      </c>
      <c r="N8" s="698"/>
      <c r="O8" s="615" t="s">
        <v>188</v>
      </c>
      <c r="P8" s="698"/>
      <c r="Q8" s="615" t="s">
        <v>623</v>
      </c>
      <c r="R8" s="698"/>
      <c r="S8" s="615" t="s">
        <v>622</v>
      </c>
      <c r="T8" s="698"/>
      <c r="U8" s="615" t="s">
        <v>621</v>
      </c>
      <c r="V8" s="698"/>
      <c r="W8" s="615" t="s">
        <v>620</v>
      </c>
      <c r="X8" s="698"/>
      <c r="Y8" s="615" t="s">
        <v>619</v>
      </c>
      <c r="Z8" s="698"/>
      <c r="AA8" s="615" t="s">
        <v>618</v>
      </c>
      <c r="AB8" s="698"/>
      <c r="AC8" s="615" t="s">
        <v>617</v>
      </c>
      <c r="AD8" s="698"/>
      <c r="AE8" s="615" t="s">
        <v>616</v>
      </c>
      <c r="AF8" s="698"/>
      <c r="AG8" s="615" t="s">
        <v>615</v>
      </c>
      <c r="AH8" s="698"/>
      <c r="AI8" s="615" t="s">
        <v>614</v>
      </c>
      <c r="AJ8" s="698"/>
      <c r="AK8" s="615" t="s">
        <v>613</v>
      </c>
      <c r="AL8" s="698"/>
      <c r="AM8" s="615" t="s">
        <v>188</v>
      </c>
      <c r="AN8" s="698"/>
      <c r="AO8" s="615" t="s">
        <v>629</v>
      </c>
      <c r="AP8" s="698" t="s">
        <v>642</v>
      </c>
      <c r="AQ8" s="614" t="s">
        <v>881</v>
      </c>
      <c r="AR8" s="889" t="s">
        <v>727</v>
      </c>
      <c r="AS8" s="698" t="s">
        <v>60</v>
      </c>
      <c r="AT8" s="889" t="s">
        <v>809</v>
      </c>
      <c r="AU8" s="607"/>
    </row>
    <row r="9" spans="1:47">
      <c r="A9" s="611"/>
      <c r="B9" s="697"/>
      <c r="C9" s="610"/>
      <c r="D9" s="697"/>
      <c r="E9" s="608"/>
      <c r="F9" s="697"/>
      <c r="G9" s="629"/>
      <c r="H9" s="697"/>
      <c r="I9" s="694"/>
      <c r="J9" s="697"/>
      <c r="K9" s="694"/>
      <c r="L9" s="697"/>
      <c r="M9" s="694"/>
      <c r="N9" s="697"/>
      <c r="O9" s="608"/>
      <c r="P9" s="697"/>
      <c r="Q9" s="608"/>
      <c r="R9" s="697"/>
      <c r="S9" s="608"/>
      <c r="T9" s="697"/>
      <c r="U9" s="608"/>
      <c r="V9" s="697"/>
      <c r="W9" s="608"/>
      <c r="X9" s="697"/>
      <c r="Y9" s="608"/>
      <c r="Z9" s="697"/>
      <c r="AA9" s="608"/>
      <c r="AB9" s="697"/>
      <c r="AC9" s="608"/>
      <c r="AD9" s="697"/>
      <c r="AE9" s="608"/>
      <c r="AF9" s="697"/>
      <c r="AG9" s="608"/>
      <c r="AH9" s="697"/>
      <c r="AI9" s="608"/>
      <c r="AJ9" s="697"/>
      <c r="AK9" s="608"/>
      <c r="AL9" s="697"/>
      <c r="AM9" s="608"/>
      <c r="AN9" s="697"/>
      <c r="AO9" s="608"/>
      <c r="AP9" s="697"/>
      <c r="AQ9" s="613"/>
      <c r="AR9" s="613"/>
      <c r="AS9" s="697"/>
      <c r="AT9" s="612"/>
      <c r="AU9" s="607"/>
    </row>
    <row r="10" spans="1:47">
      <c r="A10" s="611">
        <v>1</v>
      </c>
      <c r="B10" s="697"/>
      <c r="C10" s="610" t="s">
        <v>702</v>
      </c>
      <c r="D10" s="697"/>
      <c r="E10" s="608"/>
      <c r="F10" s="697"/>
      <c r="G10" s="629"/>
      <c r="H10" s="697"/>
      <c r="I10" s="694"/>
      <c r="J10" s="697"/>
      <c r="K10" s="694"/>
      <c r="L10" s="697"/>
      <c r="M10" s="694"/>
      <c r="N10" s="697"/>
      <c r="O10" s="608"/>
      <c r="P10" s="697"/>
      <c r="Q10" s="608"/>
      <c r="R10" s="697"/>
      <c r="S10" s="608"/>
      <c r="T10" s="697"/>
      <c r="U10" s="608"/>
      <c r="V10" s="697"/>
      <c r="W10" s="608"/>
      <c r="X10" s="697"/>
      <c r="Y10" s="608"/>
      <c r="Z10" s="697"/>
      <c r="AA10" s="608"/>
      <c r="AB10" s="697"/>
      <c r="AC10" s="608"/>
      <c r="AD10" s="697"/>
      <c r="AE10" s="608"/>
      <c r="AF10" s="697"/>
      <c r="AG10" s="608"/>
      <c r="AH10" s="697"/>
      <c r="AI10" s="608"/>
      <c r="AJ10" s="697"/>
      <c r="AK10" s="608"/>
      <c r="AL10" s="697"/>
      <c r="AM10" s="608"/>
      <c r="AN10" s="697"/>
      <c r="AO10" s="608"/>
      <c r="AP10" s="697"/>
      <c r="AQ10" s="608"/>
      <c r="AR10" s="608"/>
      <c r="AS10" s="697"/>
      <c r="AT10" s="608"/>
      <c r="AU10" s="607"/>
    </row>
    <row r="11" spans="1:47">
      <c r="C11" s="601"/>
      <c r="E11" s="601"/>
      <c r="G11" s="628"/>
      <c r="I11" s="628"/>
      <c r="K11" s="628"/>
      <c r="M11" s="628"/>
      <c r="O11" s="601"/>
      <c r="Q11" s="601"/>
      <c r="S11" s="601"/>
      <c r="U11" s="601"/>
      <c r="W11" s="601"/>
      <c r="Y11" s="601"/>
      <c r="AA11" s="601"/>
      <c r="AC11" s="601"/>
      <c r="AE11" s="601"/>
      <c r="AG11" s="601"/>
      <c r="AI11" s="601"/>
      <c r="AK11" s="601"/>
      <c r="AT11" s="601"/>
      <c r="AU11" s="601"/>
    </row>
    <row r="12" spans="1:47">
      <c r="A12" s="601" t="s">
        <v>365</v>
      </c>
      <c r="C12" s="656" t="s">
        <v>741</v>
      </c>
      <c r="E12" s="656"/>
      <c r="G12" s="656"/>
      <c r="I12" s="656"/>
      <c r="K12" s="656"/>
      <c r="M12" s="656"/>
      <c r="O12" s="656"/>
      <c r="Q12" s="656"/>
      <c r="S12" s="656"/>
      <c r="U12" s="656"/>
      <c r="W12" s="656"/>
      <c r="Y12" s="656"/>
      <c r="AA12" s="656"/>
      <c r="AC12" s="656"/>
      <c r="AE12" s="656"/>
      <c r="AG12" s="656"/>
      <c r="AI12" s="656"/>
      <c r="AK12" s="656"/>
      <c r="AM12" s="656"/>
      <c r="AO12" s="602">
        <f>SUM(O12:AM12)/13</f>
        <v>0</v>
      </c>
      <c r="AQ12" s="723"/>
      <c r="AR12" s="753">
        <f ca="1">IFERROR(INDIRECT(AQ12),0)</f>
        <v>0</v>
      </c>
      <c r="AT12" s="606">
        <f ca="1">AO12*AR12</f>
        <v>0</v>
      </c>
    </row>
    <row r="13" spans="1:47">
      <c r="A13" s="601" t="s">
        <v>366</v>
      </c>
      <c r="C13" s="656" t="s">
        <v>742</v>
      </c>
      <c r="E13" s="656"/>
      <c r="G13" s="656"/>
      <c r="I13" s="656"/>
      <c r="K13" s="656"/>
      <c r="M13" s="656"/>
      <c r="O13" s="656"/>
      <c r="Q13" s="656"/>
      <c r="S13" s="656"/>
      <c r="U13" s="656"/>
      <c r="W13" s="656"/>
      <c r="Y13" s="656"/>
      <c r="AA13" s="656"/>
      <c r="AC13" s="656"/>
      <c r="AE13" s="656"/>
      <c r="AG13" s="656"/>
      <c r="AI13" s="656"/>
      <c r="AK13" s="656"/>
      <c r="AM13" s="656"/>
      <c r="AO13" s="602">
        <f>SUM(O13:AM13)/13</f>
        <v>0</v>
      </c>
      <c r="AQ13" s="723"/>
      <c r="AR13" s="753">
        <f ca="1">IFERROR(INDIRECT(AQ13),0)</f>
        <v>0</v>
      </c>
      <c r="AT13" s="606">
        <f ca="1">AO13*AR13</f>
        <v>0</v>
      </c>
    </row>
    <row r="14" spans="1:47">
      <c r="A14" s="601">
        <v>3</v>
      </c>
      <c r="C14" s="600" t="s">
        <v>743</v>
      </c>
      <c r="E14" s="643"/>
      <c r="G14" s="628"/>
      <c r="I14" s="696"/>
      <c r="K14" s="696"/>
      <c r="M14" s="696"/>
      <c r="O14" s="605">
        <f>SUM(O12:O13)</f>
        <v>0</v>
      </c>
      <c r="Q14" s="605">
        <f>SUM(Q12:Q13)</f>
        <v>0</v>
      </c>
      <c r="S14" s="605">
        <f>SUM(S12:S13)</f>
        <v>0</v>
      </c>
      <c r="U14" s="605">
        <f>SUM(U12:U13)</f>
        <v>0</v>
      </c>
      <c r="W14" s="605">
        <f>SUM(W12:W13)</f>
        <v>0</v>
      </c>
      <c r="Y14" s="605">
        <f>SUM(Y12:Y13)</f>
        <v>0</v>
      </c>
      <c r="AA14" s="605">
        <f>SUM(AA12:AA13)</f>
        <v>0</v>
      </c>
      <c r="AC14" s="605">
        <f>SUM(AC12:AC13)</f>
        <v>0</v>
      </c>
      <c r="AE14" s="605">
        <f>SUM(AE12:AE13)</f>
        <v>0</v>
      </c>
      <c r="AG14" s="605">
        <f>SUM(AG12:AG13)</f>
        <v>0</v>
      </c>
      <c r="AI14" s="605">
        <f>SUM(AI12:AI13)</f>
        <v>0</v>
      </c>
      <c r="AK14" s="605">
        <f>SUM(AK12:AK13)</f>
        <v>0</v>
      </c>
      <c r="AM14" s="605">
        <f>SUM(AM12:AM13)</f>
        <v>0</v>
      </c>
      <c r="AO14" s="605">
        <f>SUM(AO12:AO13)</f>
        <v>0</v>
      </c>
      <c r="AT14" s="604">
        <f ca="1">SUM(AT12:AT13)</f>
        <v>0</v>
      </c>
    </row>
    <row r="15" spans="1:47">
      <c r="G15" s="628"/>
    </row>
    <row r="16" spans="1:47">
      <c r="A16" s="600"/>
      <c r="C16" s="603" t="s">
        <v>153</v>
      </c>
      <c r="E16" s="600"/>
      <c r="AM16" s="602"/>
    </row>
    <row r="17" spans="1:23" ht="15.6" customHeight="1">
      <c r="A17" s="600"/>
      <c r="C17" s="600" t="s">
        <v>786</v>
      </c>
      <c r="E17" s="600"/>
      <c r="G17" s="600"/>
      <c r="I17" s="628"/>
      <c r="K17" s="628"/>
      <c r="M17" s="813"/>
      <c r="O17" s="600"/>
      <c r="Q17" s="600"/>
      <c r="S17" s="788"/>
      <c r="T17" s="788"/>
      <c r="U17" s="788"/>
      <c r="V17" s="788"/>
      <c r="W17" s="788"/>
    </row>
    <row r="18" spans="1:23">
      <c r="C18" s="997" t="s">
        <v>843</v>
      </c>
      <c r="D18" s="997"/>
      <c r="E18" s="997"/>
      <c r="F18" s="997"/>
      <c r="G18" s="997"/>
      <c r="H18" s="997"/>
      <c r="I18" s="997"/>
      <c r="K18" s="628"/>
      <c r="M18" s="628"/>
      <c r="O18" s="822"/>
      <c r="Q18" s="600"/>
      <c r="S18" s="788"/>
      <c r="T18" s="788"/>
      <c r="U18" s="788"/>
      <c r="V18" s="788"/>
      <c r="W18" s="788"/>
    </row>
    <row r="19" spans="1:23" ht="15.75" customHeight="1">
      <c r="C19" s="997"/>
      <c r="D19" s="997"/>
      <c r="E19" s="997"/>
      <c r="F19" s="997"/>
      <c r="G19" s="997"/>
      <c r="H19" s="997"/>
      <c r="I19" s="997"/>
      <c r="K19" s="695"/>
      <c r="M19" s="695"/>
      <c r="O19" s="638"/>
      <c r="Q19" s="638"/>
      <c r="S19" s="788"/>
      <c r="T19" s="788"/>
      <c r="U19" s="788"/>
      <c r="V19" s="788"/>
      <c r="W19" s="788"/>
    </row>
    <row r="20" spans="1:23">
      <c r="Q20" s="638"/>
      <c r="S20" s="788"/>
      <c r="T20" s="788"/>
      <c r="U20" s="788"/>
      <c r="V20" s="788"/>
      <c r="W20" s="788"/>
    </row>
    <row r="21" spans="1:23">
      <c r="G21" s="628"/>
    </row>
    <row r="22" spans="1:23">
      <c r="G22" s="628"/>
    </row>
    <row r="23" spans="1:23">
      <c r="C23" s="812"/>
      <c r="E23" s="638"/>
      <c r="G23" s="638"/>
      <c r="I23" s="695"/>
      <c r="K23" s="695"/>
      <c r="M23" s="695"/>
      <c r="O23" s="638"/>
    </row>
    <row r="26" spans="1:23">
      <c r="G26" s="628"/>
    </row>
    <row r="27" spans="1:23">
      <c r="G27" s="628"/>
    </row>
    <row r="28" spans="1:23">
      <c r="G28" s="628"/>
    </row>
    <row r="29" spans="1:23">
      <c r="G29" s="628"/>
    </row>
    <row r="30" spans="1:23">
      <c r="G30" s="628"/>
    </row>
    <row r="32" spans="1:23">
      <c r="G32" s="664"/>
    </row>
    <row r="33" spans="7:7">
      <c r="G33" s="663"/>
    </row>
    <row r="34" spans="7:7">
      <c r="G34" s="600"/>
    </row>
    <row r="35" spans="7:7">
      <c r="G35" s="600"/>
    </row>
    <row r="36" spans="7:7">
      <c r="G36" s="600"/>
    </row>
    <row r="37" spans="7:7">
      <c r="G37" s="600"/>
    </row>
  </sheetData>
  <mergeCells count="1">
    <mergeCell ref="C18:I19"/>
  </mergeCells>
  <dataValidations count="1">
    <dataValidation type="list" allowBlank="1" showInputMessage="1" showErrorMessage="1" sqref="AQ12:AQ13" xr:uid="{00000000-0002-0000-1800-000000000000}">
      <formula1>"DA, TE, TP, GP, WS, CE, EXCL,"</formula1>
    </dataValidation>
  </dataValidations>
  <pageMargins left="0.25" right="0.25" top="0.75" bottom="0.75" header="0.3" footer="0.3"/>
  <pageSetup scale="34" fitToHeight="0" orientation="landscape" r:id="rId1"/>
  <headerFooter>
    <oddHeader xml:space="preserve">&amp;R&amp;"Times New Roman,Regular"
</oddHeader>
    <oddFooter xml:space="preserve">&amp;L&amp;"Times New Roman,Bold"&amp;10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5">
    <pageSetUpPr fitToPage="1"/>
  </sheetPr>
  <dimension ref="A1:AB49"/>
  <sheetViews>
    <sheetView showWhiteSpace="0" zoomScale="60" zoomScaleNormal="60" zoomScalePageLayoutView="70" workbookViewId="0">
      <selection activeCell="C2" sqref="C2"/>
    </sheetView>
  </sheetViews>
  <sheetFormatPr defaultColWidth="5" defaultRowHeight="15.6"/>
  <cols>
    <col min="1" max="1" width="6.26953125" style="601" bestFit="1" customWidth="1"/>
    <col min="2" max="2" width="0.7265625" style="601" customWidth="1"/>
    <col min="3" max="3" width="34.26953125" style="600" customWidth="1"/>
    <col min="4" max="4" width="10.26953125" style="600" customWidth="1"/>
    <col min="5" max="5" width="12.7265625" style="600" customWidth="1"/>
    <col min="6" max="6" width="1.7265625" style="600" customWidth="1"/>
    <col min="7" max="7" width="9.26953125" style="600" customWidth="1"/>
    <col min="8" max="8" width="2.7265625" style="600" customWidth="1"/>
    <col min="9" max="9" width="13.08984375" style="602" customWidth="1"/>
    <col min="10" max="10" width="2.08984375" style="600" customWidth="1"/>
    <col min="11" max="11" width="0.54296875" style="600" customWidth="1"/>
    <col min="12" max="224" width="5" style="600"/>
    <col min="225" max="225" width="4.7265625" style="600" customWidth="1"/>
    <col min="226" max="226" width="2" style="600" customWidth="1"/>
    <col min="227" max="227" width="40.7265625" style="600" customWidth="1"/>
    <col min="228" max="228" width="3.54296875" style="600" customWidth="1"/>
    <col min="229" max="229" width="11.08984375" style="600" customWidth="1"/>
    <col min="230" max="230" width="2.7265625" style="600" customWidth="1"/>
    <col min="231" max="231" width="11.26953125" style="600" customWidth="1"/>
    <col min="232" max="232" width="2.7265625" style="600" customWidth="1"/>
    <col min="233" max="233" width="11.26953125" style="600" customWidth="1"/>
    <col min="234" max="234" width="2.7265625" style="600" customWidth="1"/>
    <col min="235" max="235" width="19.08984375" style="600" bestFit="1" customWidth="1"/>
    <col min="236" max="236" width="1.81640625" style="600" customWidth="1"/>
    <col min="237" max="237" width="6.7265625" style="600" customWidth="1"/>
    <col min="238" max="238" width="14.7265625" style="600" customWidth="1"/>
    <col min="239" max="239" width="9" style="600" bestFit="1" customWidth="1"/>
    <col min="240" max="480" width="5" style="600"/>
    <col min="481" max="481" width="4.7265625" style="600" customWidth="1"/>
    <col min="482" max="482" width="2" style="600" customWidth="1"/>
    <col min="483" max="483" width="40.7265625" style="600" customWidth="1"/>
    <col min="484" max="484" width="3.54296875" style="600" customWidth="1"/>
    <col min="485" max="485" width="11.08984375" style="600" customWidth="1"/>
    <col min="486" max="486" width="2.7265625" style="600" customWidth="1"/>
    <col min="487" max="487" width="11.26953125" style="600" customWidth="1"/>
    <col min="488" max="488" width="2.7265625" style="600" customWidth="1"/>
    <col min="489" max="489" width="11.26953125" style="600" customWidth="1"/>
    <col min="490" max="490" width="2.7265625" style="600" customWidth="1"/>
    <col min="491" max="491" width="19.08984375" style="600" bestFit="1" customWidth="1"/>
    <col min="492" max="492" width="1.81640625" style="600" customWidth="1"/>
    <col min="493" max="493" width="6.7265625" style="600" customWidth="1"/>
    <col min="494" max="494" width="14.7265625" style="600" customWidth="1"/>
    <col min="495" max="495" width="9" style="600" bestFit="1" customWidth="1"/>
    <col min="496" max="736" width="5" style="600"/>
    <col min="737" max="737" width="4.7265625" style="600" customWidth="1"/>
    <col min="738" max="738" width="2" style="600" customWidth="1"/>
    <col min="739" max="739" width="40.7265625" style="600" customWidth="1"/>
    <col min="740" max="740" width="3.54296875" style="600" customWidth="1"/>
    <col min="741" max="741" width="11.08984375" style="600" customWidth="1"/>
    <col min="742" max="742" width="2.7265625" style="600" customWidth="1"/>
    <col min="743" max="743" width="11.26953125" style="600" customWidth="1"/>
    <col min="744" max="744" width="2.7265625" style="600" customWidth="1"/>
    <col min="745" max="745" width="11.26953125" style="600" customWidth="1"/>
    <col min="746" max="746" width="2.7265625" style="600" customWidth="1"/>
    <col min="747" max="747" width="19.08984375" style="600" bestFit="1" customWidth="1"/>
    <col min="748" max="748" width="1.81640625" style="600" customWidth="1"/>
    <col min="749" max="749" width="6.7265625" style="600" customWidth="1"/>
    <col min="750" max="750" width="14.7265625" style="600" customWidth="1"/>
    <col min="751" max="751" width="9" style="600" bestFit="1" customWidth="1"/>
    <col min="752" max="992" width="5" style="600"/>
    <col min="993" max="993" width="4.7265625" style="600" customWidth="1"/>
    <col min="994" max="994" width="2" style="600" customWidth="1"/>
    <col min="995" max="995" width="40.7265625" style="600" customWidth="1"/>
    <col min="996" max="996" width="3.54296875" style="600" customWidth="1"/>
    <col min="997" max="997" width="11.08984375" style="600" customWidth="1"/>
    <col min="998" max="998" width="2.7265625" style="600" customWidth="1"/>
    <col min="999" max="999" width="11.26953125" style="600" customWidth="1"/>
    <col min="1000" max="1000" width="2.7265625" style="600" customWidth="1"/>
    <col min="1001" max="1001" width="11.26953125" style="600" customWidth="1"/>
    <col min="1002" max="1002" width="2.7265625" style="600" customWidth="1"/>
    <col min="1003" max="1003" width="19.08984375" style="600" bestFit="1" customWidth="1"/>
    <col min="1004" max="1004" width="1.81640625" style="600" customWidth="1"/>
    <col min="1005" max="1005" width="6.7265625" style="600" customWidth="1"/>
    <col min="1006" max="1006" width="14.7265625" style="600" customWidth="1"/>
    <col min="1007" max="1007" width="9" style="600" bestFit="1" customWidth="1"/>
    <col min="1008" max="1248" width="5" style="600"/>
    <col min="1249" max="1249" width="4.7265625" style="600" customWidth="1"/>
    <col min="1250" max="1250" width="2" style="600" customWidth="1"/>
    <col min="1251" max="1251" width="40.7265625" style="600" customWidth="1"/>
    <col min="1252" max="1252" width="3.54296875" style="600" customWidth="1"/>
    <col min="1253" max="1253" width="11.08984375" style="600" customWidth="1"/>
    <col min="1254" max="1254" width="2.7265625" style="600" customWidth="1"/>
    <col min="1255" max="1255" width="11.26953125" style="600" customWidth="1"/>
    <col min="1256" max="1256" width="2.7265625" style="600" customWidth="1"/>
    <col min="1257" max="1257" width="11.26953125" style="600" customWidth="1"/>
    <col min="1258" max="1258" width="2.7265625" style="600" customWidth="1"/>
    <col min="1259" max="1259" width="19.08984375" style="600" bestFit="1" customWidth="1"/>
    <col min="1260" max="1260" width="1.81640625" style="600" customWidth="1"/>
    <col min="1261" max="1261" width="6.7265625" style="600" customWidth="1"/>
    <col min="1262" max="1262" width="14.7265625" style="600" customWidth="1"/>
    <col min="1263" max="1263" width="9" style="600" bestFit="1" customWidth="1"/>
    <col min="1264" max="1504" width="5" style="600"/>
    <col min="1505" max="1505" width="4.7265625" style="600" customWidth="1"/>
    <col min="1506" max="1506" width="2" style="600" customWidth="1"/>
    <col min="1507" max="1507" width="40.7265625" style="600" customWidth="1"/>
    <col min="1508" max="1508" width="3.54296875" style="600" customWidth="1"/>
    <col min="1509" max="1509" width="11.08984375" style="600" customWidth="1"/>
    <col min="1510" max="1510" width="2.7265625" style="600" customWidth="1"/>
    <col min="1511" max="1511" width="11.26953125" style="600" customWidth="1"/>
    <col min="1512" max="1512" width="2.7265625" style="600" customWidth="1"/>
    <col min="1513" max="1513" width="11.26953125" style="600" customWidth="1"/>
    <col min="1514" max="1514" width="2.7265625" style="600" customWidth="1"/>
    <col min="1515" max="1515" width="19.08984375" style="600" bestFit="1" customWidth="1"/>
    <col min="1516" max="1516" width="1.81640625" style="600" customWidth="1"/>
    <col min="1517" max="1517" width="6.7265625" style="600" customWidth="1"/>
    <col min="1518" max="1518" width="14.7265625" style="600" customWidth="1"/>
    <col min="1519" max="1519" width="9" style="600" bestFit="1" customWidth="1"/>
    <col min="1520" max="1760" width="5" style="600"/>
    <col min="1761" max="1761" width="4.7265625" style="600" customWidth="1"/>
    <col min="1762" max="1762" width="2" style="600" customWidth="1"/>
    <col min="1763" max="1763" width="40.7265625" style="600" customWidth="1"/>
    <col min="1764" max="1764" width="3.54296875" style="600" customWidth="1"/>
    <col min="1765" max="1765" width="11.08984375" style="600" customWidth="1"/>
    <col min="1766" max="1766" width="2.7265625" style="600" customWidth="1"/>
    <col min="1767" max="1767" width="11.26953125" style="600" customWidth="1"/>
    <col min="1768" max="1768" width="2.7265625" style="600" customWidth="1"/>
    <col min="1769" max="1769" width="11.26953125" style="600" customWidth="1"/>
    <col min="1770" max="1770" width="2.7265625" style="600" customWidth="1"/>
    <col min="1771" max="1771" width="19.08984375" style="600" bestFit="1" customWidth="1"/>
    <col min="1772" max="1772" width="1.81640625" style="600" customWidth="1"/>
    <col min="1773" max="1773" width="6.7265625" style="600" customWidth="1"/>
    <col min="1774" max="1774" width="14.7265625" style="600" customWidth="1"/>
    <col min="1775" max="1775" width="9" style="600" bestFit="1" customWidth="1"/>
    <col min="1776" max="2016" width="5" style="600"/>
    <col min="2017" max="2017" width="4.7265625" style="600" customWidth="1"/>
    <col min="2018" max="2018" width="2" style="600" customWidth="1"/>
    <col min="2019" max="2019" width="40.7265625" style="600" customWidth="1"/>
    <col min="2020" max="2020" width="3.54296875" style="600" customWidth="1"/>
    <col min="2021" max="2021" width="11.08984375" style="600" customWidth="1"/>
    <col min="2022" max="2022" width="2.7265625" style="600" customWidth="1"/>
    <col min="2023" max="2023" width="11.26953125" style="600" customWidth="1"/>
    <col min="2024" max="2024" width="2.7265625" style="600" customWidth="1"/>
    <col min="2025" max="2025" width="11.26953125" style="600" customWidth="1"/>
    <col min="2026" max="2026" width="2.7265625" style="600" customWidth="1"/>
    <col min="2027" max="2027" width="19.08984375" style="600" bestFit="1" customWidth="1"/>
    <col min="2028" max="2028" width="1.81640625" style="600" customWidth="1"/>
    <col min="2029" max="2029" width="6.7265625" style="600" customWidth="1"/>
    <col min="2030" max="2030" width="14.7265625" style="600" customWidth="1"/>
    <col min="2031" max="2031" width="9" style="600" bestFit="1" customWidth="1"/>
    <col min="2032" max="2272" width="5" style="600"/>
    <col min="2273" max="2273" width="4.7265625" style="600" customWidth="1"/>
    <col min="2274" max="2274" width="2" style="600" customWidth="1"/>
    <col min="2275" max="2275" width="40.7265625" style="600" customWidth="1"/>
    <col min="2276" max="2276" width="3.54296875" style="600" customWidth="1"/>
    <col min="2277" max="2277" width="11.08984375" style="600" customWidth="1"/>
    <col min="2278" max="2278" width="2.7265625" style="600" customWidth="1"/>
    <col min="2279" max="2279" width="11.26953125" style="600" customWidth="1"/>
    <col min="2280" max="2280" width="2.7265625" style="600" customWidth="1"/>
    <col min="2281" max="2281" width="11.26953125" style="600" customWidth="1"/>
    <col min="2282" max="2282" width="2.7265625" style="600" customWidth="1"/>
    <col min="2283" max="2283" width="19.08984375" style="600" bestFit="1" customWidth="1"/>
    <col min="2284" max="2284" width="1.81640625" style="600" customWidth="1"/>
    <col min="2285" max="2285" width="6.7265625" style="600" customWidth="1"/>
    <col min="2286" max="2286" width="14.7265625" style="600" customWidth="1"/>
    <col min="2287" max="2287" width="9" style="600" bestFit="1" customWidth="1"/>
    <col min="2288" max="2528" width="5" style="600"/>
    <col min="2529" max="2529" width="4.7265625" style="600" customWidth="1"/>
    <col min="2530" max="2530" width="2" style="600" customWidth="1"/>
    <col min="2531" max="2531" width="40.7265625" style="600" customWidth="1"/>
    <col min="2532" max="2532" width="3.54296875" style="600" customWidth="1"/>
    <col min="2533" max="2533" width="11.08984375" style="600" customWidth="1"/>
    <col min="2534" max="2534" width="2.7265625" style="600" customWidth="1"/>
    <col min="2535" max="2535" width="11.26953125" style="600" customWidth="1"/>
    <col min="2536" max="2536" width="2.7265625" style="600" customWidth="1"/>
    <col min="2537" max="2537" width="11.26953125" style="600" customWidth="1"/>
    <col min="2538" max="2538" width="2.7265625" style="600" customWidth="1"/>
    <col min="2539" max="2539" width="19.08984375" style="600" bestFit="1" customWidth="1"/>
    <col min="2540" max="2540" width="1.81640625" style="600" customWidth="1"/>
    <col min="2541" max="2541" width="6.7265625" style="600" customWidth="1"/>
    <col min="2542" max="2542" width="14.7265625" style="600" customWidth="1"/>
    <col min="2543" max="2543" width="9" style="600" bestFit="1" customWidth="1"/>
    <col min="2544" max="2784" width="5" style="600"/>
    <col min="2785" max="2785" width="4.7265625" style="600" customWidth="1"/>
    <col min="2786" max="2786" width="2" style="600" customWidth="1"/>
    <col min="2787" max="2787" width="40.7265625" style="600" customWidth="1"/>
    <col min="2788" max="2788" width="3.54296875" style="600" customWidth="1"/>
    <col min="2789" max="2789" width="11.08984375" style="600" customWidth="1"/>
    <col min="2790" max="2790" width="2.7265625" style="600" customWidth="1"/>
    <col min="2791" max="2791" width="11.26953125" style="600" customWidth="1"/>
    <col min="2792" max="2792" width="2.7265625" style="600" customWidth="1"/>
    <col min="2793" max="2793" width="11.26953125" style="600" customWidth="1"/>
    <col min="2794" max="2794" width="2.7265625" style="600" customWidth="1"/>
    <col min="2795" max="2795" width="19.08984375" style="600" bestFit="1" customWidth="1"/>
    <col min="2796" max="2796" width="1.81640625" style="600" customWidth="1"/>
    <col min="2797" max="2797" width="6.7265625" style="600" customWidth="1"/>
    <col min="2798" max="2798" width="14.7265625" style="600" customWidth="1"/>
    <col min="2799" max="2799" width="9" style="600" bestFit="1" customWidth="1"/>
    <col min="2800" max="3040" width="5" style="600"/>
    <col min="3041" max="3041" width="4.7265625" style="600" customWidth="1"/>
    <col min="3042" max="3042" width="2" style="600" customWidth="1"/>
    <col min="3043" max="3043" width="40.7265625" style="600" customWidth="1"/>
    <col min="3044" max="3044" width="3.54296875" style="600" customWidth="1"/>
    <col min="3045" max="3045" width="11.08984375" style="600" customWidth="1"/>
    <col min="3046" max="3046" width="2.7265625" style="600" customWidth="1"/>
    <col min="3047" max="3047" width="11.26953125" style="600" customWidth="1"/>
    <col min="3048" max="3048" width="2.7265625" style="600" customWidth="1"/>
    <col min="3049" max="3049" width="11.26953125" style="600" customWidth="1"/>
    <col min="3050" max="3050" width="2.7265625" style="600" customWidth="1"/>
    <col min="3051" max="3051" width="19.08984375" style="600" bestFit="1" customWidth="1"/>
    <col min="3052" max="3052" width="1.81640625" style="600" customWidth="1"/>
    <col min="3053" max="3053" width="6.7265625" style="600" customWidth="1"/>
    <col min="3054" max="3054" width="14.7265625" style="600" customWidth="1"/>
    <col min="3055" max="3055" width="9" style="600" bestFit="1" customWidth="1"/>
    <col min="3056" max="3296" width="5" style="600"/>
    <col min="3297" max="3297" width="4.7265625" style="600" customWidth="1"/>
    <col min="3298" max="3298" width="2" style="600" customWidth="1"/>
    <col min="3299" max="3299" width="40.7265625" style="600" customWidth="1"/>
    <col min="3300" max="3300" width="3.54296875" style="600" customWidth="1"/>
    <col min="3301" max="3301" width="11.08984375" style="600" customWidth="1"/>
    <col min="3302" max="3302" width="2.7265625" style="600" customWidth="1"/>
    <col min="3303" max="3303" width="11.26953125" style="600" customWidth="1"/>
    <col min="3304" max="3304" width="2.7265625" style="600" customWidth="1"/>
    <col min="3305" max="3305" width="11.26953125" style="600" customWidth="1"/>
    <col min="3306" max="3306" width="2.7265625" style="600" customWidth="1"/>
    <col min="3307" max="3307" width="19.08984375" style="600" bestFit="1" customWidth="1"/>
    <col min="3308" max="3308" width="1.81640625" style="600" customWidth="1"/>
    <col min="3309" max="3309" width="6.7265625" style="600" customWidth="1"/>
    <col min="3310" max="3310" width="14.7265625" style="600" customWidth="1"/>
    <col min="3311" max="3311" width="9" style="600" bestFit="1" customWidth="1"/>
    <col min="3312" max="3552" width="5" style="600"/>
    <col min="3553" max="3553" width="4.7265625" style="600" customWidth="1"/>
    <col min="3554" max="3554" width="2" style="600" customWidth="1"/>
    <col min="3555" max="3555" width="40.7265625" style="600" customWidth="1"/>
    <col min="3556" max="3556" width="3.54296875" style="600" customWidth="1"/>
    <col min="3557" max="3557" width="11.08984375" style="600" customWidth="1"/>
    <col min="3558" max="3558" width="2.7265625" style="600" customWidth="1"/>
    <col min="3559" max="3559" width="11.26953125" style="600" customWidth="1"/>
    <col min="3560" max="3560" width="2.7265625" style="600" customWidth="1"/>
    <col min="3561" max="3561" width="11.26953125" style="600" customWidth="1"/>
    <col min="3562" max="3562" width="2.7265625" style="600" customWidth="1"/>
    <col min="3563" max="3563" width="19.08984375" style="600" bestFit="1" customWidth="1"/>
    <col min="3564" max="3564" width="1.81640625" style="600" customWidth="1"/>
    <col min="3565" max="3565" width="6.7265625" style="600" customWidth="1"/>
    <col min="3566" max="3566" width="14.7265625" style="600" customWidth="1"/>
    <col min="3567" max="3567" width="9" style="600" bestFit="1" customWidth="1"/>
    <col min="3568" max="3808" width="5" style="600"/>
    <col min="3809" max="3809" width="4.7265625" style="600" customWidth="1"/>
    <col min="3810" max="3810" width="2" style="600" customWidth="1"/>
    <col min="3811" max="3811" width="40.7265625" style="600" customWidth="1"/>
    <col min="3812" max="3812" width="3.54296875" style="600" customWidth="1"/>
    <col min="3813" max="3813" width="11.08984375" style="600" customWidth="1"/>
    <col min="3814" max="3814" width="2.7265625" style="600" customWidth="1"/>
    <col min="3815" max="3815" width="11.26953125" style="600" customWidth="1"/>
    <col min="3816" max="3816" width="2.7265625" style="600" customWidth="1"/>
    <col min="3817" max="3817" width="11.26953125" style="600" customWidth="1"/>
    <col min="3818" max="3818" width="2.7265625" style="600" customWidth="1"/>
    <col min="3819" max="3819" width="19.08984375" style="600" bestFit="1" customWidth="1"/>
    <col min="3820" max="3820" width="1.81640625" style="600" customWidth="1"/>
    <col min="3821" max="3821" width="6.7265625" style="600" customWidth="1"/>
    <col min="3822" max="3822" width="14.7265625" style="600" customWidth="1"/>
    <col min="3823" max="3823" width="9" style="600" bestFit="1" customWidth="1"/>
    <col min="3824" max="4064" width="5" style="600"/>
    <col min="4065" max="4065" width="4.7265625" style="600" customWidth="1"/>
    <col min="4066" max="4066" width="2" style="600" customWidth="1"/>
    <col min="4067" max="4067" width="40.7265625" style="600" customWidth="1"/>
    <col min="4068" max="4068" width="3.54296875" style="600" customWidth="1"/>
    <col min="4069" max="4069" width="11.08984375" style="600" customWidth="1"/>
    <col min="4070" max="4070" width="2.7265625" style="600" customWidth="1"/>
    <col min="4071" max="4071" width="11.26953125" style="600" customWidth="1"/>
    <col min="4072" max="4072" width="2.7265625" style="600" customWidth="1"/>
    <col min="4073" max="4073" width="11.26953125" style="600" customWidth="1"/>
    <col min="4074" max="4074" width="2.7265625" style="600" customWidth="1"/>
    <col min="4075" max="4075" width="19.08984375" style="600" bestFit="1" customWidth="1"/>
    <col min="4076" max="4076" width="1.81640625" style="600" customWidth="1"/>
    <col min="4077" max="4077" width="6.7265625" style="600" customWidth="1"/>
    <col min="4078" max="4078" width="14.7265625" style="600" customWidth="1"/>
    <col min="4079" max="4079" width="9" style="600" bestFit="1" customWidth="1"/>
    <col min="4080" max="4320" width="5" style="600"/>
    <col min="4321" max="4321" width="4.7265625" style="600" customWidth="1"/>
    <col min="4322" max="4322" width="2" style="600" customWidth="1"/>
    <col min="4323" max="4323" width="40.7265625" style="600" customWidth="1"/>
    <col min="4324" max="4324" width="3.54296875" style="600" customWidth="1"/>
    <col min="4325" max="4325" width="11.08984375" style="600" customWidth="1"/>
    <col min="4326" max="4326" width="2.7265625" style="600" customWidth="1"/>
    <col min="4327" max="4327" width="11.26953125" style="600" customWidth="1"/>
    <col min="4328" max="4328" width="2.7265625" style="600" customWidth="1"/>
    <col min="4329" max="4329" width="11.26953125" style="600" customWidth="1"/>
    <col min="4330" max="4330" width="2.7265625" style="600" customWidth="1"/>
    <col min="4331" max="4331" width="19.08984375" style="600" bestFit="1" customWidth="1"/>
    <col min="4332" max="4332" width="1.81640625" style="600" customWidth="1"/>
    <col min="4333" max="4333" width="6.7265625" style="600" customWidth="1"/>
    <col min="4334" max="4334" width="14.7265625" style="600" customWidth="1"/>
    <col min="4335" max="4335" width="9" style="600" bestFit="1" customWidth="1"/>
    <col min="4336" max="4576" width="5" style="600"/>
    <col min="4577" max="4577" width="4.7265625" style="600" customWidth="1"/>
    <col min="4578" max="4578" width="2" style="600" customWidth="1"/>
    <col min="4579" max="4579" width="40.7265625" style="600" customWidth="1"/>
    <col min="4580" max="4580" width="3.54296875" style="600" customWidth="1"/>
    <col min="4581" max="4581" width="11.08984375" style="600" customWidth="1"/>
    <col min="4582" max="4582" width="2.7265625" style="600" customWidth="1"/>
    <col min="4583" max="4583" width="11.26953125" style="600" customWidth="1"/>
    <col min="4584" max="4584" width="2.7265625" style="600" customWidth="1"/>
    <col min="4585" max="4585" width="11.26953125" style="600" customWidth="1"/>
    <col min="4586" max="4586" width="2.7265625" style="600" customWidth="1"/>
    <col min="4587" max="4587" width="19.08984375" style="600" bestFit="1" customWidth="1"/>
    <col min="4588" max="4588" width="1.81640625" style="600" customWidth="1"/>
    <col min="4589" max="4589" width="6.7265625" style="600" customWidth="1"/>
    <col min="4590" max="4590" width="14.7265625" style="600" customWidth="1"/>
    <col min="4591" max="4591" width="9" style="600" bestFit="1" customWidth="1"/>
    <col min="4592" max="4832" width="5" style="600"/>
    <col min="4833" max="4833" width="4.7265625" style="600" customWidth="1"/>
    <col min="4834" max="4834" width="2" style="600" customWidth="1"/>
    <col min="4835" max="4835" width="40.7265625" style="600" customWidth="1"/>
    <col min="4836" max="4836" width="3.54296875" style="600" customWidth="1"/>
    <col min="4837" max="4837" width="11.08984375" style="600" customWidth="1"/>
    <col min="4838" max="4838" width="2.7265625" style="600" customWidth="1"/>
    <col min="4839" max="4839" width="11.26953125" style="600" customWidth="1"/>
    <col min="4840" max="4840" width="2.7265625" style="600" customWidth="1"/>
    <col min="4841" max="4841" width="11.26953125" style="600" customWidth="1"/>
    <col min="4842" max="4842" width="2.7265625" style="600" customWidth="1"/>
    <col min="4843" max="4843" width="19.08984375" style="600" bestFit="1" customWidth="1"/>
    <col min="4844" max="4844" width="1.81640625" style="600" customWidth="1"/>
    <col min="4845" max="4845" width="6.7265625" style="600" customWidth="1"/>
    <col min="4846" max="4846" width="14.7265625" style="600" customWidth="1"/>
    <col min="4847" max="4847" width="9" style="600" bestFit="1" customWidth="1"/>
    <col min="4848" max="5088" width="5" style="600"/>
    <col min="5089" max="5089" width="4.7265625" style="600" customWidth="1"/>
    <col min="5090" max="5090" width="2" style="600" customWidth="1"/>
    <col min="5091" max="5091" width="40.7265625" style="600" customWidth="1"/>
    <col min="5092" max="5092" width="3.54296875" style="600" customWidth="1"/>
    <col min="5093" max="5093" width="11.08984375" style="600" customWidth="1"/>
    <col min="5094" max="5094" width="2.7265625" style="600" customWidth="1"/>
    <col min="5095" max="5095" width="11.26953125" style="600" customWidth="1"/>
    <col min="5096" max="5096" width="2.7265625" style="600" customWidth="1"/>
    <col min="5097" max="5097" width="11.26953125" style="600" customWidth="1"/>
    <col min="5098" max="5098" width="2.7265625" style="600" customWidth="1"/>
    <col min="5099" max="5099" width="19.08984375" style="600" bestFit="1" customWidth="1"/>
    <col min="5100" max="5100" width="1.81640625" style="600" customWidth="1"/>
    <col min="5101" max="5101" width="6.7265625" style="600" customWidth="1"/>
    <col min="5102" max="5102" width="14.7265625" style="600" customWidth="1"/>
    <col min="5103" max="5103" width="9" style="600" bestFit="1" customWidth="1"/>
    <col min="5104" max="5344" width="5" style="600"/>
    <col min="5345" max="5345" width="4.7265625" style="600" customWidth="1"/>
    <col min="5346" max="5346" width="2" style="600" customWidth="1"/>
    <col min="5347" max="5347" width="40.7265625" style="600" customWidth="1"/>
    <col min="5348" max="5348" width="3.54296875" style="600" customWidth="1"/>
    <col min="5349" max="5349" width="11.08984375" style="600" customWidth="1"/>
    <col min="5350" max="5350" width="2.7265625" style="600" customWidth="1"/>
    <col min="5351" max="5351" width="11.26953125" style="600" customWidth="1"/>
    <col min="5352" max="5352" width="2.7265625" style="600" customWidth="1"/>
    <col min="5353" max="5353" width="11.26953125" style="600" customWidth="1"/>
    <col min="5354" max="5354" width="2.7265625" style="600" customWidth="1"/>
    <col min="5355" max="5355" width="19.08984375" style="600" bestFit="1" customWidth="1"/>
    <col min="5356" max="5356" width="1.81640625" style="600" customWidth="1"/>
    <col min="5357" max="5357" width="6.7265625" style="600" customWidth="1"/>
    <col min="5358" max="5358" width="14.7265625" style="600" customWidth="1"/>
    <col min="5359" max="5359" width="9" style="600" bestFit="1" customWidth="1"/>
    <col min="5360" max="5600" width="5" style="600"/>
    <col min="5601" max="5601" width="4.7265625" style="600" customWidth="1"/>
    <col min="5602" max="5602" width="2" style="600" customWidth="1"/>
    <col min="5603" max="5603" width="40.7265625" style="600" customWidth="1"/>
    <col min="5604" max="5604" width="3.54296875" style="600" customWidth="1"/>
    <col min="5605" max="5605" width="11.08984375" style="600" customWidth="1"/>
    <col min="5606" max="5606" width="2.7265625" style="600" customWidth="1"/>
    <col min="5607" max="5607" width="11.26953125" style="600" customWidth="1"/>
    <col min="5608" max="5608" width="2.7265625" style="600" customWidth="1"/>
    <col min="5609" max="5609" width="11.26953125" style="600" customWidth="1"/>
    <col min="5610" max="5610" width="2.7265625" style="600" customWidth="1"/>
    <col min="5611" max="5611" width="19.08984375" style="600" bestFit="1" customWidth="1"/>
    <col min="5612" max="5612" width="1.81640625" style="600" customWidth="1"/>
    <col min="5613" max="5613" width="6.7265625" style="600" customWidth="1"/>
    <col min="5614" max="5614" width="14.7265625" style="600" customWidth="1"/>
    <col min="5615" max="5615" width="9" style="600" bestFit="1" customWidth="1"/>
    <col min="5616" max="5856" width="5" style="600"/>
    <col min="5857" max="5857" width="4.7265625" style="600" customWidth="1"/>
    <col min="5858" max="5858" width="2" style="600" customWidth="1"/>
    <col min="5859" max="5859" width="40.7265625" style="600" customWidth="1"/>
    <col min="5860" max="5860" width="3.54296875" style="600" customWidth="1"/>
    <col min="5861" max="5861" width="11.08984375" style="600" customWidth="1"/>
    <col min="5862" max="5862" width="2.7265625" style="600" customWidth="1"/>
    <col min="5863" max="5863" width="11.26953125" style="600" customWidth="1"/>
    <col min="5864" max="5864" width="2.7265625" style="600" customWidth="1"/>
    <col min="5865" max="5865" width="11.26953125" style="600" customWidth="1"/>
    <col min="5866" max="5866" width="2.7265625" style="600" customWidth="1"/>
    <col min="5867" max="5867" width="19.08984375" style="600" bestFit="1" customWidth="1"/>
    <col min="5868" max="5868" width="1.81640625" style="600" customWidth="1"/>
    <col min="5869" max="5869" width="6.7265625" style="600" customWidth="1"/>
    <col min="5870" max="5870" width="14.7265625" style="600" customWidth="1"/>
    <col min="5871" max="5871" width="9" style="600" bestFit="1" customWidth="1"/>
    <col min="5872" max="6112" width="5" style="600"/>
    <col min="6113" max="6113" width="4.7265625" style="600" customWidth="1"/>
    <col min="6114" max="6114" width="2" style="600" customWidth="1"/>
    <col min="6115" max="6115" width="40.7265625" style="600" customWidth="1"/>
    <col min="6116" max="6116" width="3.54296875" style="600" customWidth="1"/>
    <col min="6117" max="6117" width="11.08984375" style="600" customWidth="1"/>
    <col min="6118" max="6118" width="2.7265625" style="600" customWidth="1"/>
    <col min="6119" max="6119" width="11.26953125" style="600" customWidth="1"/>
    <col min="6120" max="6120" width="2.7265625" style="600" customWidth="1"/>
    <col min="6121" max="6121" width="11.26953125" style="600" customWidth="1"/>
    <col min="6122" max="6122" width="2.7265625" style="600" customWidth="1"/>
    <col min="6123" max="6123" width="19.08984375" style="600" bestFit="1" customWidth="1"/>
    <col min="6124" max="6124" width="1.81640625" style="600" customWidth="1"/>
    <col min="6125" max="6125" width="6.7265625" style="600" customWidth="1"/>
    <col min="6126" max="6126" width="14.7265625" style="600" customWidth="1"/>
    <col min="6127" max="6127" width="9" style="600" bestFit="1" customWidth="1"/>
    <col min="6128" max="6368" width="5" style="600"/>
    <col min="6369" max="6369" width="4.7265625" style="600" customWidth="1"/>
    <col min="6370" max="6370" width="2" style="600" customWidth="1"/>
    <col min="6371" max="6371" width="40.7265625" style="600" customWidth="1"/>
    <col min="6372" max="6372" width="3.54296875" style="600" customWidth="1"/>
    <col min="6373" max="6373" width="11.08984375" style="600" customWidth="1"/>
    <col min="6374" max="6374" width="2.7265625" style="600" customWidth="1"/>
    <col min="6375" max="6375" width="11.26953125" style="600" customWidth="1"/>
    <col min="6376" max="6376" width="2.7265625" style="600" customWidth="1"/>
    <col min="6377" max="6377" width="11.26953125" style="600" customWidth="1"/>
    <col min="6378" max="6378" width="2.7265625" style="600" customWidth="1"/>
    <col min="6379" max="6379" width="19.08984375" style="600" bestFit="1" customWidth="1"/>
    <col min="6380" max="6380" width="1.81640625" style="600" customWidth="1"/>
    <col min="6381" max="6381" width="6.7265625" style="600" customWidth="1"/>
    <col min="6382" max="6382" width="14.7265625" style="600" customWidth="1"/>
    <col min="6383" max="6383" width="9" style="600" bestFit="1" customWidth="1"/>
    <col min="6384" max="6624" width="5" style="600"/>
    <col min="6625" max="6625" width="4.7265625" style="600" customWidth="1"/>
    <col min="6626" max="6626" width="2" style="600" customWidth="1"/>
    <col min="6627" max="6627" width="40.7265625" style="600" customWidth="1"/>
    <col min="6628" max="6628" width="3.54296875" style="600" customWidth="1"/>
    <col min="6629" max="6629" width="11.08984375" style="600" customWidth="1"/>
    <col min="6630" max="6630" width="2.7265625" style="600" customWidth="1"/>
    <col min="6631" max="6631" width="11.26953125" style="600" customWidth="1"/>
    <col min="6632" max="6632" width="2.7265625" style="600" customWidth="1"/>
    <col min="6633" max="6633" width="11.26953125" style="600" customWidth="1"/>
    <col min="6634" max="6634" width="2.7265625" style="600" customWidth="1"/>
    <col min="6635" max="6635" width="19.08984375" style="600" bestFit="1" customWidth="1"/>
    <col min="6636" max="6636" width="1.81640625" style="600" customWidth="1"/>
    <col min="6637" max="6637" width="6.7265625" style="600" customWidth="1"/>
    <col min="6638" max="6638" width="14.7265625" style="600" customWidth="1"/>
    <col min="6639" max="6639" width="9" style="600" bestFit="1" customWidth="1"/>
    <col min="6640" max="6880" width="5" style="600"/>
    <col min="6881" max="6881" width="4.7265625" style="600" customWidth="1"/>
    <col min="6882" max="6882" width="2" style="600" customWidth="1"/>
    <col min="6883" max="6883" width="40.7265625" style="600" customWidth="1"/>
    <col min="6884" max="6884" width="3.54296875" style="600" customWidth="1"/>
    <col min="6885" max="6885" width="11.08984375" style="600" customWidth="1"/>
    <col min="6886" max="6886" width="2.7265625" style="600" customWidth="1"/>
    <col min="6887" max="6887" width="11.26953125" style="600" customWidth="1"/>
    <col min="6888" max="6888" width="2.7265625" style="600" customWidth="1"/>
    <col min="6889" max="6889" width="11.26953125" style="600" customWidth="1"/>
    <col min="6890" max="6890" width="2.7265625" style="600" customWidth="1"/>
    <col min="6891" max="6891" width="19.08984375" style="600" bestFit="1" customWidth="1"/>
    <col min="6892" max="6892" width="1.81640625" style="600" customWidth="1"/>
    <col min="6893" max="6893" width="6.7265625" style="600" customWidth="1"/>
    <col min="6894" max="6894" width="14.7265625" style="600" customWidth="1"/>
    <col min="6895" max="6895" width="9" style="600" bestFit="1" customWidth="1"/>
    <col min="6896" max="7136" width="5" style="600"/>
    <col min="7137" max="7137" width="4.7265625" style="600" customWidth="1"/>
    <col min="7138" max="7138" width="2" style="600" customWidth="1"/>
    <col min="7139" max="7139" width="40.7265625" style="600" customWidth="1"/>
    <col min="7140" max="7140" width="3.54296875" style="600" customWidth="1"/>
    <col min="7141" max="7141" width="11.08984375" style="600" customWidth="1"/>
    <col min="7142" max="7142" width="2.7265625" style="600" customWidth="1"/>
    <col min="7143" max="7143" width="11.26953125" style="600" customWidth="1"/>
    <col min="7144" max="7144" width="2.7265625" style="600" customWidth="1"/>
    <col min="7145" max="7145" width="11.26953125" style="600" customWidth="1"/>
    <col min="7146" max="7146" width="2.7265625" style="600" customWidth="1"/>
    <col min="7147" max="7147" width="19.08984375" style="600" bestFit="1" customWidth="1"/>
    <col min="7148" max="7148" width="1.81640625" style="600" customWidth="1"/>
    <col min="7149" max="7149" width="6.7265625" style="600" customWidth="1"/>
    <col min="7150" max="7150" width="14.7265625" style="600" customWidth="1"/>
    <col min="7151" max="7151" width="9" style="600" bestFit="1" customWidth="1"/>
    <col min="7152" max="7392" width="5" style="600"/>
    <col min="7393" max="7393" width="4.7265625" style="600" customWidth="1"/>
    <col min="7394" max="7394" width="2" style="600" customWidth="1"/>
    <col min="7395" max="7395" width="40.7265625" style="600" customWidth="1"/>
    <col min="7396" max="7396" width="3.54296875" style="600" customWidth="1"/>
    <col min="7397" max="7397" width="11.08984375" style="600" customWidth="1"/>
    <col min="7398" max="7398" width="2.7265625" style="600" customWidth="1"/>
    <col min="7399" max="7399" width="11.26953125" style="600" customWidth="1"/>
    <col min="7400" max="7400" width="2.7265625" style="600" customWidth="1"/>
    <col min="7401" max="7401" width="11.26953125" style="600" customWidth="1"/>
    <col min="7402" max="7402" width="2.7265625" style="600" customWidth="1"/>
    <col min="7403" max="7403" width="19.08984375" style="600" bestFit="1" customWidth="1"/>
    <col min="7404" max="7404" width="1.81640625" style="600" customWidth="1"/>
    <col min="7405" max="7405" width="6.7265625" style="600" customWidth="1"/>
    <col min="7406" max="7406" width="14.7265625" style="600" customWidth="1"/>
    <col min="7407" max="7407" width="9" style="600" bestFit="1" customWidth="1"/>
    <col min="7408" max="7648" width="5" style="600"/>
    <col min="7649" max="7649" width="4.7265625" style="600" customWidth="1"/>
    <col min="7650" max="7650" width="2" style="600" customWidth="1"/>
    <col min="7651" max="7651" width="40.7265625" style="600" customWidth="1"/>
    <col min="7652" max="7652" width="3.54296875" style="600" customWidth="1"/>
    <col min="7653" max="7653" width="11.08984375" style="600" customWidth="1"/>
    <col min="7654" max="7654" width="2.7265625" style="600" customWidth="1"/>
    <col min="7655" max="7655" width="11.26953125" style="600" customWidth="1"/>
    <col min="7656" max="7656" width="2.7265625" style="600" customWidth="1"/>
    <col min="7657" max="7657" width="11.26953125" style="600" customWidth="1"/>
    <col min="7658" max="7658" width="2.7265625" style="600" customWidth="1"/>
    <col min="7659" max="7659" width="19.08984375" style="600" bestFit="1" customWidth="1"/>
    <col min="7660" max="7660" width="1.81640625" style="600" customWidth="1"/>
    <col min="7661" max="7661" width="6.7265625" style="600" customWidth="1"/>
    <col min="7662" max="7662" width="14.7265625" style="600" customWidth="1"/>
    <col min="7663" max="7663" width="9" style="600" bestFit="1" customWidth="1"/>
    <col min="7664" max="7904" width="5" style="600"/>
    <col min="7905" max="7905" width="4.7265625" style="600" customWidth="1"/>
    <col min="7906" max="7906" width="2" style="600" customWidth="1"/>
    <col min="7907" max="7907" width="40.7265625" style="600" customWidth="1"/>
    <col min="7908" max="7908" width="3.54296875" style="600" customWidth="1"/>
    <col min="7909" max="7909" width="11.08984375" style="600" customWidth="1"/>
    <col min="7910" max="7910" width="2.7265625" style="600" customWidth="1"/>
    <col min="7911" max="7911" width="11.26953125" style="600" customWidth="1"/>
    <col min="7912" max="7912" width="2.7265625" style="600" customWidth="1"/>
    <col min="7913" max="7913" width="11.26953125" style="600" customWidth="1"/>
    <col min="7914" max="7914" width="2.7265625" style="600" customWidth="1"/>
    <col min="7915" max="7915" width="19.08984375" style="600" bestFit="1" customWidth="1"/>
    <col min="7916" max="7916" width="1.81640625" style="600" customWidth="1"/>
    <col min="7917" max="7917" width="6.7265625" style="600" customWidth="1"/>
    <col min="7918" max="7918" width="14.7265625" style="600" customWidth="1"/>
    <col min="7919" max="7919" width="9" style="600" bestFit="1" customWidth="1"/>
    <col min="7920" max="8160" width="5" style="600"/>
    <col min="8161" max="8161" width="4.7265625" style="600" customWidth="1"/>
    <col min="8162" max="8162" width="2" style="600" customWidth="1"/>
    <col min="8163" max="8163" width="40.7265625" style="600" customWidth="1"/>
    <col min="8164" max="8164" width="3.54296875" style="600" customWidth="1"/>
    <col min="8165" max="8165" width="11.08984375" style="600" customWidth="1"/>
    <col min="8166" max="8166" width="2.7265625" style="600" customWidth="1"/>
    <col min="8167" max="8167" width="11.26953125" style="600" customWidth="1"/>
    <col min="8168" max="8168" width="2.7265625" style="600" customWidth="1"/>
    <col min="8169" max="8169" width="11.26953125" style="600" customWidth="1"/>
    <col min="8170" max="8170" width="2.7265625" style="600" customWidth="1"/>
    <col min="8171" max="8171" width="19.08984375" style="600" bestFit="1" customWidth="1"/>
    <col min="8172" max="8172" width="1.81640625" style="600" customWidth="1"/>
    <col min="8173" max="8173" width="6.7265625" style="600" customWidth="1"/>
    <col min="8174" max="8174" width="14.7265625" style="600" customWidth="1"/>
    <col min="8175" max="8175" width="9" style="600" bestFit="1" customWidth="1"/>
    <col min="8176" max="8416" width="5" style="600"/>
    <col min="8417" max="8417" width="4.7265625" style="600" customWidth="1"/>
    <col min="8418" max="8418" width="2" style="600" customWidth="1"/>
    <col min="8419" max="8419" width="40.7265625" style="600" customWidth="1"/>
    <col min="8420" max="8420" width="3.54296875" style="600" customWidth="1"/>
    <col min="8421" max="8421" width="11.08984375" style="600" customWidth="1"/>
    <col min="8422" max="8422" width="2.7265625" style="600" customWidth="1"/>
    <col min="8423" max="8423" width="11.26953125" style="600" customWidth="1"/>
    <col min="8424" max="8424" width="2.7265625" style="600" customWidth="1"/>
    <col min="8425" max="8425" width="11.26953125" style="600" customWidth="1"/>
    <col min="8426" max="8426" width="2.7265625" style="600" customWidth="1"/>
    <col min="8427" max="8427" width="19.08984375" style="600" bestFit="1" customWidth="1"/>
    <col min="8428" max="8428" width="1.81640625" style="600" customWidth="1"/>
    <col min="8429" max="8429" width="6.7265625" style="600" customWidth="1"/>
    <col min="8430" max="8430" width="14.7265625" style="600" customWidth="1"/>
    <col min="8431" max="8431" width="9" style="600" bestFit="1" customWidth="1"/>
    <col min="8432" max="8672" width="5" style="600"/>
    <col min="8673" max="8673" width="4.7265625" style="600" customWidth="1"/>
    <col min="8674" max="8674" width="2" style="600" customWidth="1"/>
    <col min="8675" max="8675" width="40.7265625" style="600" customWidth="1"/>
    <col min="8676" max="8676" width="3.54296875" style="600" customWidth="1"/>
    <col min="8677" max="8677" width="11.08984375" style="600" customWidth="1"/>
    <col min="8678" max="8678" width="2.7265625" style="600" customWidth="1"/>
    <col min="8679" max="8679" width="11.26953125" style="600" customWidth="1"/>
    <col min="8680" max="8680" width="2.7265625" style="600" customWidth="1"/>
    <col min="8681" max="8681" width="11.26953125" style="600" customWidth="1"/>
    <col min="8682" max="8682" width="2.7265625" style="600" customWidth="1"/>
    <col min="8683" max="8683" width="19.08984375" style="600" bestFit="1" customWidth="1"/>
    <col min="8684" max="8684" width="1.81640625" style="600" customWidth="1"/>
    <col min="8685" max="8685" width="6.7265625" style="600" customWidth="1"/>
    <col min="8686" max="8686" width="14.7265625" style="600" customWidth="1"/>
    <col min="8687" max="8687" width="9" style="600" bestFit="1" customWidth="1"/>
    <col min="8688" max="8928" width="5" style="600"/>
    <col min="8929" max="8929" width="4.7265625" style="600" customWidth="1"/>
    <col min="8930" max="8930" width="2" style="600" customWidth="1"/>
    <col min="8931" max="8931" width="40.7265625" style="600" customWidth="1"/>
    <col min="8932" max="8932" width="3.54296875" style="600" customWidth="1"/>
    <col min="8933" max="8933" width="11.08984375" style="600" customWidth="1"/>
    <col min="8934" max="8934" width="2.7265625" style="600" customWidth="1"/>
    <col min="8935" max="8935" width="11.26953125" style="600" customWidth="1"/>
    <col min="8936" max="8936" width="2.7265625" style="600" customWidth="1"/>
    <col min="8937" max="8937" width="11.26953125" style="600" customWidth="1"/>
    <col min="8938" max="8938" width="2.7265625" style="600" customWidth="1"/>
    <col min="8939" max="8939" width="19.08984375" style="600" bestFit="1" customWidth="1"/>
    <col min="8940" max="8940" width="1.81640625" style="600" customWidth="1"/>
    <col min="8941" max="8941" width="6.7265625" style="600" customWidth="1"/>
    <col min="8942" max="8942" width="14.7265625" style="600" customWidth="1"/>
    <col min="8943" max="8943" width="9" style="600" bestFit="1" customWidth="1"/>
    <col min="8944" max="9184" width="5" style="600"/>
    <col min="9185" max="9185" width="4.7265625" style="600" customWidth="1"/>
    <col min="9186" max="9186" width="2" style="600" customWidth="1"/>
    <col min="9187" max="9187" width="40.7265625" style="600" customWidth="1"/>
    <col min="9188" max="9188" width="3.54296875" style="600" customWidth="1"/>
    <col min="9189" max="9189" width="11.08984375" style="600" customWidth="1"/>
    <col min="9190" max="9190" width="2.7265625" style="600" customWidth="1"/>
    <col min="9191" max="9191" width="11.26953125" style="600" customWidth="1"/>
    <col min="9192" max="9192" width="2.7265625" style="600" customWidth="1"/>
    <col min="9193" max="9193" width="11.26953125" style="600" customWidth="1"/>
    <col min="9194" max="9194" width="2.7265625" style="600" customWidth="1"/>
    <col min="9195" max="9195" width="19.08984375" style="600" bestFit="1" customWidth="1"/>
    <col min="9196" max="9196" width="1.81640625" style="600" customWidth="1"/>
    <col min="9197" max="9197" width="6.7265625" style="600" customWidth="1"/>
    <col min="9198" max="9198" width="14.7265625" style="600" customWidth="1"/>
    <col min="9199" max="9199" width="9" style="600" bestFit="1" customWidth="1"/>
    <col min="9200" max="9440" width="5" style="600"/>
    <col min="9441" max="9441" width="4.7265625" style="600" customWidth="1"/>
    <col min="9442" max="9442" width="2" style="600" customWidth="1"/>
    <col min="9443" max="9443" width="40.7265625" style="600" customWidth="1"/>
    <col min="9444" max="9444" width="3.54296875" style="600" customWidth="1"/>
    <col min="9445" max="9445" width="11.08984375" style="600" customWidth="1"/>
    <col min="9446" max="9446" width="2.7265625" style="600" customWidth="1"/>
    <col min="9447" max="9447" width="11.26953125" style="600" customWidth="1"/>
    <col min="9448" max="9448" width="2.7265625" style="600" customWidth="1"/>
    <col min="9449" max="9449" width="11.26953125" style="600" customWidth="1"/>
    <col min="9450" max="9450" width="2.7265625" style="600" customWidth="1"/>
    <col min="9451" max="9451" width="19.08984375" style="600" bestFit="1" customWidth="1"/>
    <col min="9452" max="9452" width="1.81640625" style="600" customWidth="1"/>
    <col min="9453" max="9453" width="6.7265625" style="600" customWidth="1"/>
    <col min="9454" max="9454" width="14.7265625" style="600" customWidth="1"/>
    <col min="9455" max="9455" width="9" style="600" bestFit="1" customWidth="1"/>
    <col min="9456" max="9696" width="5" style="600"/>
    <col min="9697" max="9697" width="4.7265625" style="600" customWidth="1"/>
    <col min="9698" max="9698" width="2" style="600" customWidth="1"/>
    <col min="9699" max="9699" width="40.7265625" style="600" customWidth="1"/>
    <col min="9700" max="9700" width="3.54296875" style="600" customWidth="1"/>
    <col min="9701" max="9701" width="11.08984375" style="600" customWidth="1"/>
    <col min="9702" max="9702" width="2.7265625" style="600" customWidth="1"/>
    <col min="9703" max="9703" width="11.26953125" style="600" customWidth="1"/>
    <col min="9704" max="9704" width="2.7265625" style="600" customWidth="1"/>
    <col min="9705" max="9705" width="11.26953125" style="600" customWidth="1"/>
    <col min="9706" max="9706" width="2.7265625" style="600" customWidth="1"/>
    <col min="9707" max="9707" width="19.08984375" style="600" bestFit="1" customWidth="1"/>
    <col min="9708" max="9708" width="1.81640625" style="600" customWidth="1"/>
    <col min="9709" max="9709" width="6.7265625" style="600" customWidth="1"/>
    <col min="9710" max="9710" width="14.7265625" style="600" customWidth="1"/>
    <col min="9711" max="9711" width="9" style="600" bestFit="1" customWidth="1"/>
    <col min="9712" max="9952" width="5" style="600"/>
    <col min="9953" max="9953" width="4.7265625" style="600" customWidth="1"/>
    <col min="9954" max="9954" width="2" style="600" customWidth="1"/>
    <col min="9955" max="9955" width="40.7265625" style="600" customWidth="1"/>
    <col min="9956" max="9956" width="3.54296875" style="600" customWidth="1"/>
    <col min="9957" max="9957" width="11.08984375" style="600" customWidth="1"/>
    <col min="9958" max="9958" width="2.7265625" style="600" customWidth="1"/>
    <col min="9959" max="9959" width="11.26953125" style="600" customWidth="1"/>
    <col min="9960" max="9960" width="2.7265625" style="600" customWidth="1"/>
    <col min="9961" max="9961" width="11.26953125" style="600" customWidth="1"/>
    <col min="9962" max="9962" width="2.7265625" style="600" customWidth="1"/>
    <col min="9963" max="9963" width="19.08984375" style="600" bestFit="1" customWidth="1"/>
    <col min="9964" max="9964" width="1.81640625" style="600" customWidth="1"/>
    <col min="9965" max="9965" width="6.7265625" style="600" customWidth="1"/>
    <col min="9966" max="9966" width="14.7265625" style="600" customWidth="1"/>
    <col min="9967" max="9967" width="9" style="600" bestFit="1" customWidth="1"/>
    <col min="9968" max="10208" width="5" style="600"/>
    <col min="10209" max="10209" width="4.7265625" style="600" customWidth="1"/>
    <col min="10210" max="10210" width="2" style="600" customWidth="1"/>
    <col min="10211" max="10211" width="40.7265625" style="600" customWidth="1"/>
    <col min="10212" max="10212" width="3.54296875" style="600" customWidth="1"/>
    <col min="10213" max="10213" width="11.08984375" style="600" customWidth="1"/>
    <col min="10214" max="10214" width="2.7265625" style="600" customWidth="1"/>
    <col min="10215" max="10215" width="11.26953125" style="600" customWidth="1"/>
    <col min="10216" max="10216" width="2.7265625" style="600" customWidth="1"/>
    <col min="10217" max="10217" width="11.26953125" style="600" customWidth="1"/>
    <col min="10218" max="10218" width="2.7265625" style="600" customWidth="1"/>
    <col min="10219" max="10219" width="19.08984375" style="600" bestFit="1" customWidth="1"/>
    <col min="10220" max="10220" width="1.81640625" style="600" customWidth="1"/>
    <col min="10221" max="10221" width="6.7265625" style="600" customWidth="1"/>
    <col min="10222" max="10222" width="14.7265625" style="600" customWidth="1"/>
    <col min="10223" max="10223" width="9" style="600" bestFit="1" customWidth="1"/>
    <col min="10224" max="10464" width="5" style="600"/>
    <col min="10465" max="10465" width="4.7265625" style="600" customWidth="1"/>
    <col min="10466" max="10466" width="2" style="600" customWidth="1"/>
    <col min="10467" max="10467" width="40.7265625" style="600" customWidth="1"/>
    <col min="10468" max="10468" width="3.54296875" style="600" customWidth="1"/>
    <col min="10469" max="10469" width="11.08984375" style="600" customWidth="1"/>
    <col min="10470" max="10470" width="2.7265625" style="600" customWidth="1"/>
    <col min="10471" max="10471" width="11.26953125" style="600" customWidth="1"/>
    <col min="10472" max="10472" width="2.7265625" style="600" customWidth="1"/>
    <col min="10473" max="10473" width="11.26953125" style="600" customWidth="1"/>
    <col min="10474" max="10474" width="2.7265625" style="600" customWidth="1"/>
    <col min="10475" max="10475" width="19.08984375" style="600" bestFit="1" customWidth="1"/>
    <col min="10476" max="10476" width="1.81640625" style="600" customWidth="1"/>
    <col min="10477" max="10477" width="6.7265625" style="600" customWidth="1"/>
    <col min="10478" max="10478" width="14.7265625" style="600" customWidth="1"/>
    <col min="10479" max="10479" width="9" style="600" bestFit="1" customWidth="1"/>
    <col min="10480" max="10720" width="5" style="600"/>
    <col min="10721" max="10721" width="4.7265625" style="600" customWidth="1"/>
    <col min="10722" max="10722" width="2" style="600" customWidth="1"/>
    <col min="10723" max="10723" width="40.7265625" style="600" customWidth="1"/>
    <col min="10724" max="10724" width="3.54296875" style="600" customWidth="1"/>
    <col min="10725" max="10725" width="11.08984375" style="600" customWidth="1"/>
    <col min="10726" max="10726" width="2.7265625" style="600" customWidth="1"/>
    <col min="10727" max="10727" width="11.26953125" style="600" customWidth="1"/>
    <col min="10728" max="10728" width="2.7265625" style="600" customWidth="1"/>
    <col min="10729" max="10729" width="11.26953125" style="600" customWidth="1"/>
    <col min="10730" max="10730" width="2.7265625" style="600" customWidth="1"/>
    <col min="10731" max="10731" width="19.08984375" style="600" bestFit="1" customWidth="1"/>
    <col min="10732" max="10732" width="1.81640625" style="600" customWidth="1"/>
    <col min="10733" max="10733" width="6.7265625" style="600" customWidth="1"/>
    <col min="10734" max="10734" width="14.7265625" style="600" customWidth="1"/>
    <col min="10735" max="10735" width="9" style="600" bestFit="1" customWidth="1"/>
    <col min="10736" max="10976" width="5" style="600"/>
    <col min="10977" max="10977" width="4.7265625" style="600" customWidth="1"/>
    <col min="10978" max="10978" width="2" style="600" customWidth="1"/>
    <col min="10979" max="10979" width="40.7265625" style="600" customWidth="1"/>
    <col min="10980" max="10980" width="3.54296875" style="600" customWidth="1"/>
    <col min="10981" max="10981" width="11.08984375" style="600" customWidth="1"/>
    <col min="10982" max="10982" width="2.7265625" style="600" customWidth="1"/>
    <col min="10983" max="10983" width="11.26953125" style="600" customWidth="1"/>
    <col min="10984" max="10984" width="2.7265625" style="600" customWidth="1"/>
    <col min="10985" max="10985" width="11.26953125" style="600" customWidth="1"/>
    <col min="10986" max="10986" width="2.7265625" style="600" customWidth="1"/>
    <col min="10987" max="10987" width="19.08984375" style="600" bestFit="1" customWidth="1"/>
    <col min="10988" max="10988" width="1.81640625" style="600" customWidth="1"/>
    <col min="10989" max="10989" width="6.7265625" style="600" customWidth="1"/>
    <col min="10990" max="10990" width="14.7265625" style="600" customWidth="1"/>
    <col min="10991" max="10991" width="9" style="600" bestFit="1" customWidth="1"/>
    <col min="10992" max="11232" width="5" style="600"/>
    <col min="11233" max="11233" width="4.7265625" style="600" customWidth="1"/>
    <col min="11234" max="11234" width="2" style="600" customWidth="1"/>
    <col min="11235" max="11235" width="40.7265625" style="600" customWidth="1"/>
    <col min="11236" max="11236" width="3.54296875" style="600" customWidth="1"/>
    <col min="11237" max="11237" width="11.08984375" style="600" customWidth="1"/>
    <col min="11238" max="11238" width="2.7265625" style="600" customWidth="1"/>
    <col min="11239" max="11239" width="11.26953125" style="600" customWidth="1"/>
    <col min="11240" max="11240" width="2.7265625" style="600" customWidth="1"/>
    <col min="11241" max="11241" width="11.26953125" style="600" customWidth="1"/>
    <col min="11242" max="11242" width="2.7265625" style="600" customWidth="1"/>
    <col min="11243" max="11243" width="19.08984375" style="600" bestFit="1" customWidth="1"/>
    <col min="11244" max="11244" width="1.81640625" style="600" customWidth="1"/>
    <col min="11245" max="11245" width="6.7265625" style="600" customWidth="1"/>
    <col min="11246" max="11246" width="14.7265625" style="600" customWidth="1"/>
    <col min="11247" max="11247" width="9" style="600" bestFit="1" customWidth="1"/>
    <col min="11248" max="11488" width="5" style="600"/>
    <col min="11489" max="11489" width="4.7265625" style="600" customWidth="1"/>
    <col min="11490" max="11490" width="2" style="600" customWidth="1"/>
    <col min="11491" max="11491" width="40.7265625" style="600" customWidth="1"/>
    <col min="11492" max="11492" width="3.54296875" style="600" customWidth="1"/>
    <col min="11493" max="11493" width="11.08984375" style="600" customWidth="1"/>
    <col min="11494" max="11494" width="2.7265625" style="600" customWidth="1"/>
    <col min="11495" max="11495" width="11.26953125" style="600" customWidth="1"/>
    <col min="11496" max="11496" width="2.7265625" style="600" customWidth="1"/>
    <col min="11497" max="11497" width="11.26953125" style="600" customWidth="1"/>
    <col min="11498" max="11498" width="2.7265625" style="600" customWidth="1"/>
    <col min="11499" max="11499" width="19.08984375" style="600" bestFit="1" customWidth="1"/>
    <col min="11500" max="11500" width="1.81640625" style="600" customWidth="1"/>
    <col min="11501" max="11501" width="6.7265625" style="600" customWidth="1"/>
    <col min="11502" max="11502" width="14.7265625" style="600" customWidth="1"/>
    <col min="11503" max="11503" width="9" style="600" bestFit="1" customWidth="1"/>
    <col min="11504" max="11744" width="5" style="600"/>
    <col min="11745" max="11745" width="4.7265625" style="600" customWidth="1"/>
    <col min="11746" max="11746" width="2" style="600" customWidth="1"/>
    <col min="11747" max="11747" width="40.7265625" style="600" customWidth="1"/>
    <col min="11748" max="11748" width="3.54296875" style="600" customWidth="1"/>
    <col min="11749" max="11749" width="11.08984375" style="600" customWidth="1"/>
    <col min="11750" max="11750" width="2.7265625" style="600" customWidth="1"/>
    <col min="11751" max="11751" width="11.26953125" style="600" customWidth="1"/>
    <col min="11752" max="11752" width="2.7265625" style="600" customWidth="1"/>
    <col min="11753" max="11753" width="11.26953125" style="600" customWidth="1"/>
    <col min="11754" max="11754" width="2.7265625" style="600" customWidth="1"/>
    <col min="11755" max="11755" width="19.08984375" style="600" bestFit="1" customWidth="1"/>
    <col min="11756" max="11756" width="1.81640625" style="600" customWidth="1"/>
    <col min="11757" max="11757" width="6.7265625" style="600" customWidth="1"/>
    <col min="11758" max="11758" width="14.7265625" style="600" customWidth="1"/>
    <col min="11759" max="11759" width="9" style="600" bestFit="1" customWidth="1"/>
    <col min="11760" max="12000" width="5" style="600"/>
    <col min="12001" max="12001" width="4.7265625" style="600" customWidth="1"/>
    <col min="12002" max="12002" width="2" style="600" customWidth="1"/>
    <col min="12003" max="12003" width="40.7265625" style="600" customWidth="1"/>
    <col min="12004" max="12004" width="3.54296875" style="600" customWidth="1"/>
    <col min="12005" max="12005" width="11.08984375" style="600" customWidth="1"/>
    <col min="12006" max="12006" width="2.7265625" style="600" customWidth="1"/>
    <col min="12007" max="12007" width="11.26953125" style="600" customWidth="1"/>
    <col min="12008" max="12008" width="2.7265625" style="600" customWidth="1"/>
    <col min="12009" max="12009" width="11.26953125" style="600" customWidth="1"/>
    <col min="12010" max="12010" width="2.7265625" style="600" customWidth="1"/>
    <col min="12011" max="12011" width="19.08984375" style="600" bestFit="1" customWidth="1"/>
    <col min="12012" max="12012" width="1.81640625" style="600" customWidth="1"/>
    <col min="12013" max="12013" width="6.7265625" style="600" customWidth="1"/>
    <col min="12014" max="12014" width="14.7265625" style="600" customWidth="1"/>
    <col min="12015" max="12015" width="9" style="600" bestFit="1" customWidth="1"/>
    <col min="12016" max="12256" width="5" style="600"/>
    <col min="12257" max="12257" width="4.7265625" style="600" customWidth="1"/>
    <col min="12258" max="12258" width="2" style="600" customWidth="1"/>
    <col min="12259" max="12259" width="40.7265625" style="600" customWidth="1"/>
    <col min="12260" max="12260" width="3.54296875" style="600" customWidth="1"/>
    <col min="12261" max="12261" width="11.08984375" style="600" customWidth="1"/>
    <col min="12262" max="12262" width="2.7265625" style="600" customWidth="1"/>
    <col min="12263" max="12263" width="11.26953125" style="600" customWidth="1"/>
    <col min="12264" max="12264" width="2.7265625" style="600" customWidth="1"/>
    <col min="12265" max="12265" width="11.26953125" style="600" customWidth="1"/>
    <col min="12266" max="12266" width="2.7265625" style="600" customWidth="1"/>
    <col min="12267" max="12267" width="19.08984375" style="600" bestFit="1" customWidth="1"/>
    <col min="12268" max="12268" width="1.81640625" style="600" customWidth="1"/>
    <col min="12269" max="12269" width="6.7265625" style="600" customWidth="1"/>
    <col min="12270" max="12270" width="14.7265625" style="600" customWidth="1"/>
    <col min="12271" max="12271" width="9" style="600" bestFit="1" customWidth="1"/>
    <col min="12272" max="12512" width="5" style="600"/>
    <col min="12513" max="12513" width="4.7265625" style="600" customWidth="1"/>
    <col min="12514" max="12514" width="2" style="600" customWidth="1"/>
    <col min="12515" max="12515" width="40.7265625" style="600" customWidth="1"/>
    <col min="12516" max="12516" width="3.54296875" style="600" customWidth="1"/>
    <col min="12517" max="12517" width="11.08984375" style="600" customWidth="1"/>
    <col min="12518" max="12518" width="2.7265625" style="600" customWidth="1"/>
    <col min="12519" max="12519" width="11.26953125" style="600" customWidth="1"/>
    <col min="12520" max="12520" width="2.7265625" style="600" customWidth="1"/>
    <col min="12521" max="12521" width="11.26953125" style="600" customWidth="1"/>
    <col min="12522" max="12522" width="2.7265625" style="600" customWidth="1"/>
    <col min="12523" max="12523" width="19.08984375" style="600" bestFit="1" customWidth="1"/>
    <col min="12524" max="12524" width="1.81640625" style="600" customWidth="1"/>
    <col min="12525" max="12525" width="6.7265625" style="600" customWidth="1"/>
    <col min="12526" max="12526" width="14.7265625" style="600" customWidth="1"/>
    <col min="12527" max="12527" width="9" style="600" bestFit="1" customWidth="1"/>
    <col min="12528" max="12768" width="5" style="600"/>
    <col min="12769" max="12769" width="4.7265625" style="600" customWidth="1"/>
    <col min="12770" max="12770" width="2" style="600" customWidth="1"/>
    <col min="12771" max="12771" width="40.7265625" style="600" customWidth="1"/>
    <col min="12772" max="12772" width="3.54296875" style="600" customWidth="1"/>
    <col min="12773" max="12773" width="11.08984375" style="600" customWidth="1"/>
    <col min="12774" max="12774" width="2.7265625" style="600" customWidth="1"/>
    <col min="12775" max="12775" width="11.26953125" style="600" customWidth="1"/>
    <col min="12776" max="12776" width="2.7265625" style="600" customWidth="1"/>
    <col min="12777" max="12777" width="11.26953125" style="600" customWidth="1"/>
    <col min="12778" max="12778" width="2.7265625" style="600" customWidth="1"/>
    <col min="12779" max="12779" width="19.08984375" style="600" bestFit="1" customWidth="1"/>
    <col min="12780" max="12780" width="1.81640625" style="600" customWidth="1"/>
    <col min="12781" max="12781" width="6.7265625" style="600" customWidth="1"/>
    <col min="12782" max="12782" width="14.7265625" style="600" customWidth="1"/>
    <col min="12783" max="12783" width="9" style="600" bestFit="1" customWidth="1"/>
    <col min="12784" max="13024" width="5" style="600"/>
    <col min="13025" max="13025" width="4.7265625" style="600" customWidth="1"/>
    <col min="13026" max="13026" width="2" style="600" customWidth="1"/>
    <col min="13027" max="13027" width="40.7265625" style="600" customWidth="1"/>
    <col min="13028" max="13028" width="3.54296875" style="600" customWidth="1"/>
    <col min="13029" max="13029" width="11.08984375" style="600" customWidth="1"/>
    <col min="13030" max="13030" width="2.7265625" style="600" customWidth="1"/>
    <col min="13031" max="13031" width="11.26953125" style="600" customWidth="1"/>
    <col min="13032" max="13032" width="2.7265625" style="600" customWidth="1"/>
    <col min="13033" max="13033" width="11.26953125" style="600" customWidth="1"/>
    <col min="13034" max="13034" width="2.7265625" style="600" customWidth="1"/>
    <col min="13035" max="13035" width="19.08984375" style="600" bestFit="1" customWidth="1"/>
    <col min="13036" max="13036" width="1.81640625" style="600" customWidth="1"/>
    <col min="13037" max="13037" width="6.7265625" style="600" customWidth="1"/>
    <col min="13038" max="13038" width="14.7265625" style="600" customWidth="1"/>
    <col min="13039" max="13039" width="9" style="600" bestFit="1" customWidth="1"/>
    <col min="13040" max="13280" width="5" style="600"/>
    <col min="13281" max="13281" width="4.7265625" style="600" customWidth="1"/>
    <col min="13282" max="13282" width="2" style="600" customWidth="1"/>
    <col min="13283" max="13283" width="40.7265625" style="600" customWidth="1"/>
    <col min="13284" max="13284" width="3.54296875" style="600" customWidth="1"/>
    <col min="13285" max="13285" width="11.08984375" style="600" customWidth="1"/>
    <col min="13286" max="13286" width="2.7265625" style="600" customWidth="1"/>
    <col min="13287" max="13287" width="11.26953125" style="600" customWidth="1"/>
    <col min="13288" max="13288" width="2.7265625" style="600" customWidth="1"/>
    <col min="13289" max="13289" width="11.26953125" style="600" customWidth="1"/>
    <col min="13290" max="13290" width="2.7265625" style="600" customWidth="1"/>
    <col min="13291" max="13291" width="19.08984375" style="600" bestFit="1" customWidth="1"/>
    <col min="13292" max="13292" width="1.81640625" style="600" customWidth="1"/>
    <col min="13293" max="13293" width="6.7265625" style="600" customWidth="1"/>
    <col min="13294" max="13294" width="14.7265625" style="600" customWidth="1"/>
    <col min="13295" max="13295" width="9" style="600" bestFit="1" customWidth="1"/>
    <col min="13296" max="13536" width="5" style="600"/>
    <col min="13537" max="13537" width="4.7265625" style="600" customWidth="1"/>
    <col min="13538" max="13538" width="2" style="600" customWidth="1"/>
    <col min="13539" max="13539" width="40.7265625" style="600" customWidth="1"/>
    <col min="13540" max="13540" width="3.54296875" style="600" customWidth="1"/>
    <col min="13541" max="13541" width="11.08984375" style="600" customWidth="1"/>
    <col min="13542" max="13542" width="2.7265625" style="600" customWidth="1"/>
    <col min="13543" max="13543" width="11.26953125" style="600" customWidth="1"/>
    <col min="13544" max="13544" width="2.7265625" style="600" customWidth="1"/>
    <col min="13545" max="13545" width="11.26953125" style="600" customWidth="1"/>
    <col min="13546" max="13546" width="2.7265625" style="600" customWidth="1"/>
    <col min="13547" max="13547" width="19.08984375" style="600" bestFit="1" customWidth="1"/>
    <col min="13548" max="13548" width="1.81640625" style="600" customWidth="1"/>
    <col min="13549" max="13549" width="6.7265625" style="600" customWidth="1"/>
    <col min="13550" max="13550" width="14.7265625" style="600" customWidth="1"/>
    <col min="13551" max="13551" width="9" style="600" bestFit="1" customWidth="1"/>
    <col min="13552" max="13792" width="5" style="600"/>
    <col min="13793" max="13793" width="4.7265625" style="600" customWidth="1"/>
    <col min="13794" max="13794" width="2" style="600" customWidth="1"/>
    <col min="13795" max="13795" width="40.7265625" style="600" customWidth="1"/>
    <col min="13796" max="13796" width="3.54296875" style="600" customWidth="1"/>
    <col min="13797" max="13797" width="11.08984375" style="600" customWidth="1"/>
    <col min="13798" max="13798" width="2.7265625" style="600" customWidth="1"/>
    <col min="13799" max="13799" width="11.26953125" style="600" customWidth="1"/>
    <col min="13800" max="13800" width="2.7265625" style="600" customWidth="1"/>
    <col min="13801" max="13801" width="11.26953125" style="600" customWidth="1"/>
    <col min="13802" max="13802" width="2.7265625" style="600" customWidth="1"/>
    <col min="13803" max="13803" width="19.08984375" style="600" bestFit="1" customWidth="1"/>
    <col min="13804" max="13804" width="1.81640625" style="600" customWidth="1"/>
    <col min="13805" max="13805" width="6.7265625" style="600" customWidth="1"/>
    <col min="13806" max="13806" width="14.7265625" style="600" customWidth="1"/>
    <col min="13807" max="13807" width="9" style="600" bestFit="1" customWidth="1"/>
    <col min="13808" max="14048" width="5" style="600"/>
    <col min="14049" max="14049" width="4.7265625" style="600" customWidth="1"/>
    <col min="14050" max="14050" width="2" style="600" customWidth="1"/>
    <col min="14051" max="14051" width="40.7265625" style="600" customWidth="1"/>
    <col min="14052" max="14052" width="3.54296875" style="600" customWidth="1"/>
    <col min="14053" max="14053" width="11.08984375" style="600" customWidth="1"/>
    <col min="14054" max="14054" width="2.7265625" style="600" customWidth="1"/>
    <col min="14055" max="14055" width="11.26953125" style="600" customWidth="1"/>
    <col min="14056" max="14056" width="2.7265625" style="600" customWidth="1"/>
    <col min="14057" max="14057" width="11.26953125" style="600" customWidth="1"/>
    <col min="14058" max="14058" width="2.7265625" style="600" customWidth="1"/>
    <col min="14059" max="14059" width="19.08984375" style="600" bestFit="1" customWidth="1"/>
    <col min="14060" max="14060" width="1.81640625" style="600" customWidth="1"/>
    <col min="14061" max="14061" width="6.7265625" style="600" customWidth="1"/>
    <col min="14062" max="14062" width="14.7265625" style="600" customWidth="1"/>
    <col min="14063" max="14063" width="9" style="600" bestFit="1" customWidth="1"/>
    <col min="14064" max="14304" width="5" style="600"/>
    <col min="14305" max="14305" width="4.7265625" style="600" customWidth="1"/>
    <col min="14306" max="14306" width="2" style="600" customWidth="1"/>
    <col min="14307" max="14307" width="40.7265625" style="600" customWidth="1"/>
    <col min="14308" max="14308" width="3.54296875" style="600" customWidth="1"/>
    <col min="14309" max="14309" width="11.08984375" style="600" customWidth="1"/>
    <col min="14310" max="14310" width="2.7265625" style="600" customWidth="1"/>
    <col min="14311" max="14311" width="11.26953125" style="600" customWidth="1"/>
    <col min="14312" max="14312" width="2.7265625" style="600" customWidth="1"/>
    <col min="14313" max="14313" width="11.26953125" style="600" customWidth="1"/>
    <col min="14314" max="14314" width="2.7265625" style="600" customWidth="1"/>
    <col min="14315" max="14315" width="19.08984375" style="600" bestFit="1" customWidth="1"/>
    <col min="14316" max="14316" width="1.81640625" style="600" customWidth="1"/>
    <col min="14317" max="14317" width="6.7265625" style="600" customWidth="1"/>
    <col min="14318" max="14318" width="14.7265625" style="600" customWidth="1"/>
    <col min="14319" max="14319" width="9" style="600" bestFit="1" customWidth="1"/>
    <col min="14320" max="14560" width="5" style="600"/>
    <col min="14561" max="14561" width="4.7265625" style="600" customWidth="1"/>
    <col min="14562" max="14562" width="2" style="600" customWidth="1"/>
    <col min="14563" max="14563" width="40.7265625" style="600" customWidth="1"/>
    <col min="14564" max="14564" width="3.54296875" style="600" customWidth="1"/>
    <col min="14565" max="14565" width="11.08984375" style="600" customWidth="1"/>
    <col min="14566" max="14566" width="2.7265625" style="600" customWidth="1"/>
    <col min="14567" max="14567" width="11.26953125" style="600" customWidth="1"/>
    <col min="14568" max="14568" width="2.7265625" style="600" customWidth="1"/>
    <col min="14569" max="14569" width="11.26953125" style="600" customWidth="1"/>
    <col min="14570" max="14570" width="2.7265625" style="600" customWidth="1"/>
    <col min="14571" max="14571" width="19.08984375" style="600" bestFit="1" customWidth="1"/>
    <col min="14572" max="14572" width="1.81640625" style="600" customWidth="1"/>
    <col min="14573" max="14573" width="6.7265625" style="600" customWidth="1"/>
    <col min="14574" max="14574" width="14.7265625" style="600" customWidth="1"/>
    <col min="14575" max="14575" width="9" style="600" bestFit="1" customWidth="1"/>
    <col min="14576" max="14816" width="5" style="600"/>
    <col min="14817" max="14817" width="4.7265625" style="600" customWidth="1"/>
    <col min="14818" max="14818" width="2" style="600" customWidth="1"/>
    <col min="14819" max="14819" width="40.7265625" style="600" customWidth="1"/>
    <col min="14820" max="14820" width="3.54296875" style="600" customWidth="1"/>
    <col min="14821" max="14821" width="11.08984375" style="600" customWidth="1"/>
    <col min="14822" max="14822" width="2.7265625" style="600" customWidth="1"/>
    <col min="14823" max="14823" width="11.26953125" style="600" customWidth="1"/>
    <col min="14824" max="14824" width="2.7265625" style="600" customWidth="1"/>
    <col min="14825" max="14825" width="11.26953125" style="600" customWidth="1"/>
    <col min="14826" max="14826" width="2.7265625" style="600" customWidth="1"/>
    <col min="14827" max="14827" width="19.08984375" style="600" bestFit="1" customWidth="1"/>
    <col min="14828" max="14828" width="1.81640625" style="600" customWidth="1"/>
    <col min="14829" max="14829" width="6.7265625" style="600" customWidth="1"/>
    <col min="14830" max="14830" width="14.7265625" style="600" customWidth="1"/>
    <col min="14831" max="14831" width="9" style="600" bestFit="1" customWidth="1"/>
    <col min="14832" max="15072" width="5" style="600"/>
    <col min="15073" max="15073" width="4.7265625" style="600" customWidth="1"/>
    <col min="15074" max="15074" width="2" style="600" customWidth="1"/>
    <col min="15075" max="15075" width="40.7265625" style="600" customWidth="1"/>
    <col min="15076" max="15076" width="3.54296875" style="600" customWidth="1"/>
    <col min="15077" max="15077" width="11.08984375" style="600" customWidth="1"/>
    <col min="15078" max="15078" width="2.7265625" style="600" customWidth="1"/>
    <col min="15079" max="15079" width="11.26953125" style="600" customWidth="1"/>
    <col min="15080" max="15080" width="2.7265625" style="600" customWidth="1"/>
    <col min="15081" max="15081" width="11.26953125" style="600" customWidth="1"/>
    <col min="15082" max="15082" width="2.7265625" style="600" customWidth="1"/>
    <col min="15083" max="15083" width="19.08984375" style="600" bestFit="1" customWidth="1"/>
    <col min="15084" max="15084" width="1.81640625" style="600" customWidth="1"/>
    <col min="15085" max="15085" width="6.7265625" style="600" customWidth="1"/>
    <col min="15086" max="15086" width="14.7265625" style="600" customWidth="1"/>
    <col min="15087" max="15087" width="9" style="600" bestFit="1" customWidth="1"/>
    <col min="15088" max="15328" width="5" style="600"/>
    <col min="15329" max="15329" width="4.7265625" style="600" customWidth="1"/>
    <col min="15330" max="15330" width="2" style="600" customWidth="1"/>
    <col min="15331" max="15331" width="40.7265625" style="600" customWidth="1"/>
    <col min="15332" max="15332" width="3.54296875" style="600" customWidth="1"/>
    <col min="15333" max="15333" width="11.08984375" style="600" customWidth="1"/>
    <col min="15334" max="15334" width="2.7265625" style="600" customWidth="1"/>
    <col min="15335" max="15335" width="11.26953125" style="600" customWidth="1"/>
    <col min="15336" max="15336" width="2.7265625" style="600" customWidth="1"/>
    <col min="15337" max="15337" width="11.26953125" style="600" customWidth="1"/>
    <col min="15338" max="15338" width="2.7265625" style="600" customWidth="1"/>
    <col min="15339" max="15339" width="19.08984375" style="600" bestFit="1" customWidth="1"/>
    <col min="15340" max="15340" width="1.81640625" style="600" customWidth="1"/>
    <col min="15341" max="15341" width="6.7265625" style="600" customWidth="1"/>
    <col min="15342" max="15342" width="14.7265625" style="600" customWidth="1"/>
    <col min="15343" max="15343" width="9" style="600" bestFit="1" customWidth="1"/>
    <col min="15344" max="15584" width="5" style="600"/>
    <col min="15585" max="15585" width="4.7265625" style="600" customWidth="1"/>
    <col min="15586" max="15586" width="2" style="600" customWidth="1"/>
    <col min="15587" max="15587" width="40.7265625" style="600" customWidth="1"/>
    <col min="15588" max="15588" width="3.54296875" style="600" customWidth="1"/>
    <col min="15589" max="15589" width="11.08984375" style="600" customWidth="1"/>
    <col min="15590" max="15590" width="2.7265625" style="600" customWidth="1"/>
    <col min="15591" max="15591" width="11.26953125" style="600" customWidth="1"/>
    <col min="15592" max="15592" width="2.7265625" style="600" customWidth="1"/>
    <col min="15593" max="15593" width="11.26953125" style="600" customWidth="1"/>
    <col min="15594" max="15594" width="2.7265625" style="600" customWidth="1"/>
    <col min="15595" max="15595" width="19.08984375" style="600" bestFit="1" customWidth="1"/>
    <col min="15596" max="15596" width="1.81640625" style="600" customWidth="1"/>
    <col min="15597" max="15597" width="6.7265625" style="600" customWidth="1"/>
    <col min="15598" max="15598" width="14.7265625" style="600" customWidth="1"/>
    <col min="15599" max="15599" width="9" style="600" bestFit="1" customWidth="1"/>
    <col min="15600" max="15840" width="5" style="600"/>
    <col min="15841" max="15841" width="4.7265625" style="600" customWidth="1"/>
    <col min="15842" max="15842" width="2" style="600" customWidth="1"/>
    <col min="15843" max="15843" width="40.7265625" style="600" customWidth="1"/>
    <col min="15844" max="15844" width="3.54296875" style="600" customWidth="1"/>
    <col min="15845" max="15845" width="11.08984375" style="600" customWidth="1"/>
    <col min="15846" max="15846" width="2.7265625" style="600" customWidth="1"/>
    <col min="15847" max="15847" width="11.26953125" style="600" customWidth="1"/>
    <col min="15848" max="15848" width="2.7265625" style="600" customWidth="1"/>
    <col min="15849" max="15849" width="11.26953125" style="600" customWidth="1"/>
    <col min="15850" max="15850" width="2.7265625" style="600" customWidth="1"/>
    <col min="15851" max="15851" width="19.08984375" style="600" bestFit="1" customWidth="1"/>
    <col min="15852" max="15852" width="1.81640625" style="600" customWidth="1"/>
    <col min="15853" max="15853" width="6.7265625" style="600" customWidth="1"/>
    <col min="15854" max="15854" width="14.7265625" style="600" customWidth="1"/>
    <col min="15855" max="15855" width="9" style="600" bestFit="1" customWidth="1"/>
    <col min="15856" max="16096" width="5" style="600"/>
    <col min="16097" max="16097" width="4.7265625" style="600" customWidth="1"/>
    <col min="16098" max="16098" width="2" style="600" customWidth="1"/>
    <col min="16099" max="16099" width="40.7265625" style="600" customWidth="1"/>
    <col min="16100" max="16100" width="3.54296875" style="600" customWidth="1"/>
    <col min="16101" max="16101" width="11.08984375" style="600" customWidth="1"/>
    <col min="16102" max="16102" width="2.7265625" style="600" customWidth="1"/>
    <col min="16103" max="16103" width="11.26953125" style="600" customWidth="1"/>
    <col min="16104" max="16104" width="2.7265625" style="600" customWidth="1"/>
    <col min="16105" max="16105" width="11.26953125" style="600" customWidth="1"/>
    <col min="16106" max="16106" width="2.7265625" style="600" customWidth="1"/>
    <col min="16107" max="16107" width="19.08984375" style="600" bestFit="1" customWidth="1"/>
    <col min="16108" max="16108" width="1.81640625" style="600" customWidth="1"/>
    <col min="16109" max="16109" width="6.7265625" style="600" customWidth="1"/>
    <col min="16110" max="16110" width="14.7265625" style="600" customWidth="1"/>
    <col min="16111" max="16111" width="9" style="600" bestFit="1" customWidth="1"/>
    <col min="16112" max="16384" width="5" style="600"/>
  </cols>
  <sheetData>
    <row r="1" spans="1:25">
      <c r="G1" s="601"/>
      <c r="H1"/>
      <c r="I1" s="856" t="s">
        <v>989</v>
      </c>
      <c r="N1" s="1045"/>
      <c r="O1" s="1045"/>
      <c r="P1" s="1045"/>
      <c r="Q1" s="1045"/>
      <c r="R1" s="1045"/>
      <c r="S1" s="1045"/>
      <c r="T1" s="1045"/>
      <c r="U1" s="1045"/>
      <c r="V1" s="1045"/>
      <c r="W1" s="1045"/>
      <c r="X1" s="1045"/>
      <c r="Y1" s="1045"/>
    </row>
    <row r="2" spans="1:25">
      <c r="G2" s="601"/>
      <c r="H2"/>
      <c r="I2" s="856" t="s">
        <v>144</v>
      </c>
      <c r="N2" s="1045"/>
      <c r="O2" s="1045"/>
      <c r="P2" s="1045"/>
      <c r="Q2" s="1045"/>
      <c r="R2" s="1045"/>
      <c r="S2" s="1045"/>
      <c r="T2" s="1045"/>
      <c r="U2" s="1045"/>
      <c r="V2" s="1045"/>
      <c r="W2" s="1045"/>
      <c r="X2" s="1045"/>
      <c r="Y2" s="1045"/>
    </row>
    <row r="3" spans="1:25">
      <c r="G3" s="601"/>
      <c r="H3"/>
      <c r="I3" s="3" t="str">
        <f>'Attachment 17 - CWIP in RB'!AT3</f>
        <v>For the 12 months ended 12/31/2023</v>
      </c>
      <c r="N3" s="1045"/>
      <c r="O3" s="1045"/>
      <c r="P3" s="1045"/>
      <c r="Q3" s="1045"/>
      <c r="R3" s="1045"/>
      <c r="S3" s="1045"/>
      <c r="T3" s="1045"/>
      <c r="U3" s="1045"/>
      <c r="V3" s="1045"/>
      <c r="W3" s="1045"/>
      <c r="X3" s="1045"/>
      <c r="Y3" s="1045"/>
    </row>
    <row r="4" spans="1:25">
      <c r="N4" s="1045"/>
      <c r="O4" s="1045"/>
      <c r="P4" s="1045"/>
      <c r="Q4" s="1045"/>
      <c r="R4" s="1045"/>
      <c r="S4" s="1045"/>
      <c r="T4" s="1045"/>
      <c r="U4" s="1045"/>
      <c r="V4" s="1045"/>
      <c r="W4" s="1045"/>
      <c r="X4" s="1045"/>
      <c r="Y4" s="1045"/>
    </row>
    <row r="5" spans="1:25">
      <c r="B5" s="600"/>
      <c r="C5" s="620" t="s">
        <v>627</v>
      </c>
      <c r="D5" s="620" t="str">
        <f>"("&amp;CHAR(CODE(MID(C5,2,1))+1)&amp;")"</f>
        <v>(B)</v>
      </c>
      <c r="E5" s="620" t="str">
        <f t="shared" ref="E5" si="0">"("&amp;CHAR(CODE(MID(D5,2,1))+1)&amp;")"</f>
        <v>(C)</v>
      </c>
      <c r="F5" s="620"/>
      <c r="G5" s="620" t="str">
        <f>"("&amp;CHAR(CODE(MID(E5,2,1))+1)&amp;")"</f>
        <v>(D)</v>
      </c>
      <c r="H5" s="620"/>
      <c r="I5" s="620" t="str">
        <f>"("&amp;CHAR(CODE(MID(G5,2,1))+1)&amp;")"</f>
        <v>(E)</v>
      </c>
      <c r="J5" s="744"/>
      <c r="N5" s="1053"/>
      <c r="O5" s="1053"/>
      <c r="P5" s="1053"/>
      <c r="Q5" s="1053"/>
      <c r="R5" s="1053"/>
      <c r="S5" s="1053"/>
      <c r="T5" s="1053"/>
      <c r="U5" s="1053"/>
      <c r="V5" s="1053"/>
      <c r="W5" s="1053"/>
      <c r="X5" s="1053"/>
      <c r="Y5" s="1053"/>
    </row>
    <row r="6" spans="1:25" s="638" customFormat="1" ht="31.2" customHeight="1">
      <c r="A6" s="618" t="s">
        <v>630</v>
      </c>
      <c r="B6" s="741"/>
      <c r="C6" s="616" t="s">
        <v>625</v>
      </c>
      <c r="D6" s="938" t="s">
        <v>10</v>
      </c>
      <c r="E6" s="888" t="s">
        <v>8</v>
      </c>
      <c r="F6" s="745" t="s">
        <v>823</v>
      </c>
      <c r="G6" s="939" t="s">
        <v>727</v>
      </c>
      <c r="H6" s="939" t="s">
        <v>60</v>
      </c>
      <c r="I6" s="889" t="s">
        <v>809</v>
      </c>
      <c r="J6" s="625"/>
      <c r="M6" s="812"/>
      <c r="N6" s="1045"/>
      <c r="O6" s="1045"/>
      <c r="P6" s="1045"/>
      <c r="Q6" s="1045"/>
      <c r="R6" s="1045"/>
      <c r="S6" s="1045"/>
      <c r="T6" s="1045"/>
      <c r="U6" s="1045"/>
      <c r="V6" s="1045"/>
      <c r="W6" s="1045"/>
      <c r="X6" s="1045"/>
      <c r="Y6" s="1045"/>
    </row>
    <row r="7" spans="1:25">
      <c r="A7" s="611"/>
      <c r="B7" s="609"/>
      <c r="C7" s="610"/>
      <c r="D7" s="609"/>
      <c r="F7" s="609"/>
      <c r="G7" s="609"/>
      <c r="H7" s="609"/>
      <c r="I7" s="608"/>
      <c r="J7" s="607"/>
      <c r="K7" s="607"/>
      <c r="N7" s="1045"/>
      <c r="O7" s="1045"/>
      <c r="P7" s="1045"/>
      <c r="Q7" s="1045"/>
      <c r="R7" s="1045"/>
      <c r="S7" s="1045"/>
      <c r="T7" s="1045"/>
      <c r="U7" s="1045"/>
      <c r="V7" s="1045"/>
      <c r="W7" s="1045"/>
      <c r="X7" s="1045"/>
      <c r="Y7" s="1045"/>
    </row>
    <row r="8" spans="1:25" ht="15.6" customHeight="1">
      <c r="E8" s="608"/>
      <c r="N8" s="1045"/>
      <c r="O8" s="1045"/>
      <c r="P8" s="1045"/>
      <c r="Q8" s="1045"/>
      <c r="R8" s="1045"/>
      <c r="S8" s="1045"/>
      <c r="T8" s="1045"/>
      <c r="U8" s="1045"/>
      <c r="V8" s="1045"/>
      <c r="W8" s="1045"/>
      <c r="X8" s="1045"/>
      <c r="Y8" s="1045"/>
    </row>
    <row r="9" spans="1:25">
      <c r="A9" s="611">
        <v>1</v>
      </c>
      <c r="B9" s="609"/>
      <c r="C9" s="754" t="s">
        <v>943</v>
      </c>
      <c r="D9" s="609"/>
      <c r="E9" s="602"/>
      <c r="F9" s="609"/>
      <c r="G9" s="609"/>
      <c r="H9" s="609"/>
      <c r="I9" s="608"/>
      <c r="J9" s="607"/>
      <c r="K9" s="607"/>
      <c r="N9" s="1045"/>
      <c r="O9" s="1045"/>
      <c r="P9" s="1045"/>
      <c r="Q9" s="1045"/>
      <c r="R9" s="1045"/>
      <c r="S9" s="1045"/>
      <c r="T9" s="1045"/>
      <c r="U9" s="1045"/>
      <c r="V9" s="1045"/>
      <c r="W9" s="1045"/>
      <c r="X9" s="1045"/>
      <c r="Y9" s="1045"/>
    </row>
    <row r="10" spans="1:25">
      <c r="C10" s="601"/>
      <c r="D10" s="601"/>
      <c r="E10" s="608"/>
      <c r="F10" s="601"/>
      <c r="G10" s="601"/>
      <c r="H10" s="601"/>
      <c r="I10" s="601"/>
      <c r="J10" s="601"/>
      <c r="K10" s="601"/>
      <c r="N10" s="1045"/>
      <c r="O10" s="1045"/>
      <c r="P10" s="1045"/>
      <c r="Q10" s="1045"/>
      <c r="R10" s="1045"/>
      <c r="S10" s="1045"/>
      <c r="T10" s="1045"/>
      <c r="U10" s="1045"/>
      <c r="V10" s="1045"/>
      <c r="W10" s="1045"/>
      <c r="X10" s="1045"/>
      <c r="Y10" s="1045"/>
    </row>
    <row r="11" spans="1:25">
      <c r="A11" s="735">
        <f>A9+0.01</f>
        <v>1.01</v>
      </c>
      <c r="B11" s="600"/>
      <c r="C11" s="641"/>
      <c r="D11" s="723"/>
      <c r="E11" s="656"/>
      <c r="F11" s="737"/>
      <c r="G11" s="753">
        <f ca="1">IFERROR(INDIRECT(D11),0)</f>
        <v>0</v>
      </c>
      <c r="H11" s="632"/>
      <c r="I11" s="737">
        <f ca="1">E11*G11</f>
        <v>0</v>
      </c>
      <c r="N11" s="1069"/>
      <c r="O11" s="1069"/>
      <c r="P11" s="1069"/>
      <c r="Q11" s="1069"/>
      <c r="R11" s="1069"/>
      <c r="S11" s="1053"/>
      <c r="T11" s="1053"/>
      <c r="U11" s="1053"/>
      <c r="V11" s="1053"/>
      <c r="W11" s="1053"/>
      <c r="X11" s="1053"/>
      <c r="Y11" s="1053"/>
    </row>
    <row r="12" spans="1:25">
      <c r="A12" s="735">
        <f>A11+0.01</f>
        <v>1.02</v>
      </c>
      <c r="B12" s="600"/>
      <c r="C12" s="656"/>
      <c r="D12" s="723"/>
      <c r="E12" s="656"/>
      <c r="F12" s="692"/>
      <c r="G12" s="753">
        <f ca="1">IFERROR(INDIRECT(D12),0)</f>
        <v>0</v>
      </c>
      <c r="H12" s="632"/>
      <c r="I12" s="737">
        <f ca="1">E12*G12</f>
        <v>0</v>
      </c>
      <c r="N12" s="1045"/>
      <c r="O12" s="1045"/>
      <c r="P12" s="1045"/>
      <c r="Q12" s="1045"/>
      <c r="R12" s="1045"/>
      <c r="S12" s="1045"/>
      <c r="T12" s="1045"/>
      <c r="U12" s="1045"/>
      <c r="V12" s="1045"/>
      <c r="W12" s="1045"/>
      <c r="X12" s="1045"/>
      <c r="Y12" s="1045"/>
    </row>
    <row r="13" spans="1:25">
      <c r="A13" s="735" t="s">
        <v>1052</v>
      </c>
      <c r="B13" s="600"/>
      <c r="C13" s="656"/>
      <c r="D13" s="723"/>
      <c r="E13" s="656"/>
      <c r="F13" s="692"/>
      <c r="G13" s="753"/>
      <c r="H13" s="632"/>
      <c r="I13" s="737"/>
      <c r="N13" s="1045"/>
      <c r="O13" s="1045"/>
      <c r="P13" s="1045"/>
      <c r="Q13" s="1045"/>
      <c r="R13" s="1045"/>
      <c r="S13" s="1045"/>
      <c r="T13" s="1045"/>
      <c r="U13" s="1045"/>
      <c r="V13" s="1045"/>
      <c r="W13" s="1045"/>
      <c r="X13" s="1045"/>
      <c r="Y13" s="1045"/>
    </row>
    <row r="14" spans="1:25">
      <c r="A14" s="601">
        <f>A9+1</f>
        <v>2</v>
      </c>
      <c r="B14" s="600"/>
      <c r="C14" s="692" t="str">
        <f ca="1">"Sum of Lines "&amp;A11&amp;" through "&amp;OFFSET(A14,-1,0)</f>
        <v>Sum of Lines 1.01 through 1.XX</v>
      </c>
      <c r="E14" s="605">
        <f>SUM(E11:E12)</f>
        <v>0</v>
      </c>
      <c r="I14" s="604">
        <f ca="1">SUM(I11:I12)</f>
        <v>0</v>
      </c>
      <c r="N14" s="1045"/>
      <c r="O14" s="1045"/>
      <c r="P14" s="1045"/>
      <c r="Q14" s="1045"/>
      <c r="R14" s="1045"/>
      <c r="S14" s="1045"/>
      <c r="T14" s="1045"/>
      <c r="U14" s="1045"/>
      <c r="V14" s="1045"/>
      <c r="W14" s="1045"/>
      <c r="X14" s="1045"/>
      <c r="Y14" s="1045"/>
    </row>
    <row r="15" spans="1:25">
      <c r="B15" s="600"/>
      <c r="C15" s="761"/>
      <c r="I15" s="600"/>
      <c r="N15" s="1045"/>
      <c r="O15" s="1045"/>
      <c r="P15" s="1045"/>
      <c r="Q15" s="1045"/>
      <c r="R15" s="1045"/>
      <c r="S15" s="1045"/>
      <c r="T15" s="1045"/>
      <c r="U15" s="1045"/>
      <c r="V15" s="1045"/>
      <c r="W15" s="1045"/>
      <c r="X15" s="1045"/>
      <c r="Y15" s="1045"/>
    </row>
    <row r="16" spans="1:25">
      <c r="A16" s="611">
        <v>3</v>
      </c>
      <c r="B16" s="609"/>
      <c r="C16" s="754" t="s">
        <v>945</v>
      </c>
      <c r="D16" s="609"/>
      <c r="E16" s="692"/>
      <c r="F16" s="609"/>
      <c r="G16" s="609"/>
      <c r="H16" s="609"/>
      <c r="I16" s="608"/>
      <c r="J16" s="607"/>
      <c r="K16" s="607"/>
      <c r="N16" s="1045"/>
      <c r="O16" s="1045"/>
      <c r="P16" s="1045"/>
      <c r="Q16" s="1045"/>
      <c r="R16" s="1045"/>
      <c r="S16" s="1045"/>
      <c r="T16" s="1045"/>
      <c r="U16" s="1045"/>
      <c r="V16" s="1045"/>
      <c r="W16" s="1045"/>
      <c r="X16" s="1045"/>
      <c r="Y16" s="1045"/>
    </row>
    <row r="17" spans="1:25">
      <c r="C17" s="601"/>
      <c r="D17" s="601"/>
      <c r="E17" s="608"/>
      <c r="F17" s="601"/>
      <c r="G17" s="601"/>
      <c r="H17" s="601"/>
      <c r="I17" s="601"/>
      <c r="J17" s="601"/>
      <c r="K17" s="601"/>
      <c r="N17" s="1045"/>
      <c r="O17" s="1045"/>
      <c r="P17" s="1045"/>
      <c r="Q17" s="1045"/>
      <c r="R17" s="1045"/>
      <c r="S17" s="1045"/>
      <c r="T17" s="1045"/>
      <c r="U17" s="1045"/>
      <c r="V17" s="1045"/>
      <c r="W17" s="1045"/>
      <c r="X17" s="1045"/>
      <c r="Y17" s="1045"/>
    </row>
    <row r="18" spans="1:25">
      <c r="A18" s="735">
        <f>A16+0.01</f>
        <v>3.01</v>
      </c>
      <c r="B18" s="600"/>
      <c r="C18" s="641"/>
      <c r="D18" s="723"/>
      <c r="E18" s="656"/>
      <c r="F18" s="737"/>
      <c r="G18" s="753">
        <f ca="1">IFERROR(INDIRECT(D18),0)</f>
        <v>0</v>
      </c>
      <c r="H18" s="737"/>
      <c r="I18" s="737">
        <f ca="1">E18*G18</f>
        <v>0</v>
      </c>
    </row>
    <row r="19" spans="1:25">
      <c r="A19" s="735">
        <f>A18+0.01</f>
        <v>3.0199999999999996</v>
      </c>
      <c r="B19" s="600"/>
      <c r="C19" s="656"/>
      <c r="D19" s="723"/>
      <c r="E19" s="656"/>
      <c r="F19" s="692"/>
      <c r="G19" s="753">
        <f ca="1">IFERROR(INDIRECT(D19),0)</f>
        <v>0</v>
      </c>
      <c r="H19" s="692"/>
      <c r="I19" s="737">
        <f ca="1">E19*G19</f>
        <v>0</v>
      </c>
    </row>
    <row r="20" spans="1:25">
      <c r="A20" s="735" t="s">
        <v>1053</v>
      </c>
      <c r="B20" s="600"/>
      <c r="C20" s="656"/>
      <c r="D20" s="723"/>
      <c r="E20" s="656"/>
      <c r="F20" s="692"/>
      <c r="G20" s="753"/>
      <c r="H20" s="692"/>
      <c r="I20" s="737"/>
    </row>
    <row r="21" spans="1:25">
      <c r="A21" s="601">
        <f>A16+1</f>
        <v>4</v>
      </c>
      <c r="B21" s="600"/>
      <c r="C21" s="692" t="str">
        <f ca="1">"Sum of Lines "&amp;A18&amp;" through "&amp;OFFSET(A21,-1,0)</f>
        <v>Sum of Lines 3.01 through 3.XX</v>
      </c>
      <c r="E21" s="605">
        <f>SUM(E18:E19)</f>
        <v>0</v>
      </c>
      <c r="I21" s="604">
        <f ca="1">SUM(I18:I19)</f>
        <v>0</v>
      </c>
    </row>
    <row r="22" spans="1:25">
      <c r="B22" s="600"/>
      <c r="C22" s="761"/>
      <c r="I22" s="600"/>
    </row>
    <row r="23" spans="1:25">
      <c r="A23" s="611">
        <v>5</v>
      </c>
      <c r="B23" s="609"/>
      <c r="C23" s="754" t="s">
        <v>946</v>
      </c>
      <c r="D23" s="609"/>
      <c r="E23" s="692"/>
      <c r="F23" s="609"/>
      <c r="G23" s="609"/>
      <c r="H23" s="609"/>
      <c r="I23" s="608"/>
      <c r="J23" s="607"/>
      <c r="K23" s="607"/>
    </row>
    <row r="24" spans="1:25">
      <c r="C24" s="601"/>
      <c r="D24" s="601"/>
      <c r="E24" s="608"/>
      <c r="F24" s="601"/>
      <c r="G24" s="601"/>
      <c r="H24" s="601"/>
      <c r="I24" s="601"/>
      <c r="J24" s="601"/>
      <c r="K24" s="601"/>
    </row>
    <row r="25" spans="1:25" ht="15.45" customHeight="1">
      <c r="A25" s="735">
        <f>A23+0.01</f>
        <v>5.01</v>
      </c>
      <c r="B25" s="600"/>
      <c r="C25" s="641" t="s">
        <v>1165</v>
      </c>
      <c r="D25" s="723" t="s">
        <v>250</v>
      </c>
      <c r="E25" s="656">
        <v>1225471</v>
      </c>
      <c r="F25" s="737"/>
      <c r="G25" s="753">
        <f ca="1">IFERROR(INDIRECT(D25),0)</f>
        <v>1</v>
      </c>
      <c r="H25" s="737"/>
      <c r="I25" s="737">
        <f ca="1">E25*G25</f>
        <v>1225471</v>
      </c>
      <c r="N25" s="781"/>
      <c r="O25" s="781"/>
      <c r="P25" s="781"/>
      <c r="Q25" s="781"/>
      <c r="R25" s="781"/>
    </row>
    <row r="26" spans="1:25">
      <c r="A26" s="735">
        <f>A25+0.01</f>
        <v>5.0199999999999996</v>
      </c>
      <c r="B26" s="600"/>
      <c r="C26" s="656"/>
      <c r="D26" s="723"/>
      <c r="E26" s="656"/>
      <c r="F26" s="692"/>
      <c r="G26" s="753">
        <f ca="1">IFERROR(INDIRECT(D26),0)</f>
        <v>0</v>
      </c>
      <c r="H26" s="692"/>
      <c r="I26" s="737">
        <f ca="1">E26*G26</f>
        <v>0</v>
      </c>
      <c r="N26" s="781"/>
      <c r="O26" s="781"/>
      <c r="P26" s="781"/>
      <c r="Q26" s="781"/>
      <c r="R26" s="781"/>
    </row>
    <row r="27" spans="1:25">
      <c r="A27" s="735" t="s">
        <v>1054</v>
      </c>
      <c r="B27" s="600"/>
      <c r="C27" s="656"/>
      <c r="D27" s="723"/>
      <c r="E27" s="656"/>
      <c r="F27" s="692"/>
      <c r="G27" s="753"/>
      <c r="H27" s="692"/>
      <c r="I27" s="737"/>
      <c r="N27" s="781"/>
      <c r="O27" s="781"/>
      <c r="P27" s="781"/>
      <c r="Q27" s="781"/>
      <c r="R27" s="781"/>
    </row>
    <row r="28" spans="1:25">
      <c r="A28" s="601">
        <f>A23+1</f>
        <v>6</v>
      </c>
      <c r="B28" s="600"/>
      <c r="C28" s="692" t="str">
        <f ca="1">"Sum of Lines "&amp;A25&amp;" through "&amp;OFFSET(A28,-1,0)</f>
        <v>Sum of Lines 5.01 through 5.XX</v>
      </c>
      <c r="E28" s="605">
        <f>SUM(E25:E26)</f>
        <v>1225471</v>
      </c>
      <c r="I28" s="604">
        <f ca="1">SUM(I25:I26)</f>
        <v>1225471</v>
      </c>
      <c r="N28" s="781"/>
      <c r="O28" s="781"/>
      <c r="P28" s="781"/>
      <c r="Q28" s="781"/>
      <c r="R28" s="781"/>
    </row>
    <row r="29" spans="1:25">
      <c r="B29" s="600"/>
      <c r="C29" s="692"/>
      <c r="I29" s="600"/>
      <c r="N29" s="781"/>
      <c r="O29" s="781"/>
      <c r="P29" s="781"/>
      <c r="Q29" s="781"/>
      <c r="R29" s="781"/>
    </row>
    <row r="30" spans="1:25">
      <c r="A30" s="601">
        <v>7</v>
      </c>
      <c r="B30" s="600"/>
      <c r="C30" s="754" t="s">
        <v>944</v>
      </c>
      <c r="E30" s="692"/>
      <c r="I30" s="600"/>
    </row>
    <row r="31" spans="1:25">
      <c r="B31" s="600"/>
      <c r="C31" s="692"/>
      <c r="E31" s="692"/>
      <c r="I31" s="600"/>
    </row>
    <row r="32" spans="1:25">
      <c r="A32" s="735">
        <f>A30+0.01</f>
        <v>7.01</v>
      </c>
      <c r="B32" s="600"/>
      <c r="C32" s="641"/>
      <c r="D32" s="723"/>
      <c r="E32" s="656"/>
      <c r="F32" s="737"/>
      <c r="G32" s="753">
        <f ca="1">IFERROR(INDIRECT(D32),0)</f>
        <v>0</v>
      </c>
      <c r="H32" s="737"/>
      <c r="I32" s="737">
        <f ca="1">E32*G32</f>
        <v>0</v>
      </c>
    </row>
    <row r="33" spans="1:28">
      <c r="A33" s="735">
        <f>A32+0.01</f>
        <v>7.02</v>
      </c>
      <c r="B33" s="600"/>
      <c r="C33" s="656"/>
      <c r="D33" s="723"/>
      <c r="E33" s="656"/>
      <c r="F33" s="692"/>
      <c r="G33" s="753">
        <f ca="1">IFERROR(INDIRECT(D33),0)</f>
        <v>0</v>
      </c>
      <c r="H33" s="692"/>
      <c r="I33" s="737">
        <f ca="1">E33*G33</f>
        <v>0</v>
      </c>
    </row>
    <row r="34" spans="1:28">
      <c r="A34" s="735" t="s">
        <v>1055</v>
      </c>
      <c r="B34" s="600"/>
      <c r="C34" s="656"/>
      <c r="D34" s="723"/>
      <c r="E34" s="656"/>
      <c r="F34" s="692"/>
      <c r="G34" s="753"/>
      <c r="H34" s="692"/>
      <c r="I34" s="737"/>
    </row>
    <row r="35" spans="1:28">
      <c r="A35" s="601">
        <f>A30+1</f>
        <v>8</v>
      </c>
      <c r="B35" s="600"/>
      <c r="C35" s="692" t="str">
        <f ca="1">"Sum of Lines "&amp;A32&amp;" through "&amp;OFFSET(A35,-1,0)</f>
        <v>Sum of Lines 7.01 through 7.XX</v>
      </c>
      <c r="E35" s="605">
        <f>SUM(E32:E33)</f>
        <v>0</v>
      </c>
      <c r="I35" s="604">
        <f ca="1">SUM(I32:I33)</f>
        <v>0</v>
      </c>
    </row>
    <row r="36" spans="1:28">
      <c r="B36" s="600"/>
      <c r="C36" s="692"/>
      <c r="I36" s="600"/>
    </row>
    <row r="37" spans="1:28" ht="16.2" thickBot="1">
      <c r="A37" s="601">
        <v>9</v>
      </c>
      <c r="B37" s="600"/>
      <c r="C37" s="743" t="s">
        <v>817</v>
      </c>
      <c r="I37" s="646">
        <f ca="1">I14+I21+I28+I35</f>
        <v>1225471</v>
      </c>
    </row>
    <row r="38" spans="1:28" ht="16.2" thickTop="1">
      <c r="A38" s="600"/>
      <c r="B38" s="600"/>
      <c r="C38" s="603" t="s">
        <v>153</v>
      </c>
      <c r="D38" s="601"/>
      <c r="E38" s="601"/>
      <c r="F38" s="601"/>
      <c r="G38" s="601"/>
      <c r="H38" s="601"/>
      <c r="I38" s="600"/>
    </row>
    <row r="39" spans="1:28">
      <c r="A39" s="600"/>
      <c r="B39" s="600"/>
      <c r="C39" s="1018" t="s">
        <v>1047</v>
      </c>
      <c r="D39" s="1018"/>
      <c r="E39" s="1018"/>
      <c r="F39" s="1018"/>
      <c r="G39" s="1018"/>
      <c r="H39" s="1018"/>
      <c r="I39" s="1018"/>
      <c r="J39" s="1018"/>
      <c r="K39" s="1018"/>
    </row>
    <row r="40" spans="1:28" ht="15.75" customHeight="1">
      <c r="A40" s="600"/>
      <c r="B40" s="600"/>
      <c r="C40" s="987" t="s">
        <v>736</v>
      </c>
      <c r="D40" s="987"/>
      <c r="E40" s="987"/>
      <c r="F40" s="987"/>
      <c r="G40" s="987"/>
      <c r="H40" s="987"/>
      <c r="I40" s="987"/>
      <c r="J40" s="622"/>
    </row>
    <row r="41" spans="1:28" ht="35.549999999999997" customHeight="1">
      <c r="A41" s="600"/>
      <c r="B41" s="600"/>
      <c r="C41" s="987" t="s">
        <v>940</v>
      </c>
      <c r="D41" s="987"/>
      <c r="E41" s="987"/>
      <c r="F41" s="987"/>
      <c r="G41" s="987"/>
      <c r="H41" s="987"/>
      <c r="I41" s="987"/>
      <c r="J41" s="622"/>
      <c r="L41" s="812"/>
    </row>
    <row r="42" spans="1:28" ht="15.6" customHeight="1">
      <c r="C42" s="987" t="s">
        <v>941</v>
      </c>
      <c r="D42" s="987"/>
      <c r="E42" s="987"/>
      <c r="F42" s="987"/>
      <c r="G42" s="987"/>
      <c r="H42" s="987"/>
      <c r="I42" s="987"/>
      <c r="N42" s="822"/>
      <c r="O42" s="822"/>
      <c r="P42" s="822"/>
      <c r="Q42" s="822"/>
      <c r="R42" s="822"/>
      <c r="S42" s="822"/>
      <c r="T42" s="822"/>
      <c r="U42" s="822"/>
      <c r="V42" s="822"/>
      <c r="W42" s="822"/>
      <c r="X42" s="822"/>
      <c r="Y42" s="822"/>
      <c r="Z42" s="822"/>
      <c r="AA42" s="822"/>
      <c r="AB42" s="822"/>
    </row>
    <row r="43" spans="1:28">
      <c r="C43" s="987"/>
      <c r="D43" s="987"/>
      <c r="E43" s="987"/>
      <c r="F43" s="987"/>
      <c r="G43" s="987"/>
      <c r="H43" s="987"/>
      <c r="I43" s="987"/>
    </row>
    <row r="44" spans="1:28" ht="15.6" customHeight="1">
      <c r="C44" s="987" t="s">
        <v>942</v>
      </c>
      <c r="D44" s="987"/>
      <c r="E44" s="987"/>
      <c r="F44" s="987"/>
      <c r="G44" s="987"/>
      <c r="H44" s="987"/>
      <c r="I44" s="987"/>
    </row>
    <row r="45" spans="1:28">
      <c r="C45" s="987"/>
      <c r="D45" s="987"/>
      <c r="E45" s="987"/>
      <c r="F45" s="987"/>
      <c r="G45" s="987"/>
      <c r="H45" s="987"/>
      <c r="I45" s="987"/>
    </row>
    <row r="46" spans="1:28">
      <c r="C46" s="987"/>
      <c r="D46" s="987"/>
      <c r="E46" s="987"/>
      <c r="F46" s="987"/>
      <c r="G46" s="987"/>
      <c r="H46" s="987"/>
      <c r="I46" s="987"/>
    </row>
    <row r="47" spans="1:28">
      <c r="C47" s="781"/>
      <c r="D47" s="781"/>
      <c r="E47" s="781"/>
      <c r="F47" s="781"/>
      <c r="G47" s="781"/>
      <c r="H47" s="781"/>
    </row>
    <row r="48" spans="1:28">
      <c r="C48" s="781"/>
      <c r="D48" s="781"/>
      <c r="E48" s="781"/>
      <c r="F48" s="781"/>
      <c r="G48" s="781"/>
      <c r="H48" s="781"/>
    </row>
    <row r="49" spans="3:8">
      <c r="C49" s="781"/>
      <c r="D49" s="781"/>
      <c r="E49" s="781"/>
      <c r="F49" s="781"/>
      <c r="G49" s="781"/>
      <c r="H49" s="781"/>
    </row>
  </sheetData>
  <mergeCells count="5">
    <mergeCell ref="C42:I43"/>
    <mergeCell ref="C44:I46"/>
    <mergeCell ref="C40:I40"/>
    <mergeCell ref="C41:I41"/>
    <mergeCell ref="C39:K39"/>
  </mergeCells>
  <dataValidations count="1">
    <dataValidation type="list" allowBlank="1" showInputMessage="1" showErrorMessage="1" sqref="D18:D20 D25:D27 D32:D34 D11:D13" xr:uid="{00000000-0002-0000-1900-000000000000}">
      <formula1>"DA, TE, TP, GP, WS, CE, EXCL,"</formula1>
    </dataValidation>
  </dataValidations>
  <pageMargins left="0.25" right="0.25" top="0.75" bottom="0.75" header="0.3" footer="0.3"/>
  <pageSetup scale="63" fitToHeight="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pageSetUpPr fitToPage="1"/>
  </sheetPr>
  <dimension ref="A1:BA38"/>
  <sheetViews>
    <sheetView showWhiteSpace="0" zoomScale="70" zoomScaleNormal="70" zoomScalePageLayoutView="50" workbookViewId="0">
      <selection activeCell="A35" sqref="A35"/>
    </sheetView>
  </sheetViews>
  <sheetFormatPr defaultColWidth="5" defaultRowHeight="15.6"/>
  <cols>
    <col min="1" max="1" width="7.7265625" style="601" customWidth="1"/>
    <col min="2" max="2" width="0.7265625" style="601" customWidth="1"/>
    <col min="3" max="3" width="29.26953125" style="600" customWidth="1"/>
    <col min="4" max="4" width="0.7265625" style="600" customWidth="1"/>
    <col min="5" max="5" width="13.81640625" style="602" customWidth="1"/>
    <col min="6" max="6" width="0.7265625" style="600" customWidth="1"/>
    <col min="7" max="7" width="15.26953125" style="621" customWidth="1"/>
    <col min="8" max="8" width="0.7265625" style="600" customWidth="1"/>
    <col min="9" max="9" width="14.7265625" style="602" bestFit="1" customWidth="1"/>
    <col min="10" max="10" width="0.7265625" style="600" customWidth="1"/>
    <col min="11" max="11" width="20.26953125" style="602" customWidth="1"/>
    <col min="12" max="12" width="0.7265625" style="600" customWidth="1"/>
    <col min="13" max="13" width="8.453125" style="602" customWidth="1"/>
    <col min="14" max="14" width="0.7265625" style="600" customWidth="1"/>
    <col min="15" max="15" width="12.26953125" style="602" bestFit="1" customWidth="1"/>
    <col min="16" max="16" width="0.7265625" style="600" customWidth="1"/>
    <col min="17" max="17" width="16.08984375" style="602" customWidth="1"/>
    <col min="18" max="18" width="0.7265625" style="600" customWidth="1"/>
    <col min="19" max="19" width="16.08984375" style="602" customWidth="1"/>
    <col min="20" max="20" width="0.7265625" style="600" customWidth="1"/>
    <col min="21" max="21" width="16.08984375" style="602" customWidth="1"/>
    <col min="22" max="22" width="0.7265625" style="600" customWidth="1"/>
    <col min="23" max="23" width="16.08984375" style="602" customWidth="1"/>
    <col min="24" max="24" width="0.7265625" style="600" customWidth="1"/>
    <col min="25" max="25" width="16.08984375" style="602" customWidth="1"/>
    <col min="26" max="26" width="0.7265625" style="600" customWidth="1"/>
    <col min="27" max="27" width="16.08984375" style="602" customWidth="1"/>
    <col min="28" max="28" width="0.7265625" style="600" customWidth="1"/>
    <col min="29" max="29" width="16.08984375" style="602" customWidth="1"/>
    <col min="30" max="30" width="0.7265625" style="600" customWidth="1"/>
    <col min="31" max="31" width="16.08984375" style="602" customWidth="1"/>
    <col min="32" max="32" width="0.7265625" style="600" customWidth="1"/>
    <col min="33" max="33" width="16.08984375" style="602" customWidth="1"/>
    <col min="34" max="34" width="0.7265625" style="600" customWidth="1"/>
    <col min="35" max="35" width="16.08984375" style="602" customWidth="1"/>
    <col min="36" max="36" width="0.7265625" style="600" customWidth="1"/>
    <col min="37" max="37" width="16.08984375" style="602" customWidth="1"/>
    <col min="38" max="38" width="0.7265625" style="600" customWidth="1"/>
    <col min="39" max="39" width="16.08984375" style="601" customWidth="1"/>
    <col min="40" max="40" width="0.54296875" style="600" customWidth="1"/>
    <col min="41" max="41" width="16.08984375" style="601" customWidth="1"/>
    <col min="42" max="42" width="0.54296875" style="600" customWidth="1"/>
    <col min="43" max="43" width="13.453125" style="601" customWidth="1"/>
    <col min="44" max="44" width="0.7265625" style="601" customWidth="1"/>
    <col min="45" max="45" width="11.08984375" style="632" customWidth="1"/>
    <col min="46" max="46" width="0.54296875" style="600" customWidth="1"/>
    <col min="47" max="47" width="13.453125" style="601" customWidth="1"/>
    <col min="48" max="48" width="0.54296875" style="600" customWidth="1"/>
    <col min="49" max="49" width="14.26953125" style="601" customWidth="1"/>
    <col min="50" max="50" width="0.54296875" style="600" customWidth="1"/>
    <col min="51" max="51" width="14.81640625" style="601" customWidth="1"/>
    <col min="52" max="52" width="0.54296875" style="600" customWidth="1"/>
    <col min="53" max="53" width="8.7265625" style="601" bestFit="1" customWidth="1"/>
    <col min="54" max="264" width="5" style="600"/>
    <col min="265" max="265" width="4.7265625" style="600" customWidth="1"/>
    <col min="266" max="266" width="2" style="600" customWidth="1"/>
    <col min="267" max="267" width="40.7265625" style="600" customWidth="1"/>
    <col min="268" max="268" width="3.54296875" style="600" customWidth="1"/>
    <col min="269" max="269" width="11.08984375" style="600" customWidth="1"/>
    <col min="270" max="270" width="2.7265625" style="600" customWidth="1"/>
    <col min="271" max="271" width="11.26953125" style="600" customWidth="1"/>
    <col min="272" max="272" width="2.7265625" style="600" customWidth="1"/>
    <col min="273" max="273" width="11.26953125" style="600" customWidth="1"/>
    <col min="274" max="274" width="2.7265625" style="600" customWidth="1"/>
    <col min="275" max="275" width="19.08984375" style="600" bestFit="1" customWidth="1"/>
    <col min="276" max="276" width="1.81640625" style="600" customWidth="1"/>
    <col min="277" max="277" width="6.7265625" style="600" customWidth="1"/>
    <col min="278" max="278" width="14.7265625" style="600" customWidth="1"/>
    <col min="279" max="279" width="9" style="600" bestFit="1" customWidth="1"/>
    <col min="280" max="520" width="5" style="600"/>
    <col min="521" max="521" width="4.7265625" style="600" customWidth="1"/>
    <col min="522" max="522" width="2" style="600" customWidth="1"/>
    <col min="523" max="523" width="40.7265625" style="600" customWidth="1"/>
    <col min="524" max="524" width="3.54296875" style="600" customWidth="1"/>
    <col min="525" max="525" width="11.08984375" style="600" customWidth="1"/>
    <col min="526" max="526" width="2.7265625" style="600" customWidth="1"/>
    <col min="527" max="527" width="11.26953125" style="600" customWidth="1"/>
    <col min="528" max="528" width="2.7265625" style="600" customWidth="1"/>
    <col min="529" max="529" width="11.26953125" style="600" customWidth="1"/>
    <col min="530" max="530" width="2.7265625" style="600" customWidth="1"/>
    <col min="531" max="531" width="19.08984375" style="600" bestFit="1" customWidth="1"/>
    <col min="532" max="532" width="1.81640625" style="600" customWidth="1"/>
    <col min="533" max="533" width="6.7265625" style="600" customWidth="1"/>
    <col min="534" max="534" width="14.7265625" style="600" customWidth="1"/>
    <col min="535" max="535" width="9" style="600" bestFit="1" customWidth="1"/>
    <col min="536" max="776" width="5" style="600"/>
    <col min="777" max="777" width="4.7265625" style="600" customWidth="1"/>
    <col min="778" max="778" width="2" style="600" customWidth="1"/>
    <col min="779" max="779" width="40.7265625" style="600" customWidth="1"/>
    <col min="780" max="780" width="3.54296875" style="600" customWidth="1"/>
    <col min="781" max="781" width="11.08984375" style="600" customWidth="1"/>
    <col min="782" max="782" width="2.7265625" style="600" customWidth="1"/>
    <col min="783" max="783" width="11.26953125" style="600" customWidth="1"/>
    <col min="784" max="784" width="2.7265625" style="600" customWidth="1"/>
    <col min="785" max="785" width="11.26953125" style="600" customWidth="1"/>
    <col min="786" max="786" width="2.7265625" style="600" customWidth="1"/>
    <col min="787" max="787" width="19.08984375" style="600" bestFit="1" customWidth="1"/>
    <col min="788" max="788" width="1.81640625" style="600" customWidth="1"/>
    <col min="789" max="789" width="6.7265625" style="600" customWidth="1"/>
    <col min="790" max="790" width="14.7265625" style="600" customWidth="1"/>
    <col min="791" max="791" width="9" style="600" bestFit="1" customWidth="1"/>
    <col min="792" max="1032" width="5" style="600"/>
    <col min="1033" max="1033" width="4.7265625" style="600" customWidth="1"/>
    <col min="1034" max="1034" width="2" style="600" customWidth="1"/>
    <col min="1035" max="1035" width="40.7265625" style="600" customWidth="1"/>
    <col min="1036" max="1036" width="3.54296875" style="600" customWidth="1"/>
    <col min="1037" max="1037" width="11.08984375" style="600" customWidth="1"/>
    <col min="1038" max="1038" width="2.7265625" style="600" customWidth="1"/>
    <col min="1039" max="1039" width="11.26953125" style="600" customWidth="1"/>
    <col min="1040" max="1040" width="2.7265625" style="600" customWidth="1"/>
    <col min="1041" max="1041" width="11.26953125" style="600" customWidth="1"/>
    <col min="1042" max="1042" width="2.7265625" style="600" customWidth="1"/>
    <col min="1043" max="1043" width="19.08984375" style="600" bestFit="1" customWidth="1"/>
    <col min="1044" max="1044" width="1.81640625" style="600" customWidth="1"/>
    <col min="1045" max="1045" width="6.7265625" style="600" customWidth="1"/>
    <col min="1046" max="1046" width="14.7265625" style="600" customWidth="1"/>
    <col min="1047" max="1047" width="9" style="600" bestFit="1" customWidth="1"/>
    <col min="1048" max="1288" width="5" style="600"/>
    <col min="1289" max="1289" width="4.7265625" style="600" customWidth="1"/>
    <col min="1290" max="1290" width="2" style="600" customWidth="1"/>
    <col min="1291" max="1291" width="40.7265625" style="600" customWidth="1"/>
    <col min="1292" max="1292" width="3.54296875" style="600" customWidth="1"/>
    <col min="1293" max="1293" width="11.08984375" style="600" customWidth="1"/>
    <col min="1294" max="1294" width="2.7265625" style="600" customWidth="1"/>
    <col min="1295" max="1295" width="11.26953125" style="600" customWidth="1"/>
    <col min="1296" max="1296" width="2.7265625" style="600" customWidth="1"/>
    <col min="1297" max="1297" width="11.26953125" style="600" customWidth="1"/>
    <col min="1298" max="1298" width="2.7265625" style="600" customWidth="1"/>
    <col min="1299" max="1299" width="19.08984375" style="600" bestFit="1" customWidth="1"/>
    <col min="1300" max="1300" width="1.81640625" style="600" customWidth="1"/>
    <col min="1301" max="1301" width="6.7265625" style="600" customWidth="1"/>
    <col min="1302" max="1302" width="14.7265625" style="600" customWidth="1"/>
    <col min="1303" max="1303" width="9" style="600" bestFit="1" customWidth="1"/>
    <col min="1304" max="1544" width="5" style="600"/>
    <col min="1545" max="1545" width="4.7265625" style="600" customWidth="1"/>
    <col min="1546" max="1546" width="2" style="600" customWidth="1"/>
    <col min="1547" max="1547" width="40.7265625" style="600" customWidth="1"/>
    <col min="1548" max="1548" width="3.54296875" style="600" customWidth="1"/>
    <col min="1549" max="1549" width="11.08984375" style="600" customWidth="1"/>
    <col min="1550" max="1550" width="2.7265625" style="600" customWidth="1"/>
    <col min="1551" max="1551" width="11.26953125" style="600" customWidth="1"/>
    <col min="1552" max="1552" width="2.7265625" style="600" customWidth="1"/>
    <col min="1553" max="1553" width="11.26953125" style="600" customWidth="1"/>
    <col min="1554" max="1554" width="2.7265625" style="600" customWidth="1"/>
    <col min="1555" max="1555" width="19.08984375" style="600" bestFit="1" customWidth="1"/>
    <col min="1556" max="1556" width="1.81640625" style="600" customWidth="1"/>
    <col min="1557" max="1557" width="6.7265625" style="600" customWidth="1"/>
    <col min="1558" max="1558" width="14.7265625" style="600" customWidth="1"/>
    <col min="1559" max="1559" width="9" style="600" bestFit="1" customWidth="1"/>
    <col min="1560" max="1800" width="5" style="600"/>
    <col min="1801" max="1801" width="4.7265625" style="600" customWidth="1"/>
    <col min="1802" max="1802" width="2" style="600" customWidth="1"/>
    <col min="1803" max="1803" width="40.7265625" style="600" customWidth="1"/>
    <col min="1804" max="1804" width="3.54296875" style="600" customWidth="1"/>
    <col min="1805" max="1805" width="11.08984375" style="600" customWidth="1"/>
    <col min="1806" max="1806" width="2.7265625" style="600" customWidth="1"/>
    <col min="1807" max="1807" width="11.26953125" style="600" customWidth="1"/>
    <col min="1808" max="1808" width="2.7265625" style="600" customWidth="1"/>
    <col min="1809" max="1809" width="11.26953125" style="600" customWidth="1"/>
    <col min="1810" max="1810" width="2.7265625" style="600" customWidth="1"/>
    <col min="1811" max="1811" width="19.08984375" style="600" bestFit="1" customWidth="1"/>
    <col min="1812" max="1812" width="1.81640625" style="600" customWidth="1"/>
    <col min="1813" max="1813" width="6.7265625" style="600" customWidth="1"/>
    <col min="1814" max="1814" width="14.7265625" style="600" customWidth="1"/>
    <col min="1815" max="1815" width="9" style="600" bestFit="1" customWidth="1"/>
    <col min="1816" max="2056" width="5" style="600"/>
    <col min="2057" max="2057" width="4.7265625" style="600" customWidth="1"/>
    <col min="2058" max="2058" width="2" style="600" customWidth="1"/>
    <col min="2059" max="2059" width="40.7265625" style="600" customWidth="1"/>
    <col min="2060" max="2060" width="3.54296875" style="600" customWidth="1"/>
    <col min="2061" max="2061" width="11.08984375" style="600" customWidth="1"/>
    <col min="2062" max="2062" width="2.7265625" style="600" customWidth="1"/>
    <col min="2063" max="2063" width="11.26953125" style="600" customWidth="1"/>
    <col min="2064" max="2064" width="2.7265625" style="600" customWidth="1"/>
    <col min="2065" max="2065" width="11.26953125" style="600" customWidth="1"/>
    <col min="2066" max="2066" width="2.7265625" style="600" customWidth="1"/>
    <col min="2067" max="2067" width="19.08984375" style="600" bestFit="1" customWidth="1"/>
    <col min="2068" max="2068" width="1.81640625" style="600" customWidth="1"/>
    <col min="2069" max="2069" width="6.7265625" style="600" customWidth="1"/>
    <col min="2070" max="2070" width="14.7265625" style="600" customWidth="1"/>
    <col min="2071" max="2071" width="9" style="600" bestFit="1" customWidth="1"/>
    <col min="2072" max="2312" width="5" style="600"/>
    <col min="2313" max="2313" width="4.7265625" style="600" customWidth="1"/>
    <col min="2314" max="2314" width="2" style="600" customWidth="1"/>
    <col min="2315" max="2315" width="40.7265625" style="600" customWidth="1"/>
    <col min="2316" max="2316" width="3.54296875" style="600" customWidth="1"/>
    <col min="2317" max="2317" width="11.08984375" style="600" customWidth="1"/>
    <col min="2318" max="2318" width="2.7265625" style="600" customWidth="1"/>
    <col min="2319" max="2319" width="11.26953125" style="600" customWidth="1"/>
    <col min="2320" max="2320" width="2.7265625" style="600" customWidth="1"/>
    <col min="2321" max="2321" width="11.26953125" style="600" customWidth="1"/>
    <col min="2322" max="2322" width="2.7265625" style="600" customWidth="1"/>
    <col min="2323" max="2323" width="19.08984375" style="600" bestFit="1" customWidth="1"/>
    <col min="2324" max="2324" width="1.81640625" style="600" customWidth="1"/>
    <col min="2325" max="2325" width="6.7265625" style="600" customWidth="1"/>
    <col min="2326" max="2326" width="14.7265625" style="600" customWidth="1"/>
    <col min="2327" max="2327" width="9" style="600" bestFit="1" customWidth="1"/>
    <col min="2328" max="2568" width="5" style="600"/>
    <col min="2569" max="2569" width="4.7265625" style="600" customWidth="1"/>
    <col min="2570" max="2570" width="2" style="600" customWidth="1"/>
    <col min="2571" max="2571" width="40.7265625" style="600" customWidth="1"/>
    <col min="2572" max="2572" width="3.54296875" style="600" customWidth="1"/>
    <col min="2573" max="2573" width="11.08984375" style="600" customWidth="1"/>
    <col min="2574" max="2574" width="2.7265625" style="600" customWidth="1"/>
    <col min="2575" max="2575" width="11.26953125" style="600" customWidth="1"/>
    <col min="2576" max="2576" width="2.7265625" style="600" customWidth="1"/>
    <col min="2577" max="2577" width="11.26953125" style="600" customWidth="1"/>
    <col min="2578" max="2578" width="2.7265625" style="600" customWidth="1"/>
    <col min="2579" max="2579" width="19.08984375" style="600" bestFit="1" customWidth="1"/>
    <col min="2580" max="2580" width="1.81640625" style="600" customWidth="1"/>
    <col min="2581" max="2581" width="6.7265625" style="600" customWidth="1"/>
    <col min="2582" max="2582" width="14.7265625" style="600" customWidth="1"/>
    <col min="2583" max="2583" width="9" style="600" bestFit="1" customWidth="1"/>
    <col min="2584" max="2824" width="5" style="600"/>
    <col min="2825" max="2825" width="4.7265625" style="600" customWidth="1"/>
    <col min="2826" max="2826" width="2" style="600" customWidth="1"/>
    <col min="2827" max="2827" width="40.7265625" style="600" customWidth="1"/>
    <col min="2828" max="2828" width="3.54296875" style="600" customWidth="1"/>
    <col min="2829" max="2829" width="11.08984375" style="600" customWidth="1"/>
    <col min="2830" max="2830" width="2.7265625" style="600" customWidth="1"/>
    <col min="2831" max="2831" width="11.26953125" style="600" customWidth="1"/>
    <col min="2832" max="2832" width="2.7265625" style="600" customWidth="1"/>
    <col min="2833" max="2833" width="11.26953125" style="600" customWidth="1"/>
    <col min="2834" max="2834" width="2.7265625" style="600" customWidth="1"/>
    <col min="2835" max="2835" width="19.08984375" style="600" bestFit="1" customWidth="1"/>
    <col min="2836" max="2836" width="1.81640625" style="600" customWidth="1"/>
    <col min="2837" max="2837" width="6.7265625" style="600" customWidth="1"/>
    <col min="2838" max="2838" width="14.7265625" style="600" customWidth="1"/>
    <col min="2839" max="2839" width="9" style="600" bestFit="1" customWidth="1"/>
    <col min="2840" max="3080" width="5" style="600"/>
    <col min="3081" max="3081" width="4.7265625" style="600" customWidth="1"/>
    <col min="3082" max="3082" width="2" style="600" customWidth="1"/>
    <col min="3083" max="3083" width="40.7265625" style="600" customWidth="1"/>
    <col min="3084" max="3084" width="3.54296875" style="600" customWidth="1"/>
    <col min="3085" max="3085" width="11.08984375" style="600" customWidth="1"/>
    <col min="3086" max="3086" width="2.7265625" style="600" customWidth="1"/>
    <col min="3087" max="3087" width="11.26953125" style="600" customWidth="1"/>
    <col min="3088" max="3088" width="2.7265625" style="600" customWidth="1"/>
    <col min="3089" max="3089" width="11.26953125" style="600" customWidth="1"/>
    <col min="3090" max="3090" width="2.7265625" style="600" customWidth="1"/>
    <col min="3091" max="3091" width="19.08984375" style="600" bestFit="1" customWidth="1"/>
    <col min="3092" max="3092" width="1.81640625" style="600" customWidth="1"/>
    <col min="3093" max="3093" width="6.7265625" style="600" customWidth="1"/>
    <col min="3094" max="3094" width="14.7265625" style="600" customWidth="1"/>
    <col min="3095" max="3095" width="9" style="600" bestFit="1" customWidth="1"/>
    <col min="3096" max="3336" width="5" style="600"/>
    <col min="3337" max="3337" width="4.7265625" style="600" customWidth="1"/>
    <col min="3338" max="3338" width="2" style="600" customWidth="1"/>
    <col min="3339" max="3339" width="40.7265625" style="600" customWidth="1"/>
    <col min="3340" max="3340" width="3.54296875" style="600" customWidth="1"/>
    <col min="3341" max="3341" width="11.08984375" style="600" customWidth="1"/>
    <col min="3342" max="3342" width="2.7265625" style="600" customWidth="1"/>
    <col min="3343" max="3343" width="11.26953125" style="600" customWidth="1"/>
    <col min="3344" max="3344" width="2.7265625" style="600" customWidth="1"/>
    <col min="3345" max="3345" width="11.26953125" style="600" customWidth="1"/>
    <col min="3346" max="3346" width="2.7265625" style="600" customWidth="1"/>
    <col min="3347" max="3347" width="19.08984375" style="600" bestFit="1" customWidth="1"/>
    <col min="3348" max="3348" width="1.81640625" style="600" customWidth="1"/>
    <col min="3349" max="3349" width="6.7265625" style="600" customWidth="1"/>
    <col min="3350" max="3350" width="14.7265625" style="600" customWidth="1"/>
    <col min="3351" max="3351" width="9" style="600" bestFit="1" customWidth="1"/>
    <col min="3352" max="3592" width="5" style="600"/>
    <col min="3593" max="3593" width="4.7265625" style="600" customWidth="1"/>
    <col min="3594" max="3594" width="2" style="600" customWidth="1"/>
    <col min="3595" max="3595" width="40.7265625" style="600" customWidth="1"/>
    <col min="3596" max="3596" width="3.54296875" style="600" customWidth="1"/>
    <col min="3597" max="3597" width="11.08984375" style="600" customWidth="1"/>
    <col min="3598" max="3598" width="2.7265625" style="600" customWidth="1"/>
    <col min="3599" max="3599" width="11.26953125" style="600" customWidth="1"/>
    <col min="3600" max="3600" width="2.7265625" style="600" customWidth="1"/>
    <col min="3601" max="3601" width="11.26953125" style="600" customWidth="1"/>
    <col min="3602" max="3602" width="2.7265625" style="600" customWidth="1"/>
    <col min="3603" max="3603" width="19.08984375" style="600" bestFit="1" customWidth="1"/>
    <col min="3604" max="3604" width="1.81640625" style="600" customWidth="1"/>
    <col min="3605" max="3605" width="6.7265625" style="600" customWidth="1"/>
    <col min="3606" max="3606" width="14.7265625" style="600" customWidth="1"/>
    <col min="3607" max="3607" width="9" style="600" bestFit="1" customWidth="1"/>
    <col min="3608" max="3848" width="5" style="600"/>
    <col min="3849" max="3849" width="4.7265625" style="600" customWidth="1"/>
    <col min="3850" max="3850" width="2" style="600" customWidth="1"/>
    <col min="3851" max="3851" width="40.7265625" style="600" customWidth="1"/>
    <col min="3852" max="3852" width="3.54296875" style="600" customWidth="1"/>
    <col min="3853" max="3853" width="11.08984375" style="600" customWidth="1"/>
    <col min="3854" max="3854" width="2.7265625" style="600" customWidth="1"/>
    <col min="3855" max="3855" width="11.26953125" style="600" customWidth="1"/>
    <col min="3856" max="3856" width="2.7265625" style="600" customWidth="1"/>
    <col min="3857" max="3857" width="11.26953125" style="600" customWidth="1"/>
    <col min="3858" max="3858" width="2.7265625" style="600" customWidth="1"/>
    <col min="3859" max="3859" width="19.08984375" style="600" bestFit="1" customWidth="1"/>
    <col min="3860" max="3860" width="1.81640625" style="600" customWidth="1"/>
    <col min="3861" max="3861" width="6.7265625" style="600" customWidth="1"/>
    <col min="3862" max="3862" width="14.7265625" style="600" customWidth="1"/>
    <col min="3863" max="3863" width="9" style="600" bestFit="1" customWidth="1"/>
    <col min="3864" max="4104" width="5" style="600"/>
    <col min="4105" max="4105" width="4.7265625" style="600" customWidth="1"/>
    <col min="4106" max="4106" width="2" style="600" customWidth="1"/>
    <col min="4107" max="4107" width="40.7265625" style="600" customWidth="1"/>
    <col min="4108" max="4108" width="3.54296875" style="600" customWidth="1"/>
    <col min="4109" max="4109" width="11.08984375" style="600" customWidth="1"/>
    <col min="4110" max="4110" width="2.7265625" style="600" customWidth="1"/>
    <col min="4111" max="4111" width="11.26953125" style="600" customWidth="1"/>
    <col min="4112" max="4112" width="2.7265625" style="600" customWidth="1"/>
    <col min="4113" max="4113" width="11.26953125" style="600" customWidth="1"/>
    <col min="4114" max="4114" width="2.7265625" style="600" customWidth="1"/>
    <col min="4115" max="4115" width="19.08984375" style="600" bestFit="1" customWidth="1"/>
    <col min="4116" max="4116" width="1.81640625" style="600" customWidth="1"/>
    <col min="4117" max="4117" width="6.7265625" style="600" customWidth="1"/>
    <col min="4118" max="4118" width="14.7265625" style="600" customWidth="1"/>
    <col min="4119" max="4119" width="9" style="600" bestFit="1" customWidth="1"/>
    <col min="4120" max="4360" width="5" style="600"/>
    <col min="4361" max="4361" width="4.7265625" style="600" customWidth="1"/>
    <col min="4362" max="4362" width="2" style="600" customWidth="1"/>
    <col min="4363" max="4363" width="40.7265625" style="600" customWidth="1"/>
    <col min="4364" max="4364" width="3.54296875" style="600" customWidth="1"/>
    <col min="4365" max="4365" width="11.08984375" style="600" customWidth="1"/>
    <col min="4366" max="4366" width="2.7265625" style="600" customWidth="1"/>
    <col min="4367" max="4367" width="11.26953125" style="600" customWidth="1"/>
    <col min="4368" max="4368" width="2.7265625" style="600" customWidth="1"/>
    <col min="4369" max="4369" width="11.26953125" style="600" customWidth="1"/>
    <col min="4370" max="4370" width="2.7265625" style="600" customWidth="1"/>
    <col min="4371" max="4371" width="19.08984375" style="600" bestFit="1" customWidth="1"/>
    <col min="4372" max="4372" width="1.81640625" style="600" customWidth="1"/>
    <col min="4373" max="4373" width="6.7265625" style="600" customWidth="1"/>
    <col min="4374" max="4374" width="14.7265625" style="600" customWidth="1"/>
    <col min="4375" max="4375" width="9" style="600" bestFit="1" customWidth="1"/>
    <col min="4376" max="4616" width="5" style="600"/>
    <col min="4617" max="4617" width="4.7265625" style="600" customWidth="1"/>
    <col min="4618" max="4618" width="2" style="600" customWidth="1"/>
    <col min="4619" max="4619" width="40.7265625" style="600" customWidth="1"/>
    <col min="4620" max="4620" width="3.54296875" style="600" customWidth="1"/>
    <col min="4621" max="4621" width="11.08984375" style="600" customWidth="1"/>
    <col min="4622" max="4622" width="2.7265625" style="600" customWidth="1"/>
    <col min="4623" max="4623" width="11.26953125" style="600" customWidth="1"/>
    <col min="4624" max="4624" width="2.7265625" style="600" customWidth="1"/>
    <col min="4625" max="4625" width="11.26953125" style="600" customWidth="1"/>
    <col min="4626" max="4626" width="2.7265625" style="600" customWidth="1"/>
    <col min="4627" max="4627" width="19.08984375" style="600" bestFit="1" customWidth="1"/>
    <col min="4628" max="4628" width="1.81640625" style="600" customWidth="1"/>
    <col min="4629" max="4629" width="6.7265625" style="600" customWidth="1"/>
    <col min="4630" max="4630" width="14.7265625" style="600" customWidth="1"/>
    <col min="4631" max="4631" width="9" style="600" bestFit="1" customWidth="1"/>
    <col min="4632" max="4872" width="5" style="600"/>
    <col min="4873" max="4873" width="4.7265625" style="600" customWidth="1"/>
    <col min="4874" max="4874" width="2" style="600" customWidth="1"/>
    <col min="4875" max="4875" width="40.7265625" style="600" customWidth="1"/>
    <col min="4876" max="4876" width="3.54296875" style="600" customWidth="1"/>
    <col min="4877" max="4877" width="11.08984375" style="600" customWidth="1"/>
    <col min="4878" max="4878" width="2.7265625" style="600" customWidth="1"/>
    <col min="4879" max="4879" width="11.26953125" style="600" customWidth="1"/>
    <col min="4880" max="4880" width="2.7265625" style="600" customWidth="1"/>
    <col min="4881" max="4881" width="11.26953125" style="600" customWidth="1"/>
    <col min="4882" max="4882" width="2.7265625" style="600" customWidth="1"/>
    <col min="4883" max="4883" width="19.08984375" style="600" bestFit="1" customWidth="1"/>
    <col min="4884" max="4884" width="1.81640625" style="600" customWidth="1"/>
    <col min="4885" max="4885" width="6.7265625" style="600" customWidth="1"/>
    <col min="4886" max="4886" width="14.7265625" style="600" customWidth="1"/>
    <col min="4887" max="4887" width="9" style="600" bestFit="1" customWidth="1"/>
    <col min="4888" max="5128" width="5" style="600"/>
    <col min="5129" max="5129" width="4.7265625" style="600" customWidth="1"/>
    <col min="5130" max="5130" width="2" style="600" customWidth="1"/>
    <col min="5131" max="5131" width="40.7265625" style="600" customWidth="1"/>
    <col min="5132" max="5132" width="3.54296875" style="600" customWidth="1"/>
    <col min="5133" max="5133" width="11.08984375" style="600" customWidth="1"/>
    <col min="5134" max="5134" width="2.7265625" style="600" customWidth="1"/>
    <col min="5135" max="5135" width="11.26953125" style="600" customWidth="1"/>
    <col min="5136" max="5136" width="2.7265625" style="600" customWidth="1"/>
    <col min="5137" max="5137" width="11.26953125" style="600" customWidth="1"/>
    <col min="5138" max="5138" width="2.7265625" style="600" customWidth="1"/>
    <col min="5139" max="5139" width="19.08984375" style="600" bestFit="1" customWidth="1"/>
    <col min="5140" max="5140" width="1.81640625" style="600" customWidth="1"/>
    <col min="5141" max="5141" width="6.7265625" style="600" customWidth="1"/>
    <col min="5142" max="5142" width="14.7265625" style="600" customWidth="1"/>
    <col min="5143" max="5143" width="9" style="600" bestFit="1" customWidth="1"/>
    <col min="5144" max="5384" width="5" style="600"/>
    <col min="5385" max="5385" width="4.7265625" style="600" customWidth="1"/>
    <col min="5386" max="5386" width="2" style="600" customWidth="1"/>
    <col min="5387" max="5387" width="40.7265625" style="600" customWidth="1"/>
    <col min="5388" max="5388" width="3.54296875" style="600" customWidth="1"/>
    <col min="5389" max="5389" width="11.08984375" style="600" customWidth="1"/>
    <col min="5390" max="5390" width="2.7265625" style="600" customWidth="1"/>
    <col min="5391" max="5391" width="11.26953125" style="600" customWidth="1"/>
    <col min="5392" max="5392" width="2.7265625" style="600" customWidth="1"/>
    <col min="5393" max="5393" width="11.26953125" style="600" customWidth="1"/>
    <col min="5394" max="5394" width="2.7265625" style="600" customWidth="1"/>
    <col min="5395" max="5395" width="19.08984375" style="600" bestFit="1" customWidth="1"/>
    <col min="5396" max="5396" width="1.81640625" style="600" customWidth="1"/>
    <col min="5397" max="5397" width="6.7265625" style="600" customWidth="1"/>
    <col min="5398" max="5398" width="14.7265625" style="600" customWidth="1"/>
    <col min="5399" max="5399" width="9" style="600" bestFit="1" customWidth="1"/>
    <col min="5400" max="5640" width="5" style="600"/>
    <col min="5641" max="5641" width="4.7265625" style="600" customWidth="1"/>
    <col min="5642" max="5642" width="2" style="600" customWidth="1"/>
    <col min="5643" max="5643" width="40.7265625" style="600" customWidth="1"/>
    <col min="5644" max="5644" width="3.54296875" style="600" customWidth="1"/>
    <col min="5645" max="5645" width="11.08984375" style="600" customWidth="1"/>
    <col min="5646" max="5646" width="2.7265625" style="600" customWidth="1"/>
    <col min="5647" max="5647" width="11.26953125" style="600" customWidth="1"/>
    <col min="5648" max="5648" width="2.7265625" style="600" customWidth="1"/>
    <col min="5649" max="5649" width="11.26953125" style="600" customWidth="1"/>
    <col min="5650" max="5650" width="2.7265625" style="600" customWidth="1"/>
    <col min="5651" max="5651" width="19.08984375" style="600" bestFit="1" customWidth="1"/>
    <col min="5652" max="5652" width="1.81640625" style="600" customWidth="1"/>
    <col min="5653" max="5653" width="6.7265625" style="600" customWidth="1"/>
    <col min="5654" max="5654" width="14.7265625" style="600" customWidth="1"/>
    <col min="5655" max="5655" width="9" style="600" bestFit="1" customWidth="1"/>
    <col min="5656" max="5896" width="5" style="600"/>
    <col min="5897" max="5897" width="4.7265625" style="600" customWidth="1"/>
    <col min="5898" max="5898" width="2" style="600" customWidth="1"/>
    <col min="5899" max="5899" width="40.7265625" style="600" customWidth="1"/>
    <col min="5900" max="5900" width="3.54296875" style="600" customWidth="1"/>
    <col min="5901" max="5901" width="11.08984375" style="600" customWidth="1"/>
    <col min="5902" max="5902" width="2.7265625" style="600" customWidth="1"/>
    <col min="5903" max="5903" width="11.26953125" style="600" customWidth="1"/>
    <col min="5904" max="5904" width="2.7265625" style="600" customWidth="1"/>
    <col min="5905" max="5905" width="11.26953125" style="600" customWidth="1"/>
    <col min="5906" max="5906" width="2.7265625" style="600" customWidth="1"/>
    <col min="5907" max="5907" width="19.08984375" style="600" bestFit="1" customWidth="1"/>
    <col min="5908" max="5908" width="1.81640625" style="600" customWidth="1"/>
    <col min="5909" max="5909" width="6.7265625" style="600" customWidth="1"/>
    <col min="5910" max="5910" width="14.7265625" style="600" customWidth="1"/>
    <col min="5911" max="5911" width="9" style="600" bestFit="1" customWidth="1"/>
    <col min="5912" max="6152" width="5" style="600"/>
    <col min="6153" max="6153" width="4.7265625" style="600" customWidth="1"/>
    <col min="6154" max="6154" width="2" style="600" customWidth="1"/>
    <col min="6155" max="6155" width="40.7265625" style="600" customWidth="1"/>
    <col min="6156" max="6156" width="3.54296875" style="600" customWidth="1"/>
    <col min="6157" max="6157" width="11.08984375" style="600" customWidth="1"/>
    <col min="6158" max="6158" width="2.7265625" style="600" customWidth="1"/>
    <col min="6159" max="6159" width="11.26953125" style="600" customWidth="1"/>
    <col min="6160" max="6160" width="2.7265625" style="600" customWidth="1"/>
    <col min="6161" max="6161" width="11.26953125" style="600" customWidth="1"/>
    <col min="6162" max="6162" width="2.7265625" style="600" customWidth="1"/>
    <col min="6163" max="6163" width="19.08984375" style="600" bestFit="1" customWidth="1"/>
    <col min="6164" max="6164" width="1.81640625" style="600" customWidth="1"/>
    <col min="6165" max="6165" width="6.7265625" style="600" customWidth="1"/>
    <col min="6166" max="6166" width="14.7265625" style="600" customWidth="1"/>
    <col min="6167" max="6167" width="9" style="600" bestFit="1" customWidth="1"/>
    <col min="6168" max="6408" width="5" style="600"/>
    <col min="6409" max="6409" width="4.7265625" style="600" customWidth="1"/>
    <col min="6410" max="6410" width="2" style="600" customWidth="1"/>
    <col min="6411" max="6411" width="40.7265625" style="600" customWidth="1"/>
    <col min="6412" max="6412" width="3.54296875" style="600" customWidth="1"/>
    <col min="6413" max="6413" width="11.08984375" style="600" customWidth="1"/>
    <col min="6414" max="6414" width="2.7265625" style="600" customWidth="1"/>
    <col min="6415" max="6415" width="11.26953125" style="600" customWidth="1"/>
    <col min="6416" max="6416" width="2.7265625" style="600" customWidth="1"/>
    <col min="6417" max="6417" width="11.26953125" style="600" customWidth="1"/>
    <col min="6418" max="6418" width="2.7265625" style="600" customWidth="1"/>
    <col min="6419" max="6419" width="19.08984375" style="600" bestFit="1" customWidth="1"/>
    <col min="6420" max="6420" width="1.81640625" style="600" customWidth="1"/>
    <col min="6421" max="6421" width="6.7265625" style="600" customWidth="1"/>
    <col min="6422" max="6422" width="14.7265625" style="600" customWidth="1"/>
    <col min="6423" max="6423" width="9" style="600" bestFit="1" customWidth="1"/>
    <col min="6424" max="6664" width="5" style="600"/>
    <col min="6665" max="6665" width="4.7265625" style="600" customWidth="1"/>
    <col min="6666" max="6666" width="2" style="600" customWidth="1"/>
    <col min="6667" max="6667" width="40.7265625" style="600" customWidth="1"/>
    <col min="6668" max="6668" width="3.54296875" style="600" customWidth="1"/>
    <col min="6669" max="6669" width="11.08984375" style="600" customWidth="1"/>
    <col min="6670" max="6670" width="2.7265625" style="600" customWidth="1"/>
    <col min="6671" max="6671" width="11.26953125" style="600" customWidth="1"/>
    <col min="6672" max="6672" width="2.7265625" style="600" customWidth="1"/>
    <col min="6673" max="6673" width="11.26953125" style="600" customWidth="1"/>
    <col min="6674" max="6674" width="2.7265625" style="600" customWidth="1"/>
    <col min="6675" max="6675" width="19.08984375" style="600" bestFit="1" customWidth="1"/>
    <col min="6676" max="6676" width="1.81640625" style="600" customWidth="1"/>
    <col min="6677" max="6677" width="6.7265625" style="600" customWidth="1"/>
    <col min="6678" max="6678" width="14.7265625" style="600" customWidth="1"/>
    <col min="6679" max="6679" width="9" style="600" bestFit="1" customWidth="1"/>
    <col min="6680" max="6920" width="5" style="600"/>
    <col min="6921" max="6921" width="4.7265625" style="600" customWidth="1"/>
    <col min="6922" max="6922" width="2" style="600" customWidth="1"/>
    <col min="6923" max="6923" width="40.7265625" style="600" customWidth="1"/>
    <col min="6924" max="6924" width="3.54296875" style="600" customWidth="1"/>
    <col min="6925" max="6925" width="11.08984375" style="600" customWidth="1"/>
    <col min="6926" max="6926" width="2.7265625" style="600" customWidth="1"/>
    <col min="6927" max="6927" width="11.26953125" style="600" customWidth="1"/>
    <col min="6928" max="6928" width="2.7265625" style="600" customWidth="1"/>
    <col min="6929" max="6929" width="11.26953125" style="600" customWidth="1"/>
    <col min="6930" max="6930" width="2.7265625" style="600" customWidth="1"/>
    <col min="6931" max="6931" width="19.08984375" style="600" bestFit="1" customWidth="1"/>
    <col min="6932" max="6932" width="1.81640625" style="600" customWidth="1"/>
    <col min="6933" max="6933" width="6.7265625" style="600" customWidth="1"/>
    <col min="6934" max="6934" width="14.7265625" style="600" customWidth="1"/>
    <col min="6935" max="6935" width="9" style="600" bestFit="1" customWidth="1"/>
    <col min="6936" max="7176" width="5" style="600"/>
    <col min="7177" max="7177" width="4.7265625" style="600" customWidth="1"/>
    <col min="7178" max="7178" width="2" style="600" customWidth="1"/>
    <col min="7179" max="7179" width="40.7265625" style="600" customWidth="1"/>
    <col min="7180" max="7180" width="3.54296875" style="600" customWidth="1"/>
    <col min="7181" max="7181" width="11.08984375" style="600" customWidth="1"/>
    <col min="7182" max="7182" width="2.7265625" style="600" customWidth="1"/>
    <col min="7183" max="7183" width="11.26953125" style="600" customWidth="1"/>
    <col min="7184" max="7184" width="2.7265625" style="600" customWidth="1"/>
    <col min="7185" max="7185" width="11.26953125" style="600" customWidth="1"/>
    <col min="7186" max="7186" width="2.7265625" style="600" customWidth="1"/>
    <col min="7187" max="7187" width="19.08984375" style="600" bestFit="1" customWidth="1"/>
    <col min="7188" max="7188" width="1.81640625" style="600" customWidth="1"/>
    <col min="7189" max="7189" width="6.7265625" style="600" customWidth="1"/>
    <col min="7190" max="7190" width="14.7265625" style="600" customWidth="1"/>
    <col min="7191" max="7191" width="9" style="600" bestFit="1" customWidth="1"/>
    <col min="7192" max="7432" width="5" style="600"/>
    <col min="7433" max="7433" width="4.7265625" style="600" customWidth="1"/>
    <col min="7434" max="7434" width="2" style="600" customWidth="1"/>
    <col min="7435" max="7435" width="40.7265625" style="600" customWidth="1"/>
    <col min="7436" max="7436" width="3.54296875" style="600" customWidth="1"/>
    <col min="7437" max="7437" width="11.08984375" style="600" customWidth="1"/>
    <col min="7438" max="7438" width="2.7265625" style="600" customWidth="1"/>
    <col min="7439" max="7439" width="11.26953125" style="600" customWidth="1"/>
    <col min="7440" max="7440" width="2.7265625" style="600" customWidth="1"/>
    <col min="7441" max="7441" width="11.26953125" style="600" customWidth="1"/>
    <col min="7442" max="7442" width="2.7265625" style="600" customWidth="1"/>
    <col min="7443" max="7443" width="19.08984375" style="600" bestFit="1" customWidth="1"/>
    <col min="7444" max="7444" width="1.81640625" style="600" customWidth="1"/>
    <col min="7445" max="7445" width="6.7265625" style="600" customWidth="1"/>
    <col min="7446" max="7446" width="14.7265625" style="600" customWidth="1"/>
    <col min="7447" max="7447" width="9" style="600" bestFit="1" customWidth="1"/>
    <col min="7448" max="7688" width="5" style="600"/>
    <col min="7689" max="7689" width="4.7265625" style="600" customWidth="1"/>
    <col min="7690" max="7690" width="2" style="600" customWidth="1"/>
    <col min="7691" max="7691" width="40.7265625" style="600" customWidth="1"/>
    <col min="7692" max="7692" width="3.54296875" style="600" customWidth="1"/>
    <col min="7693" max="7693" width="11.08984375" style="600" customWidth="1"/>
    <col min="7694" max="7694" width="2.7265625" style="600" customWidth="1"/>
    <col min="7695" max="7695" width="11.26953125" style="600" customWidth="1"/>
    <col min="7696" max="7696" width="2.7265625" style="600" customWidth="1"/>
    <col min="7697" max="7697" width="11.26953125" style="600" customWidth="1"/>
    <col min="7698" max="7698" width="2.7265625" style="600" customWidth="1"/>
    <col min="7699" max="7699" width="19.08984375" style="600" bestFit="1" customWidth="1"/>
    <col min="7700" max="7700" width="1.81640625" style="600" customWidth="1"/>
    <col min="7701" max="7701" width="6.7265625" style="600" customWidth="1"/>
    <col min="7702" max="7702" width="14.7265625" style="600" customWidth="1"/>
    <col min="7703" max="7703" width="9" style="600" bestFit="1" customWidth="1"/>
    <col min="7704" max="7944" width="5" style="600"/>
    <col min="7945" max="7945" width="4.7265625" style="600" customWidth="1"/>
    <col min="7946" max="7946" width="2" style="600" customWidth="1"/>
    <col min="7947" max="7947" width="40.7265625" style="600" customWidth="1"/>
    <col min="7948" max="7948" width="3.54296875" style="600" customWidth="1"/>
    <col min="7949" max="7949" width="11.08984375" style="600" customWidth="1"/>
    <col min="7950" max="7950" width="2.7265625" style="600" customWidth="1"/>
    <col min="7951" max="7951" width="11.26953125" style="600" customWidth="1"/>
    <col min="7952" max="7952" width="2.7265625" style="600" customWidth="1"/>
    <col min="7953" max="7953" width="11.26953125" style="600" customWidth="1"/>
    <col min="7954" max="7954" width="2.7265625" style="600" customWidth="1"/>
    <col min="7955" max="7955" width="19.08984375" style="600" bestFit="1" customWidth="1"/>
    <col min="7956" max="7956" width="1.81640625" style="600" customWidth="1"/>
    <col min="7957" max="7957" width="6.7265625" style="600" customWidth="1"/>
    <col min="7958" max="7958" width="14.7265625" style="600" customWidth="1"/>
    <col min="7959" max="7959" width="9" style="600" bestFit="1" customWidth="1"/>
    <col min="7960" max="8200" width="5" style="600"/>
    <col min="8201" max="8201" width="4.7265625" style="600" customWidth="1"/>
    <col min="8202" max="8202" width="2" style="600" customWidth="1"/>
    <col min="8203" max="8203" width="40.7265625" style="600" customWidth="1"/>
    <col min="8204" max="8204" width="3.54296875" style="600" customWidth="1"/>
    <col min="8205" max="8205" width="11.08984375" style="600" customWidth="1"/>
    <col min="8206" max="8206" width="2.7265625" style="600" customWidth="1"/>
    <col min="8207" max="8207" width="11.26953125" style="600" customWidth="1"/>
    <col min="8208" max="8208" width="2.7265625" style="600" customWidth="1"/>
    <col min="8209" max="8209" width="11.26953125" style="600" customWidth="1"/>
    <col min="8210" max="8210" width="2.7265625" style="600" customWidth="1"/>
    <col min="8211" max="8211" width="19.08984375" style="600" bestFit="1" customWidth="1"/>
    <col min="8212" max="8212" width="1.81640625" style="600" customWidth="1"/>
    <col min="8213" max="8213" width="6.7265625" style="600" customWidth="1"/>
    <col min="8214" max="8214" width="14.7265625" style="600" customWidth="1"/>
    <col min="8215" max="8215" width="9" style="600" bestFit="1" customWidth="1"/>
    <col min="8216" max="8456" width="5" style="600"/>
    <col min="8457" max="8457" width="4.7265625" style="600" customWidth="1"/>
    <col min="8458" max="8458" width="2" style="600" customWidth="1"/>
    <col min="8459" max="8459" width="40.7265625" style="600" customWidth="1"/>
    <col min="8460" max="8460" width="3.54296875" style="600" customWidth="1"/>
    <col min="8461" max="8461" width="11.08984375" style="600" customWidth="1"/>
    <col min="8462" max="8462" width="2.7265625" style="600" customWidth="1"/>
    <col min="8463" max="8463" width="11.26953125" style="600" customWidth="1"/>
    <col min="8464" max="8464" width="2.7265625" style="600" customWidth="1"/>
    <col min="8465" max="8465" width="11.26953125" style="600" customWidth="1"/>
    <col min="8466" max="8466" width="2.7265625" style="600" customWidth="1"/>
    <col min="8467" max="8467" width="19.08984375" style="600" bestFit="1" customWidth="1"/>
    <col min="8468" max="8468" width="1.81640625" style="600" customWidth="1"/>
    <col min="8469" max="8469" width="6.7265625" style="600" customWidth="1"/>
    <col min="8470" max="8470" width="14.7265625" style="600" customWidth="1"/>
    <col min="8471" max="8471" width="9" style="600" bestFit="1" customWidth="1"/>
    <col min="8472" max="8712" width="5" style="600"/>
    <col min="8713" max="8713" width="4.7265625" style="600" customWidth="1"/>
    <col min="8714" max="8714" width="2" style="600" customWidth="1"/>
    <col min="8715" max="8715" width="40.7265625" style="600" customWidth="1"/>
    <col min="8716" max="8716" width="3.54296875" style="600" customWidth="1"/>
    <col min="8717" max="8717" width="11.08984375" style="600" customWidth="1"/>
    <col min="8718" max="8718" width="2.7265625" style="600" customWidth="1"/>
    <col min="8719" max="8719" width="11.26953125" style="600" customWidth="1"/>
    <col min="8720" max="8720" width="2.7265625" style="600" customWidth="1"/>
    <col min="8721" max="8721" width="11.26953125" style="600" customWidth="1"/>
    <col min="8722" max="8722" width="2.7265625" style="600" customWidth="1"/>
    <col min="8723" max="8723" width="19.08984375" style="600" bestFit="1" customWidth="1"/>
    <col min="8724" max="8724" width="1.81640625" style="600" customWidth="1"/>
    <col min="8725" max="8725" width="6.7265625" style="600" customWidth="1"/>
    <col min="8726" max="8726" width="14.7265625" style="600" customWidth="1"/>
    <col min="8727" max="8727" width="9" style="600" bestFit="1" customWidth="1"/>
    <col min="8728" max="8968" width="5" style="600"/>
    <col min="8969" max="8969" width="4.7265625" style="600" customWidth="1"/>
    <col min="8970" max="8970" width="2" style="600" customWidth="1"/>
    <col min="8971" max="8971" width="40.7265625" style="600" customWidth="1"/>
    <col min="8972" max="8972" width="3.54296875" style="600" customWidth="1"/>
    <col min="8973" max="8973" width="11.08984375" style="600" customWidth="1"/>
    <col min="8974" max="8974" width="2.7265625" style="600" customWidth="1"/>
    <col min="8975" max="8975" width="11.26953125" style="600" customWidth="1"/>
    <col min="8976" max="8976" width="2.7265625" style="600" customWidth="1"/>
    <col min="8977" max="8977" width="11.26953125" style="600" customWidth="1"/>
    <col min="8978" max="8978" width="2.7265625" style="600" customWidth="1"/>
    <col min="8979" max="8979" width="19.08984375" style="600" bestFit="1" customWidth="1"/>
    <col min="8980" max="8980" width="1.81640625" style="600" customWidth="1"/>
    <col min="8981" max="8981" width="6.7265625" style="600" customWidth="1"/>
    <col min="8982" max="8982" width="14.7265625" style="600" customWidth="1"/>
    <col min="8983" max="8983" width="9" style="600" bestFit="1" customWidth="1"/>
    <col min="8984" max="9224" width="5" style="600"/>
    <col min="9225" max="9225" width="4.7265625" style="600" customWidth="1"/>
    <col min="9226" max="9226" width="2" style="600" customWidth="1"/>
    <col min="9227" max="9227" width="40.7265625" style="600" customWidth="1"/>
    <col min="9228" max="9228" width="3.54296875" style="600" customWidth="1"/>
    <col min="9229" max="9229" width="11.08984375" style="600" customWidth="1"/>
    <col min="9230" max="9230" width="2.7265625" style="600" customWidth="1"/>
    <col min="9231" max="9231" width="11.26953125" style="600" customWidth="1"/>
    <col min="9232" max="9232" width="2.7265625" style="600" customWidth="1"/>
    <col min="9233" max="9233" width="11.26953125" style="600" customWidth="1"/>
    <col min="9234" max="9234" width="2.7265625" style="600" customWidth="1"/>
    <col min="9235" max="9235" width="19.08984375" style="600" bestFit="1" customWidth="1"/>
    <col min="9236" max="9236" width="1.81640625" style="600" customWidth="1"/>
    <col min="9237" max="9237" width="6.7265625" style="600" customWidth="1"/>
    <col min="9238" max="9238" width="14.7265625" style="600" customWidth="1"/>
    <col min="9239" max="9239" width="9" style="600" bestFit="1" customWidth="1"/>
    <col min="9240" max="9480" width="5" style="600"/>
    <col min="9481" max="9481" width="4.7265625" style="600" customWidth="1"/>
    <col min="9482" max="9482" width="2" style="600" customWidth="1"/>
    <col min="9483" max="9483" width="40.7265625" style="600" customWidth="1"/>
    <col min="9484" max="9484" width="3.54296875" style="600" customWidth="1"/>
    <col min="9485" max="9485" width="11.08984375" style="600" customWidth="1"/>
    <col min="9486" max="9486" width="2.7265625" style="600" customWidth="1"/>
    <col min="9487" max="9487" width="11.26953125" style="600" customWidth="1"/>
    <col min="9488" max="9488" width="2.7265625" style="600" customWidth="1"/>
    <col min="9489" max="9489" width="11.26953125" style="600" customWidth="1"/>
    <col min="9490" max="9490" width="2.7265625" style="600" customWidth="1"/>
    <col min="9491" max="9491" width="19.08984375" style="600" bestFit="1" customWidth="1"/>
    <col min="9492" max="9492" width="1.81640625" style="600" customWidth="1"/>
    <col min="9493" max="9493" width="6.7265625" style="600" customWidth="1"/>
    <col min="9494" max="9494" width="14.7265625" style="600" customWidth="1"/>
    <col min="9495" max="9495" width="9" style="600" bestFit="1" customWidth="1"/>
    <col min="9496" max="9736" width="5" style="600"/>
    <col min="9737" max="9737" width="4.7265625" style="600" customWidth="1"/>
    <col min="9738" max="9738" width="2" style="600" customWidth="1"/>
    <col min="9739" max="9739" width="40.7265625" style="600" customWidth="1"/>
    <col min="9740" max="9740" width="3.54296875" style="600" customWidth="1"/>
    <col min="9741" max="9741" width="11.08984375" style="600" customWidth="1"/>
    <col min="9742" max="9742" width="2.7265625" style="600" customWidth="1"/>
    <col min="9743" max="9743" width="11.26953125" style="600" customWidth="1"/>
    <col min="9744" max="9744" width="2.7265625" style="600" customWidth="1"/>
    <col min="9745" max="9745" width="11.26953125" style="600" customWidth="1"/>
    <col min="9746" max="9746" width="2.7265625" style="600" customWidth="1"/>
    <col min="9747" max="9747" width="19.08984375" style="600" bestFit="1" customWidth="1"/>
    <col min="9748" max="9748" width="1.81640625" style="600" customWidth="1"/>
    <col min="9749" max="9749" width="6.7265625" style="600" customWidth="1"/>
    <col min="9750" max="9750" width="14.7265625" style="600" customWidth="1"/>
    <col min="9751" max="9751" width="9" style="600" bestFit="1" customWidth="1"/>
    <col min="9752" max="9992" width="5" style="600"/>
    <col min="9993" max="9993" width="4.7265625" style="600" customWidth="1"/>
    <col min="9994" max="9994" width="2" style="600" customWidth="1"/>
    <col min="9995" max="9995" width="40.7265625" style="600" customWidth="1"/>
    <col min="9996" max="9996" width="3.54296875" style="600" customWidth="1"/>
    <col min="9997" max="9997" width="11.08984375" style="600" customWidth="1"/>
    <col min="9998" max="9998" width="2.7265625" style="600" customWidth="1"/>
    <col min="9999" max="9999" width="11.26953125" style="600" customWidth="1"/>
    <col min="10000" max="10000" width="2.7265625" style="600" customWidth="1"/>
    <col min="10001" max="10001" width="11.26953125" style="600" customWidth="1"/>
    <col min="10002" max="10002" width="2.7265625" style="600" customWidth="1"/>
    <col min="10003" max="10003" width="19.08984375" style="600" bestFit="1" customWidth="1"/>
    <col min="10004" max="10004" width="1.81640625" style="600" customWidth="1"/>
    <col min="10005" max="10005" width="6.7265625" style="600" customWidth="1"/>
    <col min="10006" max="10006" width="14.7265625" style="600" customWidth="1"/>
    <col min="10007" max="10007" width="9" style="600" bestFit="1" customWidth="1"/>
    <col min="10008" max="10248" width="5" style="600"/>
    <col min="10249" max="10249" width="4.7265625" style="600" customWidth="1"/>
    <col min="10250" max="10250" width="2" style="600" customWidth="1"/>
    <col min="10251" max="10251" width="40.7265625" style="600" customWidth="1"/>
    <col min="10252" max="10252" width="3.54296875" style="600" customWidth="1"/>
    <col min="10253" max="10253" width="11.08984375" style="600" customWidth="1"/>
    <col min="10254" max="10254" width="2.7265625" style="600" customWidth="1"/>
    <col min="10255" max="10255" width="11.26953125" style="600" customWidth="1"/>
    <col min="10256" max="10256" width="2.7265625" style="600" customWidth="1"/>
    <col min="10257" max="10257" width="11.26953125" style="600" customWidth="1"/>
    <col min="10258" max="10258" width="2.7265625" style="600" customWidth="1"/>
    <col min="10259" max="10259" width="19.08984375" style="600" bestFit="1" customWidth="1"/>
    <col min="10260" max="10260" width="1.81640625" style="600" customWidth="1"/>
    <col min="10261" max="10261" width="6.7265625" style="600" customWidth="1"/>
    <col min="10262" max="10262" width="14.7265625" style="600" customWidth="1"/>
    <col min="10263" max="10263" width="9" style="600" bestFit="1" customWidth="1"/>
    <col min="10264" max="10504" width="5" style="600"/>
    <col min="10505" max="10505" width="4.7265625" style="600" customWidth="1"/>
    <col min="10506" max="10506" width="2" style="600" customWidth="1"/>
    <col min="10507" max="10507" width="40.7265625" style="600" customWidth="1"/>
    <col min="10508" max="10508" width="3.54296875" style="600" customWidth="1"/>
    <col min="10509" max="10509" width="11.08984375" style="600" customWidth="1"/>
    <col min="10510" max="10510" width="2.7265625" style="600" customWidth="1"/>
    <col min="10511" max="10511" width="11.26953125" style="600" customWidth="1"/>
    <col min="10512" max="10512" width="2.7265625" style="600" customWidth="1"/>
    <col min="10513" max="10513" width="11.26953125" style="600" customWidth="1"/>
    <col min="10514" max="10514" width="2.7265625" style="600" customWidth="1"/>
    <col min="10515" max="10515" width="19.08984375" style="600" bestFit="1" customWidth="1"/>
    <col min="10516" max="10516" width="1.81640625" style="600" customWidth="1"/>
    <col min="10517" max="10517" width="6.7265625" style="600" customWidth="1"/>
    <col min="10518" max="10518" width="14.7265625" style="600" customWidth="1"/>
    <col min="10519" max="10519" width="9" style="600" bestFit="1" customWidth="1"/>
    <col min="10520" max="10760" width="5" style="600"/>
    <col min="10761" max="10761" width="4.7265625" style="600" customWidth="1"/>
    <col min="10762" max="10762" width="2" style="600" customWidth="1"/>
    <col min="10763" max="10763" width="40.7265625" style="600" customWidth="1"/>
    <col min="10764" max="10764" width="3.54296875" style="600" customWidth="1"/>
    <col min="10765" max="10765" width="11.08984375" style="600" customWidth="1"/>
    <col min="10766" max="10766" width="2.7265625" style="600" customWidth="1"/>
    <col min="10767" max="10767" width="11.26953125" style="600" customWidth="1"/>
    <col min="10768" max="10768" width="2.7265625" style="600" customWidth="1"/>
    <col min="10769" max="10769" width="11.26953125" style="600" customWidth="1"/>
    <col min="10770" max="10770" width="2.7265625" style="600" customWidth="1"/>
    <col min="10771" max="10771" width="19.08984375" style="600" bestFit="1" customWidth="1"/>
    <col min="10772" max="10772" width="1.81640625" style="600" customWidth="1"/>
    <col min="10773" max="10773" width="6.7265625" style="600" customWidth="1"/>
    <col min="10774" max="10774" width="14.7265625" style="600" customWidth="1"/>
    <col min="10775" max="10775" width="9" style="600" bestFit="1" customWidth="1"/>
    <col min="10776" max="11016" width="5" style="600"/>
    <col min="11017" max="11017" width="4.7265625" style="600" customWidth="1"/>
    <col min="11018" max="11018" width="2" style="600" customWidth="1"/>
    <col min="11019" max="11019" width="40.7265625" style="600" customWidth="1"/>
    <col min="11020" max="11020" width="3.54296875" style="600" customWidth="1"/>
    <col min="11021" max="11021" width="11.08984375" style="600" customWidth="1"/>
    <col min="11022" max="11022" width="2.7265625" style="600" customWidth="1"/>
    <col min="11023" max="11023" width="11.26953125" style="600" customWidth="1"/>
    <col min="11024" max="11024" width="2.7265625" style="600" customWidth="1"/>
    <col min="11025" max="11025" width="11.26953125" style="600" customWidth="1"/>
    <col min="11026" max="11026" width="2.7265625" style="600" customWidth="1"/>
    <col min="11027" max="11027" width="19.08984375" style="600" bestFit="1" customWidth="1"/>
    <col min="11028" max="11028" width="1.81640625" style="600" customWidth="1"/>
    <col min="11029" max="11029" width="6.7265625" style="600" customWidth="1"/>
    <col min="11030" max="11030" width="14.7265625" style="600" customWidth="1"/>
    <col min="11031" max="11031" width="9" style="600" bestFit="1" customWidth="1"/>
    <col min="11032" max="11272" width="5" style="600"/>
    <col min="11273" max="11273" width="4.7265625" style="600" customWidth="1"/>
    <col min="11274" max="11274" width="2" style="600" customWidth="1"/>
    <col min="11275" max="11275" width="40.7265625" style="600" customWidth="1"/>
    <col min="11276" max="11276" width="3.54296875" style="600" customWidth="1"/>
    <col min="11277" max="11277" width="11.08984375" style="600" customWidth="1"/>
    <col min="11278" max="11278" width="2.7265625" style="600" customWidth="1"/>
    <col min="11279" max="11279" width="11.26953125" style="600" customWidth="1"/>
    <col min="11280" max="11280" width="2.7265625" style="600" customWidth="1"/>
    <col min="11281" max="11281" width="11.26953125" style="600" customWidth="1"/>
    <col min="11282" max="11282" width="2.7265625" style="600" customWidth="1"/>
    <col min="11283" max="11283" width="19.08984375" style="600" bestFit="1" customWidth="1"/>
    <col min="11284" max="11284" width="1.81640625" style="600" customWidth="1"/>
    <col min="11285" max="11285" width="6.7265625" style="600" customWidth="1"/>
    <col min="11286" max="11286" width="14.7265625" style="600" customWidth="1"/>
    <col min="11287" max="11287" width="9" style="600" bestFit="1" customWidth="1"/>
    <col min="11288" max="11528" width="5" style="600"/>
    <col min="11529" max="11529" width="4.7265625" style="600" customWidth="1"/>
    <col min="11530" max="11530" width="2" style="600" customWidth="1"/>
    <col min="11531" max="11531" width="40.7265625" style="600" customWidth="1"/>
    <col min="11532" max="11532" width="3.54296875" style="600" customWidth="1"/>
    <col min="11533" max="11533" width="11.08984375" style="600" customWidth="1"/>
    <col min="11534" max="11534" width="2.7265625" style="600" customWidth="1"/>
    <col min="11535" max="11535" width="11.26953125" style="600" customWidth="1"/>
    <col min="11536" max="11536" width="2.7265625" style="600" customWidth="1"/>
    <col min="11537" max="11537" width="11.26953125" style="600" customWidth="1"/>
    <col min="11538" max="11538" width="2.7265625" style="600" customWidth="1"/>
    <col min="11539" max="11539" width="19.08984375" style="600" bestFit="1" customWidth="1"/>
    <col min="11540" max="11540" width="1.81640625" style="600" customWidth="1"/>
    <col min="11541" max="11541" width="6.7265625" style="600" customWidth="1"/>
    <col min="11542" max="11542" width="14.7265625" style="600" customWidth="1"/>
    <col min="11543" max="11543" width="9" style="600" bestFit="1" customWidth="1"/>
    <col min="11544" max="11784" width="5" style="600"/>
    <col min="11785" max="11785" width="4.7265625" style="600" customWidth="1"/>
    <col min="11786" max="11786" width="2" style="600" customWidth="1"/>
    <col min="11787" max="11787" width="40.7265625" style="600" customWidth="1"/>
    <col min="11788" max="11788" width="3.54296875" style="600" customWidth="1"/>
    <col min="11789" max="11789" width="11.08984375" style="600" customWidth="1"/>
    <col min="11790" max="11790" width="2.7265625" style="600" customWidth="1"/>
    <col min="11791" max="11791" width="11.26953125" style="600" customWidth="1"/>
    <col min="11792" max="11792" width="2.7265625" style="600" customWidth="1"/>
    <col min="11793" max="11793" width="11.26953125" style="600" customWidth="1"/>
    <col min="11794" max="11794" width="2.7265625" style="600" customWidth="1"/>
    <col min="11795" max="11795" width="19.08984375" style="600" bestFit="1" customWidth="1"/>
    <col min="11796" max="11796" width="1.81640625" style="600" customWidth="1"/>
    <col min="11797" max="11797" width="6.7265625" style="600" customWidth="1"/>
    <col min="11798" max="11798" width="14.7265625" style="600" customWidth="1"/>
    <col min="11799" max="11799" width="9" style="600" bestFit="1" customWidth="1"/>
    <col min="11800" max="12040" width="5" style="600"/>
    <col min="12041" max="12041" width="4.7265625" style="600" customWidth="1"/>
    <col min="12042" max="12042" width="2" style="600" customWidth="1"/>
    <col min="12043" max="12043" width="40.7265625" style="600" customWidth="1"/>
    <col min="12044" max="12044" width="3.54296875" style="600" customWidth="1"/>
    <col min="12045" max="12045" width="11.08984375" style="600" customWidth="1"/>
    <col min="12046" max="12046" width="2.7265625" style="600" customWidth="1"/>
    <col min="12047" max="12047" width="11.26953125" style="600" customWidth="1"/>
    <col min="12048" max="12048" width="2.7265625" style="600" customWidth="1"/>
    <col min="12049" max="12049" width="11.26953125" style="600" customWidth="1"/>
    <col min="12050" max="12050" width="2.7265625" style="600" customWidth="1"/>
    <col min="12051" max="12051" width="19.08984375" style="600" bestFit="1" customWidth="1"/>
    <col min="12052" max="12052" width="1.81640625" style="600" customWidth="1"/>
    <col min="12053" max="12053" width="6.7265625" style="600" customWidth="1"/>
    <col min="12054" max="12054" width="14.7265625" style="600" customWidth="1"/>
    <col min="12055" max="12055" width="9" style="600" bestFit="1" customWidth="1"/>
    <col min="12056" max="12296" width="5" style="600"/>
    <col min="12297" max="12297" width="4.7265625" style="600" customWidth="1"/>
    <col min="12298" max="12298" width="2" style="600" customWidth="1"/>
    <col min="12299" max="12299" width="40.7265625" style="600" customWidth="1"/>
    <col min="12300" max="12300" width="3.54296875" style="600" customWidth="1"/>
    <col min="12301" max="12301" width="11.08984375" style="600" customWidth="1"/>
    <col min="12302" max="12302" width="2.7265625" style="600" customWidth="1"/>
    <col min="12303" max="12303" width="11.26953125" style="600" customWidth="1"/>
    <col min="12304" max="12304" width="2.7265625" style="600" customWidth="1"/>
    <col min="12305" max="12305" width="11.26953125" style="600" customWidth="1"/>
    <col min="12306" max="12306" width="2.7265625" style="600" customWidth="1"/>
    <col min="12307" max="12307" width="19.08984375" style="600" bestFit="1" customWidth="1"/>
    <col min="12308" max="12308" width="1.81640625" style="600" customWidth="1"/>
    <col min="12309" max="12309" width="6.7265625" style="600" customWidth="1"/>
    <col min="12310" max="12310" width="14.7265625" style="600" customWidth="1"/>
    <col min="12311" max="12311" width="9" style="600" bestFit="1" customWidth="1"/>
    <col min="12312" max="12552" width="5" style="600"/>
    <col min="12553" max="12553" width="4.7265625" style="600" customWidth="1"/>
    <col min="12554" max="12554" width="2" style="600" customWidth="1"/>
    <col min="12555" max="12555" width="40.7265625" style="600" customWidth="1"/>
    <col min="12556" max="12556" width="3.54296875" style="600" customWidth="1"/>
    <col min="12557" max="12557" width="11.08984375" style="600" customWidth="1"/>
    <col min="12558" max="12558" width="2.7265625" style="600" customWidth="1"/>
    <col min="12559" max="12559" width="11.26953125" style="600" customWidth="1"/>
    <col min="12560" max="12560" width="2.7265625" style="600" customWidth="1"/>
    <col min="12561" max="12561" width="11.26953125" style="600" customWidth="1"/>
    <col min="12562" max="12562" width="2.7265625" style="600" customWidth="1"/>
    <col min="12563" max="12563" width="19.08984375" style="600" bestFit="1" customWidth="1"/>
    <col min="12564" max="12564" width="1.81640625" style="600" customWidth="1"/>
    <col min="12565" max="12565" width="6.7265625" style="600" customWidth="1"/>
    <col min="12566" max="12566" width="14.7265625" style="600" customWidth="1"/>
    <col min="12567" max="12567" width="9" style="600" bestFit="1" customWidth="1"/>
    <col min="12568" max="12808" width="5" style="600"/>
    <col min="12809" max="12809" width="4.7265625" style="600" customWidth="1"/>
    <col min="12810" max="12810" width="2" style="600" customWidth="1"/>
    <col min="12811" max="12811" width="40.7265625" style="600" customWidth="1"/>
    <col min="12812" max="12812" width="3.54296875" style="600" customWidth="1"/>
    <col min="12813" max="12813" width="11.08984375" style="600" customWidth="1"/>
    <col min="12814" max="12814" width="2.7265625" style="600" customWidth="1"/>
    <col min="12815" max="12815" width="11.26953125" style="600" customWidth="1"/>
    <col min="12816" max="12816" width="2.7265625" style="600" customWidth="1"/>
    <col min="12817" max="12817" width="11.26953125" style="600" customWidth="1"/>
    <col min="12818" max="12818" width="2.7265625" style="600" customWidth="1"/>
    <col min="12819" max="12819" width="19.08984375" style="600" bestFit="1" customWidth="1"/>
    <col min="12820" max="12820" width="1.81640625" style="600" customWidth="1"/>
    <col min="12821" max="12821" width="6.7265625" style="600" customWidth="1"/>
    <col min="12822" max="12822" width="14.7265625" style="600" customWidth="1"/>
    <col min="12823" max="12823" width="9" style="600" bestFit="1" customWidth="1"/>
    <col min="12824" max="13064" width="5" style="600"/>
    <col min="13065" max="13065" width="4.7265625" style="600" customWidth="1"/>
    <col min="13066" max="13066" width="2" style="600" customWidth="1"/>
    <col min="13067" max="13067" width="40.7265625" style="600" customWidth="1"/>
    <col min="13068" max="13068" width="3.54296875" style="600" customWidth="1"/>
    <col min="13069" max="13069" width="11.08984375" style="600" customWidth="1"/>
    <col min="13070" max="13070" width="2.7265625" style="600" customWidth="1"/>
    <col min="13071" max="13071" width="11.26953125" style="600" customWidth="1"/>
    <col min="13072" max="13072" width="2.7265625" style="600" customWidth="1"/>
    <col min="13073" max="13073" width="11.26953125" style="600" customWidth="1"/>
    <col min="13074" max="13074" width="2.7265625" style="600" customWidth="1"/>
    <col min="13075" max="13075" width="19.08984375" style="600" bestFit="1" customWidth="1"/>
    <col min="13076" max="13076" width="1.81640625" style="600" customWidth="1"/>
    <col min="13077" max="13077" width="6.7265625" style="600" customWidth="1"/>
    <col min="13078" max="13078" width="14.7265625" style="600" customWidth="1"/>
    <col min="13079" max="13079" width="9" style="600" bestFit="1" customWidth="1"/>
    <col min="13080" max="13320" width="5" style="600"/>
    <col min="13321" max="13321" width="4.7265625" style="600" customWidth="1"/>
    <col min="13322" max="13322" width="2" style="600" customWidth="1"/>
    <col min="13323" max="13323" width="40.7265625" style="600" customWidth="1"/>
    <col min="13324" max="13324" width="3.54296875" style="600" customWidth="1"/>
    <col min="13325" max="13325" width="11.08984375" style="600" customWidth="1"/>
    <col min="13326" max="13326" width="2.7265625" style="600" customWidth="1"/>
    <col min="13327" max="13327" width="11.26953125" style="600" customWidth="1"/>
    <col min="13328" max="13328" width="2.7265625" style="600" customWidth="1"/>
    <col min="13329" max="13329" width="11.26953125" style="600" customWidth="1"/>
    <col min="13330" max="13330" width="2.7265625" style="600" customWidth="1"/>
    <col min="13331" max="13331" width="19.08984375" style="600" bestFit="1" customWidth="1"/>
    <col min="13332" max="13332" width="1.81640625" style="600" customWidth="1"/>
    <col min="13333" max="13333" width="6.7265625" style="600" customWidth="1"/>
    <col min="13334" max="13334" width="14.7265625" style="600" customWidth="1"/>
    <col min="13335" max="13335" width="9" style="600" bestFit="1" customWidth="1"/>
    <col min="13336" max="13576" width="5" style="600"/>
    <col min="13577" max="13577" width="4.7265625" style="600" customWidth="1"/>
    <col min="13578" max="13578" width="2" style="600" customWidth="1"/>
    <col min="13579" max="13579" width="40.7265625" style="600" customWidth="1"/>
    <col min="13580" max="13580" width="3.54296875" style="600" customWidth="1"/>
    <col min="13581" max="13581" width="11.08984375" style="600" customWidth="1"/>
    <col min="13582" max="13582" width="2.7265625" style="600" customWidth="1"/>
    <col min="13583" max="13583" width="11.26953125" style="600" customWidth="1"/>
    <col min="13584" max="13584" width="2.7265625" style="600" customWidth="1"/>
    <col min="13585" max="13585" width="11.26953125" style="600" customWidth="1"/>
    <col min="13586" max="13586" width="2.7265625" style="600" customWidth="1"/>
    <col min="13587" max="13587" width="19.08984375" style="600" bestFit="1" customWidth="1"/>
    <col min="13588" max="13588" width="1.81640625" style="600" customWidth="1"/>
    <col min="13589" max="13589" width="6.7265625" style="600" customWidth="1"/>
    <col min="13590" max="13590" width="14.7265625" style="600" customWidth="1"/>
    <col min="13591" max="13591" width="9" style="600" bestFit="1" customWidth="1"/>
    <col min="13592" max="13832" width="5" style="600"/>
    <col min="13833" max="13833" width="4.7265625" style="600" customWidth="1"/>
    <col min="13834" max="13834" width="2" style="600" customWidth="1"/>
    <col min="13835" max="13835" width="40.7265625" style="600" customWidth="1"/>
    <col min="13836" max="13836" width="3.54296875" style="600" customWidth="1"/>
    <col min="13837" max="13837" width="11.08984375" style="600" customWidth="1"/>
    <col min="13838" max="13838" width="2.7265625" style="600" customWidth="1"/>
    <col min="13839" max="13839" width="11.26953125" style="600" customWidth="1"/>
    <col min="13840" max="13840" width="2.7265625" style="600" customWidth="1"/>
    <col min="13841" max="13841" width="11.26953125" style="600" customWidth="1"/>
    <col min="13842" max="13842" width="2.7265625" style="600" customWidth="1"/>
    <col min="13843" max="13843" width="19.08984375" style="600" bestFit="1" customWidth="1"/>
    <col min="13844" max="13844" width="1.81640625" style="600" customWidth="1"/>
    <col min="13845" max="13845" width="6.7265625" style="600" customWidth="1"/>
    <col min="13846" max="13846" width="14.7265625" style="600" customWidth="1"/>
    <col min="13847" max="13847" width="9" style="600" bestFit="1" customWidth="1"/>
    <col min="13848" max="14088" width="5" style="600"/>
    <col min="14089" max="14089" width="4.7265625" style="600" customWidth="1"/>
    <col min="14090" max="14090" width="2" style="600" customWidth="1"/>
    <col min="14091" max="14091" width="40.7265625" style="600" customWidth="1"/>
    <col min="14092" max="14092" width="3.54296875" style="600" customWidth="1"/>
    <col min="14093" max="14093" width="11.08984375" style="600" customWidth="1"/>
    <col min="14094" max="14094" width="2.7265625" style="600" customWidth="1"/>
    <col min="14095" max="14095" width="11.26953125" style="600" customWidth="1"/>
    <col min="14096" max="14096" width="2.7265625" style="600" customWidth="1"/>
    <col min="14097" max="14097" width="11.26953125" style="600" customWidth="1"/>
    <col min="14098" max="14098" width="2.7265625" style="600" customWidth="1"/>
    <col min="14099" max="14099" width="19.08984375" style="600" bestFit="1" customWidth="1"/>
    <col min="14100" max="14100" width="1.81640625" style="600" customWidth="1"/>
    <col min="14101" max="14101" width="6.7265625" style="600" customWidth="1"/>
    <col min="14102" max="14102" width="14.7265625" style="600" customWidth="1"/>
    <col min="14103" max="14103" width="9" style="600" bestFit="1" customWidth="1"/>
    <col min="14104" max="14344" width="5" style="600"/>
    <col min="14345" max="14345" width="4.7265625" style="600" customWidth="1"/>
    <col min="14346" max="14346" width="2" style="600" customWidth="1"/>
    <col min="14347" max="14347" width="40.7265625" style="600" customWidth="1"/>
    <col min="14348" max="14348" width="3.54296875" style="600" customWidth="1"/>
    <col min="14349" max="14349" width="11.08984375" style="600" customWidth="1"/>
    <col min="14350" max="14350" width="2.7265625" style="600" customWidth="1"/>
    <col min="14351" max="14351" width="11.26953125" style="600" customWidth="1"/>
    <col min="14352" max="14352" width="2.7265625" style="600" customWidth="1"/>
    <col min="14353" max="14353" width="11.26953125" style="600" customWidth="1"/>
    <col min="14354" max="14354" width="2.7265625" style="600" customWidth="1"/>
    <col min="14355" max="14355" width="19.08984375" style="600" bestFit="1" customWidth="1"/>
    <col min="14356" max="14356" width="1.81640625" style="600" customWidth="1"/>
    <col min="14357" max="14357" width="6.7265625" style="600" customWidth="1"/>
    <col min="14358" max="14358" width="14.7265625" style="600" customWidth="1"/>
    <col min="14359" max="14359" width="9" style="600" bestFit="1" customWidth="1"/>
    <col min="14360" max="14600" width="5" style="600"/>
    <col min="14601" max="14601" width="4.7265625" style="600" customWidth="1"/>
    <col min="14602" max="14602" width="2" style="600" customWidth="1"/>
    <col min="14603" max="14603" width="40.7265625" style="600" customWidth="1"/>
    <col min="14604" max="14604" width="3.54296875" style="600" customWidth="1"/>
    <col min="14605" max="14605" width="11.08984375" style="600" customWidth="1"/>
    <col min="14606" max="14606" width="2.7265625" style="600" customWidth="1"/>
    <col min="14607" max="14607" width="11.26953125" style="600" customWidth="1"/>
    <col min="14608" max="14608" width="2.7265625" style="600" customWidth="1"/>
    <col min="14609" max="14609" width="11.26953125" style="600" customWidth="1"/>
    <col min="14610" max="14610" width="2.7265625" style="600" customWidth="1"/>
    <col min="14611" max="14611" width="19.08984375" style="600" bestFit="1" customWidth="1"/>
    <col min="14612" max="14612" width="1.81640625" style="600" customWidth="1"/>
    <col min="14613" max="14613" width="6.7265625" style="600" customWidth="1"/>
    <col min="14614" max="14614" width="14.7265625" style="600" customWidth="1"/>
    <col min="14615" max="14615" width="9" style="600" bestFit="1" customWidth="1"/>
    <col min="14616" max="14856" width="5" style="600"/>
    <col min="14857" max="14857" width="4.7265625" style="600" customWidth="1"/>
    <col min="14858" max="14858" width="2" style="600" customWidth="1"/>
    <col min="14859" max="14859" width="40.7265625" style="600" customWidth="1"/>
    <col min="14860" max="14860" width="3.54296875" style="600" customWidth="1"/>
    <col min="14861" max="14861" width="11.08984375" style="600" customWidth="1"/>
    <col min="14862" max="14862" width="2.7265625" style="600" customWidth="1"/>
    <col min="14863" max="14863" width="11.26953125" style="600" customWidth="1"/>
    <col min="14864" max="14864" width="2.7265625" style="600" customWidth="1"/>
    <col min="14865" max="14865" width="11.26953125" style="600" customWidth="1"/>
    <col min="14866" max="14866" width="2.7265625" style="600" customWidth="1"/>
    <col min="14867" max="14867" width="19.08984375" style="600" bestFit="1" customWidth="1"/>
    <col min="14868" max="14868" width="1.81640625" style="600" customWidth="1"/>
    <col min="14869" max="14869" width="6.7265625" style="600" customWidth="1"/>
    <col min="14870" max="14870" width="14.7265625" style="600" customWidth="1"/>
    <col min="14871" max="14871" width="9" style="600" bestFit="1" customWidth="1"/>
    <col min="14872" max="15112" width="5" style="600"/>
    <col min="15113" max="15113" width="4.7265625" style="600" customWidth="1"/>
    <col min="15114" max="15114" width="2" style="600" customWidth="1"/>
    <col min="15115" max="15115" width="40.7265625" style="600" customWidth="1"/>
    <col min="15116" max="15116" width="3.54296875" style="600" customWidth="1"/>
    <col min="15117" max="15117" width="11.08984375" style="600" customWidth="1"/>
    <col min="15118" max="15118" width="2.7265625" style="600" customWidth="1"/>
    <col min="15119" max="15119" width="11.26953125" style="600" customWidth="1"/>
    <col min="15120" max="15120" width="2.7265625" style="600" customWidth="1"/>
    <col min="15121" max="15121" width="11.26953125" style="600" customWidth="1"/>
    <col min="15122" max="15122" width="2.7265625" style="600" customWidth="1"/>
    <col min="15123" max="15123" width="19.08984375" style="600" bestFit="1" customWidth="1"/>
    <col min="15124" max="15124" width="1.81640625" style="600" customWidth="1"/>
    <col min="15125" max="15125" width="6.7265625" style="600" customWidth="1"/>
    <col min="15126" max="15126" width="14.7265625" style="600" customWidth="1"/>
    <col min="15127" max="15127" width="9" style="600" bestFit="1" customWidth="1"/>
    <col min="15128" max="15368" width="5" style="600"/>
    <col min="15369" max="15369" width="4.7265625" style="600" customWidth="1"/>
    <col min="15370" max="15370" width="2" style="600" customWidth="1"/>
    <col min="15371" max="15371" width="40.7265625" style="600" customWidth="1"/>
    <col min="15372" max="15372" width="3.54296875" style="600" customWidth="1"/>
    <col min="15373" max="15373" width="11.08984375" style="600" customWidth="1"/>
    <col min="15374" max="15374" width="2.7265625" style="600" customWidth="1"/>
    <col min="15375" max="15375" width="11.26953125" style="600" customWidth="1"/>
    <col min="15376" max="15376" width="2.7265625" style="600" customWidth="1"/>
    <col min="15377" max="15377" width="11.26953125" style="600" customWidth="1"/>
    <col min="15378" max="15378" width="2.7265625" style="600" customWidth="1"/>
    <col min="15379" max="15379" width="19.08984375" style="600" bestFit="1" customWidth="1"/>
    <col min="15380" max="15380" width="1.81640625" style="600" customWidth="1"/>
    <col min="15381" max="15381" width="6.7265625" style="600" customWidth="1"/>
    <col min="15382" max="15382" width="14.7265625" style="600" customWidth="1"/>
    <col min="15383" max="15383" width="9" style="600" bestFit="1" customWidth="1"/>
    <col min="15384" max="15624" width="5" style="600"/>
    <col min="15625" max="15625" width="4.7265625" style="600" customWidth="1"/>
    <col min="15626" max="15626" width="2" style="600" customWidth="1"/>
    <col min="15627" max="15627" width="40.7265625" style="600" customWidth="1"/>
    <col min="15628" max="15628" width="3.54296875" style="600" customWidth="1"/>
    <col min="15629" max="15629" width="11.08984375" style="600" customWidth="1"/>
    <col min="15630" max="15630" width="2.7265625" style="600" customWidth="1"/>
    <col min="15631" max="15631" width="11.26953125" style="600" customWidth="1"/>
    <col min="15632" max="15632" width="2.7265625" style="600" customWidth="1"/>
    <col min="15633" max="15633" width="11.26953125" style="600" customWidth="1"/>
    <col min="15634" max="15634" width="2.7265625" style="600" customWidth="1"/>
    <col min="15635" max="15635" width="19.08984375" style="600" bestFit="1" customWidth="1"/>
    <col min="15636" max="15636" width="1.81640625" style="600" customWidth="1"/>
    <col min="15637" max="15637" width="6.7265625" style="600" customWidth="1"/>
    <col min="15638" max="15638" width="14.7265625" style="600" customWidth="1"/>
    <col min="15639" max="15639" width="9" style="600" bestFit="1" customWidth="1"/>
    <col min="15640" max="15880" width="5" style="600"/>
    <col min="15881" max="15881" width="4.7265625" style="600" customWidth="1"/>
    <col min="15882" max="15882" width="2" style="600" customWidth="1"/>
    <col min="15883" max="15883" width="40.7265625" style="600" customWidth="1"/>
    <col min="15884" max="15884" width="3.54296875" style="600" customWidth="1"/>
    <col min="15885" max="15885" width="11.08984375" style="600" customWidth="1"/>
    <col min="15886" max="15886" width="2.7265625" style="600" customWidth="1"/>
    <col min="15887" max="15887" width="11.26953125" style="600" customWidth="1"/>
    <col min="15888" max="15888" width="2.7265625" style="600" customWidth="1"/>
    <col min="15889" max="15889" width="11.26953125" style="600" customWidth="1"/>
    <col min="15890" max="15890" width="2.7265625" style="600" customWidth="1"/>
    <col min="15891" max="15891" width="19.08984375" style="600" bestFit="1" customWidth="1"/>
    <col min="15892" max="15892" width="1.81640625" style="600" customWidth="1"/>
    <col min="15893" max="15893" width="6.7265625" style="600" customWidth="1"/>
    <col min="15894" max="15894" width="14.7265625" style="600" customWidth="1"/>
    <col min="15895" max="15895" width="9" style="600" bestFit="1" customWidth="1"/>
    <col min="15896" max="16136" width="5" style="600"/>
    <col min="16137" max="16137" width="4.7265625" style="600" customWidth="1"/>
    <col min="16138" max="16138" width="2" style="600" customWidth="1"/>
    <col min="16139" max="16139" width="40.7265625" style="600" customWidth="1"/>
    <col min="16140" max="16140" width="3.54296875" style="600" customWidth="1"/>
    <col min="16141" max="16141" width="11.08984375" style="600" customWidth="1"/>
    <col min="16142" max="16142" width="2.7265625" style="600" customWidth="1"/>
    <col min="16143" max="16143" width="11.26953125" style="600" customWidth="1"/>
    <col min="16144" max="16144" width="2.7265625" style="600" customWidth="1"/>
    <col min="16145" max="16145" width="11.26953125" style="600" customWidth="1"/>
    <col min="16146" max="16146" width="2.7265625" style="600" customWidth="1"/>
    <col min="16147" max="16147" width="19.08984375" style="600" bestFit="1" customWidth="1"/>
    <col min="16148" max="16148" width="1.81640625" style="600" customWidth="1"/>
    <col min="16149" max="16149" width="6.7265625" style="600" customWidth="1"/>
    <col min="16150" max="16150" width="14.7265625" style="600" customWidth="1"/>
    <col min="16151" max="16151" width="9" style="600" bestFit="1" customWidth="1"/>
    <col min="16152" max="16384" width="5" style="600"/>
  </cols>
  <sheetData>
    <row r="1" spans="1:53">
      <c r="AW1" s="600"/>
      <c r="AX1" s="601"/>
      <c r="AY1"/>
      <c r="AZ1" s="856" t="s">
        <v>990</v>
      </c>
    </row>
    <row r="2" spans="1:53">
      <c r="AW2" s="600"/>
      <c r="AX2" s="601"/>
      <c r="AY2"/>
      <c r="AZ2" s="856" t="s">
        <v>144</v>
      </c>
    </row>
    <row r="3" spans="1:53">
      <c r="AW3" s="600"/>
      <c r="AX3" s="601"/>
      <c r="AY3"/>
      <c r="AZ3" s="3" t="str">
        <f>'Attachment 18 - Rev Creds'!I3</f>
        <v>For the 12 months ended 12/31/2023</v>
      </c>
    </row>
    <row r="5" spans="1:53">
      <c r="B5" s="600"/>
      <c r="C5" s="620" t="s">
        <v>627</v>
      </c>
      <c r="E5" s="620" t="str">
        <f>"("&amp;CHAR(CODE(MID(C5,2,1))+1)&amp;")"</f>
        <v>(B)</v>
      </c>
      <c r="G5" s="620" t="str">
        <f>"("&amp;CHAR(CODE(MID(E5,2,1))+1)&amp;")"</f>
        <v>(C)</v>
      </c>
      <c r="I5" s="620" t="str">
        <f>"("&amp;CHAR(CODE(MID(G5,2,1))+1)&amp;")"</f>
        <v>(D)</v>
      </c>
      <c r="K5" s="620" t="str">
        <f>"("&amp;CHAR(CODE(MID(I5,2,1))+1)&amp;")"</f>
        <v>(E)</v>
      </c>
      <c r="M5" s="620" t="str">
        <f>"("&amp;CHAR(CODE(MID(K5,2,1))+1)&amp;")"</f>
        <v>(F)</v>
      </c>
      <c r="O5" s="620" t="str">
        <f>"("&amp;CHAR(CODE(MID(M5,2,1))+1)&amp;")"</f>
        <v>(G)</v>
      </c>
      <c r="Q5" s="620" t="str">
        <f>"("&amp;CHAR(CODE(MID(O5,2,1))+1)&amp;")"</f>
        <v>(H)</v>
      </c>
      <c r="S5" s="620" t="str">
        <f>"("&amp;CHAR(CODE(MID(Q5,2,1))+1)&amp;")"</f>
        <v>(I)</v>
      </c>
      <c r="U5" s="620" t="str">
        <f>"("&amp;CHAR(CODE(MID(S5,2,1))+1)&amp;")"</f>
        <v>(J)</v>
      </c>
      <c r="W5" s="620" t="str">
        <f>"("&amp;CHAR(CODE(MID(U5,2,1))+1)&amp;")"</f>
        <v>(K)</v>
      </c>
      <c r="Y5" s="620" t="str">
        <f>"("&amp;CHAR(CODE(MID(W5,2,1))+1)&amp;")"</f>
        <v>(L)</v>
      </c>
      <c r="AA5" s="620" t="str">
        <f>"("&amp;CHAR(CODE(MID(Y5,2,1))+1)&amp;")"</f>
        <v>(M)</v>
      </c>
      <c r="AC5" s="620" t="str">
        <f>"("&amp;CHAR(CODE(MID(AA5,2,1))+1)&amp;")"</f>
        <v>(N)</v>
      </c>
      <c r="AE5" s="620" t="str">
        <f>"("&amp;CHAR(CODE(MID(AC5,2,1))+1)&amp;")"</f>
        <v>(O)</v>
      </c>
      <c r="AG5" s="620" t="str">
        <f>"("&amp;CHAR(CODE(MID(AE5,2,1))+1)&amp;")"</f>
        <v>(P)</v>
      </c>
      <c r="AI5" s="620" t="str">
        <f>"("&amp;CHAR(CODE(MID(AG5,2,1))+1)&amp;")"</f>
        <v>(Q)</v>
      </c>
      <c r="AK5" s="620" t="str">
        <f>"("&amp;CHAR(CODE(MID(AI5,2,1))+1)&amp;")"</f>
        <v>(R)</v>
      </c>
      <c r="AM5" s="620" t="str">
        <f>"("&amp;CHAR(CODE(MID(AK5,2,1))+1)&amp;")"</f>
        <v>(S)</v>
      </c>
      <c r="AO5" s="620" t="str">
        <f>"("&amp;CHAR(CODE(MID(AM5,2,1))+1)&amp;")"</f>
        <v>(T)</v>
      </c>
      <c r="AQ5" s="620" t="str">
        <f>"("&amp;CHAR(CODE(MID(AO5,2,1))+1)&amp;")"</f>
        <v>(U)</v>
      </c>
      <c r="AR5" s="600"/>
      <c r="AS5" s="620" t="str">
        <f>"("&amp;CHAR(CODE(MID(AQ5,2,1))+1)&amp;")"</f>
        <v>(V)</v>
      </c>
      <c r="AU5" s="620" t="str">
        <f>"("&amp;CHAR(CODE(MID(AS5,2,1))+1)&amp;")"</f>
        <v>(W)</v>
      </c>
      <c r="AW5" s="620" t="str">
        <f>"("&amp;CHAR(CODE(MID(AU5,2,1))+1)&amp;")"</f>
        <v>(X)</v>
      </c>
      <c r="AY5" s="620" t="str">
        <f>"("&amp;CHAR(CODE(MID(AW5,2,1))+1)&amp;")"</f>
        <v>(Y)</v>
      </c>
      <c r="BA5" s="666" t="str">
        <f>"("&amp;CHAR(CODE(MID(AY5,2,1))+1)&amp;")"</f>
        <v>(Z)</v>
      </c>
    </row>
    <row r="6" spans="1:53">
      <c r="B6" s="600"/>
      <c r="E6" s="620"/>
      <c r="G6" s="620"/>
      <c r="I6" s="620"/>
      <c r="K6" s="620"/>
      <c r="M6" s="620"/>
      <c r="O6" s="620"/>
      <c r="Q6" s="620"/>
      <c r="S6" s="620"/>
      <c r="U6" s="620"/>
      <c r="W6" s="620"/>
      <c r="Y6" s="620"/>
      <c r="AA6" s="620"/>
      <c r="AC6" s="620"/>
      <c r="AE6" s="620"/>
      <c r="AG6" s="620"/>
      <c r="AI6" s="620"/>
      <c r="AJ6" s="601"/>
      <c r="AK6" s="620"/>
      <c r="AL6" s="601"/>
      <c r="AN6" s="601"/>
      <c r="AP6" s="601"/>
      <c r="AT6" s="601"/>
      <c r="AV6" s="601"/>
      <c r="AX6" s="601"/>
      <c r="AZ6" s="601"/>
    </row>
    <row r="7" spans="1:53">
      <c r="B7" s="600"/>
      <c r="E7" s="600"/>
      <c r="G7" s="601"/>
      <c r="I7" s="600"/>
      <c r="K7" s="600"/>
      <c r="M7" s="600"/>
      <c r="O7" s="600"/>
      <c r="Q7" s="619">
        <f>'Attachment 4 - Accum Depr'!C8</f>
        <v>2022</v>
      </c>
      <c r="S7" s="619">
        <f>$Q$7+1</f>
        <v>2023</v>
      </c>
      <c r="U7" s="619">
        <f>$Q$7+1</f>
        <v>2023</v>
      </c>
      <c r="W7" s="619">
        <f>$Q$7+1</f>
        <v>2023</v>
      </c>
      <c r="Y7" s="619">
        <f>$Q$7+1</f>
        <v>2023</v>
      </c>
      <c r="AA7" s="619">
        <f>$Q$7+1</f>
        <v>2023</v>
      </c>
      <c r="AC7" s="619">
        <f>$Q$7+1</f>
        <v>2023</v>
      </c>
      <c r="AE7" s="619">
        <f>$Q$7+1</f>
        <v>2023</v>
      </c>
      <c r="AG7" s="619">
        <f>$Q$7+1</f>
        <v>2023</v>
      </c>
      <c r="AI7" s="619">
        <f>$Q$7+1</f>
        <v>2023</v>
      </c>
      <c r="AK7" s="619">
        <f>$Q$7+1</f>
        <v>2023</v>
      </c>
      <c r="AM7" s="619">
        <f>$Q$7+1</f>
        <v>2023</v>
      </c>
      <c r="AO7" s="619">
        <f>$Q$7+1</f>
        <v>2023</v>
      </c>
      <c r="AP7" s="601"/>
      <c r="AT7" s="601"/>
      <c r="AV7" s="601"/>
      <c r="AX7" s="601"/>
      <c r="AZ7" s="601"/>
    </row>
    <row r="8" spans="1:53" s="611" customFormat="1" ht="46.8">
      <c r="A8" s="618" t="s">
        <v>630</v>
      </c>
      <c r="B8" s="626"/>
      <c r="C8" s="740" t="s">
        <v>626</v>
      </c>
      <c r="D8" s="626"/>
      <c r="E8" s="627" t="s">
        <v>8</v>
      </c>
      <c r="F8" s="626"/>
      <c r="G8" s="627" t="s">
        <v>637</v>
      </c>
      <c r="H8" s="626"/>
      <c r="I8" s="627" t="s">
        <v>632</v>
      </c>
      <c r="J8" s="626"/>
      <c r="K8" s="627" t="s">
        <v>633</v>
      </c>
      <c r="L8" s="626"/>
      <c r="M8" s="627" t="s">
        <v>217</v>
      </c>
      <c r="N8" s="626"/>
      <c r="O8" s="627" t="s">
        <v>634</v>
      </c>
      <c r="P8" s="626"/>
      <c r="Q8" s="615" t="s">
        <v>188</v>
      </c>
      <c r="R8" s="626"/>
      <c r="S8" s="615" t="s">
        <v>623</v>
      </c>
      <c r="T8" s="626"/>
      <c r="U8" s="615" t="s">
        <v>622</v>
      </c>
      <c r="V8" s="626"/>
      <c r="W8" s="615" t="s">
        <v>621</v>
      </c>
      <c r="X8" s="626"/>
      <c r="Y8" s="615" t="s">
        <v>620</v>
      </c>
      <c r="Z8" s="626"/>
      <c r="AA8" s="615" t="s">
        <v>619</v>
      </c>
      <c r="AB8" s="626"/>
      <c r="AC8" s="615" t="s">
        <v>618</v>
      </c>
      <c r="AD8" s="626"/>
      <c r="AE8" s="615" t="s">
        <v>617</v>
      </c>
      <c r="AF8" s="626"/>
      <c r="AG8" s="615" t="s">
        <v>616</v>
      </c>
      <c r="AH8" s="626"/>
      <c r="AI8" s="615" t="s">
        <v>615</v>
      </c>
      <c r="AJ8" s="626"/>
      <c r="AK8" s="615" t="s">
        <v>614</v>
      </c>
      <c r="AL8" s="626"/>
      <c r="AM8" s="615" t="s">
        <v>613</v>
      </c>
      <c r="AN8" s="626"/>
      <c r="AO8" s="615" t="s">
        <v>188</v>
      </c>
      <c r="AP8" s="625"/>
      <c r="AQ8" s="615" t="s">
        <v>629</v>
      </c>
      <c r="AR8" s="625"/>
      <c r="AS8" s="634" t="s">
        <v>10</v>
      </c>
      <c r="AT8" s="608"/>
      <c r="AU8" s="615" t="s">
        <v>636</v>
      </c>
      <c r="AV8" s="608"/>
      <c r="AW8" s="615" t="s">
        <v>635</v>
      </c>
      <c r="AX8" s="608"/>
      <c r="AY8" s="888" t="s">
        <v>816</v>
      </c>
      <c r="AZ8" s="608"/>
      <c r="BA8" s="619" t="s">
        <v>624</v>
      </c>
    </row>
    <row r="9" spans="1:53">
      <c r="A9" s="611"/>
      <c r="B9" s="609"/>
      <c r="C9" s="610"/>
      <c r="D9" s="609"/>
      <c r="E9" s="609"/>
      <c r="F9" s="609"/>
      <c r="G9" s="629"/>
      <c r="H9" s="609"/>
      <c r="I9" s="609"/>
      <c r="J9" s="609"/>
      <c r="K9" s="609"/>
      <c r="L9" s="609"/>
      <c r="M9" s="609"/>
      <c r="N9" s="609"/>
      <c r="O9" s="609"/>
      <c r="P9" s="609"/>
      <c r="Q9" s="608"/>
      <c r="R9" s="609"/>
      <c r="S9" s="608"/>
      <c r="T9" s="609"/>
      <c r="U9" s="608"/>
      <c r="V9" s="609"/>
      <c r="W9" s="608"/>
      <c r="X9" s="609"/>
      <c r="Y9" s="608"/>
      <c r="Z9" s="609"/>
      <c r="AA9" s="608"/>
      <c r="AB9" s="609"/>
      <c r="AC9" s="608"/>
      <c r="AD9" s="609"/>
      <c r="AE9" s="608"/>
      <c r="AF9" s="609"/>
      <c r="AG9" s="608"/>
      <c r="AH9" s="609"/>
      <c r="AI9" s="608"/>
      <c r="AJ9" s="609"/>
      <c r="AK9" s="608"/>
      <c r="AL9" s="609"/>
      <c r="AM9" s="608"/>
      <c r="AN9" s="609"/>
      <c r="AO9" s="608"/>
      <c r="AP9" s="607"/>
      <c r="AQ9" s="608"/>
      <c r="AR9" s="607"/>
      <c r="AS9" s="635"/>
      <c r="AT9" s="613"/>
      <c r="AU9" s="608"/>
      <c r="AV9" s="613"/>
      <c r="AW9" s="608"/>
      <c r="AX9" s="613"/>
      <c r="AY9" s="608"/>
      <c r="AZ9" s="613"/>
      <c r="BA9" s="667"/>
    </row>
    <row r="10" spans="1:53">
      <c r="A10" s="611">
        <v>1</v>
      </c>
      <c r="B10" s="609"/>
      <c r="C10" s="754" t="s">
        <v>978</v>
      </c>
      <c r="D10" s="609"/>
      <c r="E10" s="609"/>
      <c r="F10" s="609"/>
      <c r="G10" s="629"/>
      <c r="H10" s="609"/>
      <c r="I10" s="609"/>
      <c r="J10" s="609"/>
      <c r="K10" s="609"/>
      <c r="L10" s="609"/>
      <c r="M10" s="609"/>
      <c r="N10" s="609"/>
      <c r="O10" s="609"/>
      <c r="P10" s="609"/>
      <c r="Q10" s="608"/>
      <c r="R10" s="609"/>
      <c r="S10" s="608"/>
      <c r="T10" s="609"/>
      <c r="U10" s="608"/>
      <c r="V10" s="609"/>
      <c r="W10" s="608"/>
      <c r="X10" s="609"/>
      <c r="Y10" s="608"/>
      <c r="Z10" s="609"/>
      <c r="AA10" s="608"/>
      <c r="AB10" s="609"/>
      <c r="AC10" s="608"/>
      <c r="AD10" s="609"/>
      <c r="AE10" s="608"/>
      <c r="AF10" s="609"/>
      <c r="AG10" s="608"/>
      <c r="AH10" s="609"/>
      <c r="AI10" s="608"/>
      <c r="AJ10" s="609"/>
      <c r="AK10" s="608"/>
      <c r="AL10" s="609"/>
      <c r="AM10" s="608"/>
      <c r="AN10" s="609"/>
      <c r="AO10" s="608"/>
      <c r="AP10" s="607"/>
      <c r="AQ10" s="608"/>
      <c r="AR10" s="607"/>
      <c r="AS10" s="635"/>
      <c r="AT10" s="608"/>
      <c r="AU10" s="608"/>
      <c r="AV10" s="608"/>
      <c r="AW10" s="608"/>
      <c r="AX10" s="608"/>
      <c r="AY10" s="608"/>
      <c r="AZ10" s="608"/>
      <c r="BA10" s="667"/>
    </row>
    <row r="11" spans="1:53">
      <c r="C11" s="601"/>
      <c r="D11" s="601"/>
      <c r="E11" s="601"/>
      <c r="F11" s="601"/>
      <c r="G11" s="628"/>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N11" s="601"/>
      <c r="AP11" s="601"/>
      <c r="AT11" s="601"/>
      <c r="AV11" s="601"/>
      <c r="AX11" s="601"/>
      <c r="AY11" s="633"/>
      <c r="AZ11" s="601"/>
    </row>
    <row r="12" spans="1:53">
      <c r="A12" s="736">
        <f>A10+0.01</f>
        <v>1.01</v>
      </c>
      <c r="B12" s="600"/>
      <c r="C12" s="655" t="s">
        <v>1021</v>
      </c>
      <c r="E12" s="659">
        <v>0</v>
      </c>
      <c r="G12" s="659"/>
      <c r="I12" s="665"/>
      <c r="K12" s="665"/>
      <c r="M12" s="624" t="str">
        <f>IF(ISBLANK(I12)=TRUE,"",DATEDIF(I12,K12,"m")+1)</f>
        <v/>
      </c>
      <c r="O12" s="624">
        <f>IFERROR(E12/M12,0)</f>
        <v>0</v>
      </c>
      <c r="Q12" s="602">
        <f>E12-((DATEDIF(I12,DATE($Q$7,12,31),"M")+1)*O12)</f>
        <v>0</v>
      </c>
      <c r="S12" s="602">
        <f>IF(Q12-$O$12&gt;=0,Q12-$O$12,0)</f>
        <v>0</v>
      </c>
      <c r="U12" s="602">
        <f>IF(S12-$O$12&gt;=0,S12-$O$12,0)</f>
        <v>0</v>
      </c>
      <c r="W12" s="602">
        <f>IF(U12-$O$12&gt;=0,U12-$O$12,0)</f>
        <v>0</v>
      </c>
      <c r="Y12" s="602">
        <f>IF(W12-$O$12&gt;=0,W12-$O$12,0)</f>
        <v>0</v>
      </c>
      <c r="AA12" s="602">
        <f>IF(Y12-$O$12&gt;=0,Y12-$O$12,0)</f>
        <v>0</v>
      </c>
      <c r="AC12" s="602">
        <f>IF(AA12-$O$12&gt;=0,AA12-$O$12,0)</f>
        <v>0</v>
      </c>
      <c r="AE12" s="602">
        <f>IF(AC12-$O$12&gt;=0,AC12-$O$12,0)</f>
        <v>0</v>
      </c>
      <c r="AG12" s="602">
        <f>IF(AE12-$O$12&gt;=0,AE12-$O$12,0)</f>
        <v>0</v>
      </c>
      <c r="AI12" s="602">
        <f>IF(AG12-$O$12&gt;=0,AG12-$O$12,0)</f>
        <v>0</v>
      </c>
      <c r="AK12" s="602">
        <f>IF(AI12-$O$12&gt;=0,AI12-$O$12,0)</f>
        <v>0</v>
      </c>
      <c r="AM12" s="602">
        <f>IF(AK12-$O$12&gt;=0,AK12-$O$12,0)</f>
        <v>0</v>
      </c>
      <c r="AO12" s="602">
        <f>IF(AM12-$O$12&gt;=0,AM12-$O$12,0)</f>
        <v>0</v>
      </c>
      <c r="AQ12" s="602">
        <f>SUM(Q12:AO12)/13</f>
        <v>0</v>
      </c>
      <c r="AR12" s="600"/>
      <c r="AS12" s="660">
        <v>0</v>
      </c>
      <c r="AU12" s="602">
        <f>AQ12*AS12</f>
        <v>0</v>
      </c>
      <c r="AW12" s="602">
        <f>Q12-AO12</f>
        <v>0</v>
      </c>
      <c r="AY12" s="602">
        <f>AS12*AW12</f>
        <v>0</v>
      </c>
      <c r="BA12" s="668"/>
    </row>
    <row r="13" spans="1:53">
      <c r="A13" s="735">
        <f>A12+0.01</f>
        <v>1.02</v>
      </c>
      <c r="B13" s="600"/>
      <c r="C13" s="655" t="s">
        <v>1022</v>
      </c>
      <c r="E13" s="659"/>
      <c r="G13" s="659"/>
      <c r="I13" s="665"/>
      <c r="K13" s="665"/>
      <c r="M13" s="624" t="str">
        <f>IF(ISBLANK(I13)=TRUE,"",DATEDIF(I13,K13,"m")+1)</f>
        <v/>
      </c>
      <c r="O13" s="624">
        <f>IFERROR(E13/M13,0)</f>
        <v>0</v>
      </c>
      <c r="Q13" s="602">
        <f>E13-((DATEDIF(I13,DATE($Q$7,12,31),"M")+1)*O13)</f>
        <v>0</v>
      </c>
      <c r="S13" s="602">
        <f>IF(Q13-$O$13&gt;=0,Q13-$O$13,0)</f>
        <v>0</v>
      </c>
      <c r="U13" s="602">
        <f>IF(S13-$O$13&gt;=0,S13-$O$13,0)</f>
        <v>0</v>
      </c>
      <c r="W13" s="602">
        <f>IF(U13-$O$13&gt;=0,U13-$O$13,0)</f>
        <v>0</v>
      </c>
      <c r="X13" s="600">
        <f t="shared" ref="X13:AN13" si="0">IF(V13-$O$13&gt;=0,V13-$O$13,0)</f>
        <v>0</v>
      </c>
      <c r="Y13" s="602">
        <f>IF(W13-$O$13&gt;=0,W13-$O$13,0)</f>
        <v>0</v>
      </c>
      <c r="Z13" s="600">
        <f t="shared" si="0"/>
        <v>0</v>
      </c>
      <c r="AA13" s="602">
        <f>IF(Y13-$O$13&gt;=0,Y13-$O$13,0)</f>
        <v>0</v>
      </c>
      <c r="AB13" s="600">
        <f t="shared" si="0"/>
        <v>0</v>
      </c>
      <c r="AC13" s="602">
        <f>IF(AA13-$O$13&gt;=0,AA13-$O$13,0)</f>
        <v>0</v>
      </c>
      <c r="AD13" s="600">
        <f t="shared" si="0"/>
        <v>0</v>
      </c>
      <c r="AE13" s="602">
        <f t="shared" si="0"/>
        <v>0</v>
      </c>
      <c r="AF13" s="600">
        <f t="shared" si="0"/>
        <v>0</v>
      </c>
      <c r="AG13" s="602">
        <f t="shared" si="0"/>
        <v>0</v>
      </c>
      <c r="AH13" s="600">
        <f t="shared" si="0"/>
        <v>0</v>
      </c>
      <c r="AI13" s="602">
        <f t="shared" si="0"/>
        <v>0</v>
      </c>
      <c r="AJ13" s="600">
        <f t="shared" si="0"/>
        <v>0</v>
      </c>
      <c r="AK13" s="602">
        <f t="shared" si="0"/>
        <v>0</v>
      </c>
      <c r="AL13" s="600">
        <f t="shared" si="0"/>
        <v>0</v>
      </c>
      <c r="AM13" s="602">
        <f t="shared" si="0"/>
        <v>0</v>
      </c>
      <c r="AN13" s="600">
        <f t="shared" si="0"/>
        <v>0</v>
      </c>
      <c r="AO13" s="602">
        <f>IF(AM13-$O$13&gt;=0,AM13-$O$13,0)</f>
        <v>0</v>
      </c>
      <c r="AQ13" s="602">
        <f>SUM(Q13:AO13)/13</f>
        <v>0</v>
      </c>
      <c r="AR13" s="600"/>
      <c r="AS13" s="660"/>
      <c r="AU13" s="602">
        <f>AQ13*AS13</f>
        <v>0</v>
      </c>
      <c r="AW13" s="602">
        <f>Q13-AO13</f>
        <v>0</v>
      </c>
      <c r="AY13" s="602">
        <f>AS13*AW13</f>
        <v>0</v>
      </c>
      <c r="BA13" s="668"/>
    </row>
    <row r="14" spans="1:53">
      <c r="A14" s="735" t="s">
        <v>1052</v>
      </c>
      <c r="B14" s="600"/>
      <c r="C14" s="655"/>
      <c r="E14" s="659"/>
      <c r="G14" s="659"/>
      <c r="I14" s="665"/>
      <c r="K14" s="665"/>
      <c r="M14" s="624"/>
      <c r="O14" s="624"/>
      <c r="AM14" s="602"/>
      <c r="AO14" s="602"/>
      <c r="AQ14" s="602"/>
      <c r="AR14" s="600"/>
      <c r="AS14" s="660"/>
      <c r="AU14" s="602"/>
      <c r="AW14" s="602"/>
      <c r="AY14" s="602"/>
      <c r="BA14" s="668"/>
    </row>
    <row r="15" spans="1:53">
      <c r="A15" s="601">
        <f>A10+1</f>
        <v>2</v>
      </c>
      <c r="B15" s="600"/>
      <c r="C15" s="600" t="str">
        <f ca="1">"Sum of Lines "&amp;A12&amp;" through "&amp;OFFSET(A15,-1,0)</f>
        <v>Sum of Lines 1.01 through 1.XX</v>
      </c>
      <c r="E15" s="604">
        <f>SUM(E12:E13)</f>
        <v>0</v>
      </c>
      <c r="G15" s="628"/>
      <c r="I15" s="600"/>
      <c r="K15" s="600"/>
      <c r="M15" s="600"/>
      <c r="O15" s="604">
        <f>SUM(O12:O13)</f>
        <v>0</v>
      </c>
      <c r="Q15" s="605">
        <f>SUM(Q12:Q13)</f>
        <v>0</v>
      </c>
      <c r="S15" s="605">
        <f>SUM(S12:S13)</f>
        <v>0</v>
      </c>
      <c r="U15" s="605">
        <f>SUM(U12:U13)</f>
        <v>0</v>
      </c>
      <c r="W15" s="605">
        <f>SUM(W12:W13)</f>
        <v>0</v>
      </c>
      <c r="Y15" s="605">
        <f>SUM(Y12:Y13)</f>
        <v>0</v>
      </c>
      <c r="AA15" s="605">
        <f>SUM(AA12:AA13)</f>
        <v>0</v>
      </c>
      <c r="AC15" s="605">
        <f>SUM(AC12:AC13)</f>
        <v>0</v>
      </c>
      <c r="AE15" s="605">
        <f>SUM(AE12:AE13)</f>
        <v>0</v>
      </c>
      <c r="AG15" s="605">
        <f>SUM(AG12:AG13)</f>
        <v>0</v>
      </c>
      <c r="AI15" s="605">
        <f>SUM(AI12:AI13)</f>
        <v>0</v>
      </c>
      <c r="AK15" s="605">
        <f>SUM(AK12:AK13)</f>
        <v>0</v>
      </c>
      <c r="AM15" s="605">
        <f>SUM(AM12:AM13)</f>
        <v>0</v>
      </c>
      <c r="AO15" s="605">
        <f>SUM(AO12:AO13)</f>
        <v>0</v>
      </c>
      <c r="AQ15" s="605">
        <f>SUM(AQ12:AQ13)</f>
        <v>0</v>
      </c>
      <c r="AR15" s="600"/>
      <c r="AU15" s="605">
        <f>SUM(AU12:AU13)</f>
        <v>0</v>
      </c>
      <c r="AW15" s="605">
        <f>SUM(AW12:AW13)</f>
        <v>0</v>
      </c>
      <c r="AY15" s="605">
        <f>SUM(AY12:AY13)</f>
        <v>0</v>
      </c>
    </row>
    <row r="16" spans="1:53">
      <c r="A16" s="601">
        <f>A15+1</f>
        <v>3</v>
      </c>
      <c r="B16" s="600"/>
      <c r="C16" s="600" t="s">
        <v>777</v>
      </c>
      <c r="E16" s="600"/>
      <c r="G16" s="628"/>
      <c r="I16" s="600"/>
      <c r="K16" s="600"/>
      <c r="M16" s="600"/>
      <c r="O16" s="621"/>
      <c r="Q16" s="656"/>
      <c r="AM16" s="621"/>
      <c r="AO16" s="656"/>
      <c r="AQ16" s="602"/>
      <c r="AR16" s="600"/>
      <c r="AU16" s="602"/>
      <c r="AW16" s="602"/>
      <c r="AY16" s="602"/>
    </row>
    <row r="19" spans="1:53">
      <c r="A19" s="611">
        <f>A16+1</f>
        <v>4</v>
      </c>
      <c r="B19" s="609"/>
      <c r="C19" s="610" t="s">
        <v>979</v>
      </c>
      <c r="D19" s="609"/>
      <c r="E19" s="609"/>
      <c r="F19" s="609"/>
      <c r="G19" s="664"/>
      <c r="H19" s="609"/>
      <c r="I19" s="664"/>
      <c r="J19" s="609"/>
      <c r="K19" s="609"/>
      <c r="L19" s="609"/>
      <c r="M19" s="609"/>
      <c r="N19" s="609"/>
      <c r="O19" s="608"/>
      <c r="P19" s="609"/>
      <c r="Q19" s="608"/>
      <c r="R19" s="609"/>
      <c r="S19" s="608"/>
      <c r="T19" s="609"/>
      <c r="U19" s="608"/>
      <c r="V19" s="609"/>
      <c r="W19" s="608"/>
      <c r="X19" s="609"/>
      <c r="Y19" s="608"/>
      <c r="Z19" s="609"/>
      <c r="AA19" s="608"/>
      <c r="AB19" s="609"/>
      <c r="AC19" s="608"/>
      <c r="AD19" s="609"/>
      <c r="AE19" s="608"/>
      <c r="AF19" s="609"/>
      <c r="AG19" s="608"/>
      <c r="AH19" s="609"/>
      <c r="AI19" s="608"/>
      <c r="AJ19" s="609"/>
      <c r="AK19" s="608"/>
      <c r="AL19" s="609"/>
      <c r="AM19" s="608"/>
      <c r="AN19" s="607"/>
      <c r="AO19" s="608"/>
      <c r="AP19" s="607"/>
      <c r="AQ19" s="635"/>
      <c r="AR19" s="608"/>
      <c r="AS19" s="608"/>
      <c r="AT19" s="608"/>
      <c r="AU19" s="608"/>
      <c r="AV19" s="608"/>
      <c r="AW19" s="608"/>
      <c r="AX19" s="608"/>
      <c r="AY19" s="667"/>
      <c r="BA19" s="600"/>
    </row>
    <row r="20" spans="1:53">
      <c r="C20" s="601"/>
      <c r="D20" s="601"/>
      <c r="E20" s="601"/>
      <c r="F20" s="601"/>
      <c r="G20" s="663"/>
      <c r="H20" s="601"/>
      <c r="I20" s="663"/>
      <c r="J20" s="601"/>
      <c r="K20" s="601"/>
      <c r="L20" s="601"/>
      <c r="M20" s="601"/>
      <c r="N20" s="601"/>
      <c r="O20" s="601"/>
      <c r="P20" s="601"/>
      <c r="Q20" s="601"/>
      <c r="R20" s="601"/>
      <c r="S20" s="601"/>
      <c r="T20" s="601"/>
      <c r="U20" s="601"/>
      <c r="V20" s="601"/>
      <c r="W20" s="601"/>
      <c r="X20" s="601"/>
      <c r="Y20" s="601"/>
      <c r="Z20" s="601"/>
      <c r="AA20" s="601"/>
      <c r="AB20" s="601"/>
      <c r="AC20" s="601"/>
      <c r="AD20" s="601"/>
      <c r="AE20" s="601"/>
      <c r="AF20" s="601"/>
      <c r="AG20" s="601"/>
      <c r="AH20" s="601"/>
      <c r="AI20" s="601"/>
      <c r="AJ20" s="601"/>
      <c r="AK20" s="601"/>
      <c r="AL20" s="601"/>
      <c r="AN20" s="601"/>
      <c r="AP20" s="601"/>
      <c r="AQ20" s="632"/>
      <c r="AS20" s="601"/>
      <c r="AT20" s="601"/>
      <c r="AV20" s="601"/>
      <c r="AW20" s="633"/>
      <c r="AX20" s="601"/>
      <c r="BA20" s="600"/>
    </row>
    <row r="21" spans="1:53">
      <c r="A21" s="736">
        <f>A19+0.01</f>
        <v>4.01</v>
      </c>
      <c r="B21" s="600"/>
      <c r="C21" s="655" t="s">
        <v>772</v>
      </c>
      <c r="E21" s="659"/>
      <c r="G21" s="665"/>
      <c r="I21" s="665"/>
      <c r="K21" s="665"/>
      <c r="M21" s="624" t="str">
        <f>IF(ISBLANK(I21)=TRUE,"",DATEDIF(I21,K21,"m")+1)</f>
        <v/>
      </c>
      <c r="O21" s="624">
        <f>IFERROR(E21/M21,0)</f>
        <v>0</v>
      </c>
      <c r="Q21" s="737">
        <f>E21-((DATEDIF(I21,DATE($Q$7,12,31),"M")+1)*O21)</f>
        <v>0</v>
      </c>
      <c r="S21" s="653">
        <f>IF(Q21-$O$21&gt;=0,Q21-$O$21,0)</f>
        <v>0</v>
      </c>
      <c r="U21" s="653">
        <f>IF(S21-$O$21&gt;=0,S21-$O$21,0)</f>
        <v>0</v>
      </c>
      <c r="V21" s="600">
        <f t="shared" ref="V21:AO21" si="1">IF(T21-$O$21&gt;=0,T21-$O$21,0)</f>
        <v>0</v>
      </c>
      <c r="W21" s="653">
        <f>IF(U21-$O$21&gt;=0,U21-$O$21,0)</f>
        <v>0</v>
      </c>
      <c r="X21" s="600">
        <f t="shared" si="1"/>
        <v>0</v>
      </c>
      <c r="Y21" s="653">
        <f>IF(W21-$O$21&gt;=0,W21-$O$21,0)</f>
        <v>0</v>
      </c>
      <c r="Z21" s="600">
        <f t="shared" si="1"/>
        <v>0</v>
      </c>
      <c r="AA21" s="653">
        <f t="shared" si="1"/>
        <v>0</v>
      </c>
      <c r="AB21" s="600">
        <f t="shared" si="1"/>
        <v>0</v>
      </c>
      <c r="AC21" s="653">
        <f t="shared" si="1"/>
        <v>0</v>
      </c>
      <c r="AD21" s="600">
        <f t="shared" si="1"/>
        <v>0</v>
      </c>
      <c r="AE21" s="653">
        <f t="shared" si="1"/>
        <v>0</v>
      </c>
      <c r="AF21" s="600">
        <f t="shared" si="1"/>
        <v>0</v>
      </c>
      <c r="AG21" s="653">
        <f t="shared" si="1"/>
        <v>0</v>
      </c>
      <c r="AH21" s="600">
        <f t="shared" si="1"/>
        <v>0</v>
      </c>
      <c r="AI21" s="653">
        <f t="shared" si="1"/>
        <v>0</v>
      </c>
      <c r="AJ21" s="600">
        <f t="shared" si="1"/>
        <v>0</v>
      </c>
      <c r="AK21" s="653">
        <f t="shared" si="1"/>
        <v>0</v>
      </c>
      <c r="AL21" s="600">
        <f t="shared" si="1"/>
        <v>0</v>
      </c>
      <c r="AM21" s="653">
        <f t="shared" si="1"/>
        <v>0</v>
      </c>
      <c r="AN21" s="600">
        <f t="shared" si="1"/>
        <v>0</v>
      </c>
      <c r="AO21" s="653">
        <f t="shared" si="1"/>
        <v>0</v>
      </c>
      <c r="AQ21" s="602">
        <f>SUM(Q21:AO21)/13</f>
        <v>0</v>
      </c>
      <c r="AR21" s="600"/>
      <c r="AS21" s="660"/>
      <c r="AU21" s="737">
        <f>AQ21*AS21</f>
        <v>0</v>
      </c>
      <c r="AW21" s="737">
        <f>Q21-AO21</f>
        <v>0</v>
      </c>
      <c r="AY21" s="737">
        <f>AS21*AW21</f>
        <v>0</v>
      </c>
      <c r="BA21" s="668"/>
    </row>
    <row r="22" spans="1:53">
      <c r="A22" s="735">
        <f>A21+0.01</f>
        <v>4.0199999999999996</v>
      </c>
      <c r="B22" s="600"/>
      <c r="C22" s="655" t="s">
        <v>687</v>
      </c>
      <c r="E22" s="659"/>
      <c r="G22" s="665"/>
      <c r="I22" s="665"/>
      <c r="K22" s="665"/>
      <c r="M22" s="624" t="str">
        <f>IF(ISBLANK(I22)=TRUE,"",DATEDIF(I22,K22,"m")+1)</f>
        <v/>
      </c>
      <c r="O22" s="624">
        <f>IFERROR(E22/M22,0)</f>
        <v>0</v>
      </c>
      <c r="Q22" s="737">
        <f>E22-((DATEDIF(I22,DATE($Q$7,12,31),"M")+1)*O22)</f>
        <v>0</v>
      </c>
      <c r="S22" s="653">
        <f>IF(Q22-$O$22&gt;=0,Q22-$O$22,0)</f>
        <v>0</v>
      </c>
      <c r="U22" s="653">
        <f>IF(S22-$O$22&gt;=0,S22-$O$22,0)</f>
        <v>0</v>
      </c>
      <c r="V22" s="600">
        <f t="shared" ref="V22:AN22" si="2">IF(T22-$O$22&gt;=0,T22-$O$22,0)</f>
        <v>0</v>
      </c>
      <c r="W22" s="653">
        <f>IF(U22-$O$22&gt;=0,U22-$O$22,0)</f>
        <v>0</v>
      </c>
      <c r="X22" s="600">
        <f t="shared" si="2"/>
        <v>0</v>
      </c>
      <c r="Y22" s="653">
        <f t="shared" si="2"/>
        <v>0</v>
      </c>
      <c r="Z22" s="600">
        <f t="shared" si="2"/>
        <v>0</v>
      </c>
      <c r="AA22" s="653">
        <f>IF(Y22-$O$22&gt;=0,Y22-$O$22,0)</f>
        <v>0</v>
      </c>
      <c r="AB22" s="600">
        <f t="shared" si="2"/>
        <v>0</v>
      </c>
      <c r="AC22" s="653">
        <f t="shared" si="2"/>
        <v>0</v>
      </c>
      <c r="AD22" s="600">
        <f t="shared" si="2"/>
        <v>0</v>
      </c>
      <c r="AE22" s="653">
        <f t="shared" si="2"/>
        <v>0</v>
      </c>
      <c r="AF22" s="600">
        <f t="shared" si="2"/>
        <v>0</v>
      </c>
      <c r="AG22" s="653">
        <f>IF(AE22-$O$22&gt;=0,AE22-$O$22,0)</f>
        <v>0</v>
      </c>
      <c r="AH22" s="600">
        <f t="shared" si="2"/>
        <v>0</v>
      </c>
      <c r="AI22" s="653">
        <f t="shared" si="2"/>
        <v>0</v>
      </c>
      <c r="AJ22" s="600">
        <f t="shared" si="2"/>
        <v>0</v>
      </c>
      <c r="AK22" s="653">
        <f t="shared" si="2"/>
        <v>0</v>
      </c>
      <c r="AL22" s="600">
        <f t="shared" si="2"/>
        <v>0</v>
      </c>
      <c r="AM22" s="653">
        <f>IF(AK22-$O$22&gt;=0,AK22-$O$22,0)</f>
        <v>0</v>
      </c>
      <c r="AN22" s="600">
        <f t="shared" si="2"/>
        <v>0</v>
      </c>
      <c r="AO22" s="653">
        <f>IF(AM22-$O$22&gt;=0,AM22-$O$22,0)</f>
        <v>0</v>
      </c>
      <c r="AQ22" s="602">
        <f>SUM(Q22:AO22)/13</f>
        <v>0</v>
      </c>
      <c r="AR22" s="600"/>
      <c r="AS22" s="660"/>
      <c r="AU22" s="602">
        <f>AQ22*AS22</f>
        <v>0</v>
      </c>
      <c r="AW22" s="602">
        <f>Q22-AO22</f>
        <v>0</v>
      </c>
      <c r="AY22" s="602">
        <f>AS22*AW22</f>
        <v>0</v>
      </c>
      <c r="BA22" s="668"/>
    </row>
    <row r="23" spans="1:53">
      <c r="A23" s="735" t="s">
        <v>1056</v>
      </c>
      <c r="B23" s="600"/>
      <c r="C23" s="655"/>
      <c r="E23" s="659"/>
      <c r="G23" s="665"/>
      <c r="I23" s="665"/>
      <c r="K23" s="665"/>
      <c r="M23" s="624"/>
      <c r="O23" s="624"/>
      <c r="Q23" s="737"/>
      <c r="S23" s="653"/>
      <c r="U23" s="653"/>
      <c r="W23" s="653"/>
      <c r="Y23" s="653"/>
      <c r="AA23" s="653"/>
      <c r="AC23" s="653"/>
      <c r="AE23" s="653"/>
      <c r="AG23" s="653"/>
      <c r="AI23" s="653"/>
      <c r="AK23" s="653"/>
      <c r="AM23" s="653"/>
      <c r="AO23" s="653"/>
      <c r="AQ23" s="602"/>
      <c r="AR23" s="600"/>
      <c r="AS23" s="660"/>
      <c r="AU23" s="602"/>
      <c r="AW23" s="602"/>
      <c r="AY23" s="602"/>
      <c r="BA23" s="668"/>
    </row>
    <row r="24" spans="1:53">
      <c r="A24" s="601">
        <f>A19+1</f>
        <v>5</v>
      </c>
      <c r="B24" s="600"/>
      <c r="C24" s="600" t="str">
        <f ca="1">"Sum of Lines "&amp;A21&amp;" through "&amp;OFFSET(A24,-1,0)</f>
        <v>Sum of Lines 4.01 through 4.XX</v>
      </c>
      <c r="E24" s="604">
        <f>SUM(E21:E22)</f>
        <v>0</v>
      </c>
      <c r="G24" s="600"/>
      <c r="I24" s="623"/>
      <c r="K24" s="623"/>
      <c r="M24" s="600"/>
      <c r="O24" s="604">
        <f>SUM(O21:O22)</f>
        <v>0</v>
      </c>
      <c r="Q24" s="605">
        <f>SUM(Q21:Q22)</f>
        <v>0</v>
      </c>
      <c r="S24" s="605">
        <f>SUM(S21:S22)</f>
        <v>0</v>
      </c>
      <c r="U24" s="605">
        <f>SUM(U21:U22)</f>
        <v>0</v>
      </c>
      <c r="W24" s="605">
        <f>SUM(W21:W22)</f>
        <v>0</v>
      </c>
      <c r="Y24" s="605">
        <f>SUM(Y21:Y22)</f>
        <v>0</v>
      </c>
      <c r="AA24" s="605">
        <f>SUM(AA21:AA22)</f>
        <v>0</v>
      </c>
      <c r="AC24" s="605">
        <f>SUM(AC21:AC22)</f>
        <v>0</v>
      </c>
      <c r="AE24" s="605">
        <f>SUM(AE21:AE22)</f>
        <v>0</v>
      </c>
      <c r="AG24" s="605">
        <f>SUM(AG21:AG22)</f>
        <v>0</v>
      </c>
      <c r="AI24" s="605">
        <f>SUM(AI21:AI22)</f>
        <v>0</v>
      </c>
      <c r="AK24" s="605">
        <f>SUM(AK21:AK22)</f>
        <v>0</v>
      </c>
      <c r="AM24" s="605">
        <f>SUM(AM21:AM22)</f>
        <v>0</v>
      </c>
      <c r="AO24" s="605">
        <f>SUM(AO21:AO22)</f>
        <v>0</v>
      </c>
      <c r="AQ24" s="605">
        <f>SUM(AQ21:AQ22)</f>
        <v>0</v>
      </c>
      <c r="AR24" s="600"/>
      <c r="AU24" s="605">
        <f>SUM(AU21:AU22)</f>
        <v>0</v>
      </c>
      <c r="AW24" s="605">
        <f>SUM(AW21:AW22)</f>
        <v>0</v>
      </c>
      <c r="AY24" s="605">
        <f>SUM(AY21:AY22)</f>
        <v>0</v>
      </c>
    </row>
    <row r="25" spans="1:53">
      <c r="A25" s="601">
        <f>A24+1</f>
        <v>6</v>
      </c>
      <c r="B25" s="600"/>
      <c r="C25" s="600" t="s">
        <v>778</v>
      </c>
      <c r="E25" s="600"/>
      <c r="G25" s="600"/>
      <c r="I25" s="623"/>
      <c r="K25" s="623"/>
      <c r="M25" s="600"/>
      <c r="O25" s="621"/>
      <c r="Q25" s="656"/>
      <c r="AM25" s="621"/>
      <c r="AO25" s="656"/>
      <c r="AQ25" s="602"/>
      <c r="AR25" s="600"/>
      <c r="AU25" s="602"/>
      <c r="AW25" s="602"/>
      <c r="AY25" s="602"/>
    </row>
    <row r="27" spans="1:53" ht="15.6" customHeight="1">
      <c r="A27" s="601">
        <f>A25+1</f>
        <v>7</v>
      </c>
      <c r="C27" s="600" t="str">
        <f>"Totals (Sum of Lines "&amp;A15&amp;" and "&amp;A24&amp;")"</f>
        <v>Totals (Sum of Lines 2 and 5)</v>
      </c>
      <c r="Y27" s="782"/>
      <c r="Z27" s="782"/>
      <c r="AA27" s="782"/>
      <c r="AB27" s="782"/>
      <c r="AC27" s="782"/>
      <c r="AQ27" s="631">
        <f>AQ15+AQ24</f>
        <v>0</v>
      </c>
      <c r="AU27" s="631">
        <f>AU15+AU24</f>
        <v>0</v>
      </c>
      <c r="AW27" s="631">
        <f>AW15+AW24</f>
        <v>0</v>
      </c>
      <c r="AY27" s="631">
        <f>AY15+AY24</f>
        <v>0</v>
      </c>
    </row>
    <row r="28" spans="1:53">
      <c r="C28" s="847"/>
      <c r="O28" s="846"/>
      <c r="Y28" s="782"/>
      <c r="Z28" s="782"/>
      <c r="AA28" s="782"/>
      <c r="AB28" s="782"/>
      <c r="AC28" s="782"/>
    </row>
    <row r="29" spans="1:53">
      <c r="C29" s="600" t="s">
        <v>153</v>
      </c>
      <c r="O29" s="846"/>
      <c r="Y29" s="782"/>
      <c r="Z29" s="782"/>
      <c r="AA29" s="782"/>
      <c r="AB29" s="782"/>
      <c r="AC29" s="782"/>
      <c r="AO29" s="743" t="s">
        <v>183</v>
      </c>
    </row>
    <row r="30" spans="1:53" ht="15.6" customHeight="1">
      <c r="C30" s="987" t="s">
        <v>842</v>
      </c>
      <c r="D30" s="987"/>
      <c r="E30" s="987"/>
      <c r="F30" s="987"/>
      <c r="G30" s="987"/>
      <c r="H30" s="987"/>
      <c r="I30" s="987"/>
      <c r="J30" s="987"/>
      <c r="K30" s="987"/>
      <c r="L30" s="987"/>
      <c r="M30" s="987"/>
      <c r="N30" s="987"/>
      <c r="Y30" s="782"/>
      <c r="Z30" s="782"/>
      <c r="AA30" s="782"/>
      <c r="AB30" s="782"/>
      <c r="AC30" s="782"/>
      <c r="AO30" s="997" t="s">
        <v>761</v>
      </c>
      <c r="AP30" s="997"/>
      <c r="AQ30" s="997"/>
      <c r="AR30" s="997"/>
      <c r="AS30" s="997"/>
      <c r="AT30" s="997"/>
      <c r="AU30" s="997"/>
      <c r="AV30" s="997"/>
      <c r="AW30" s="997"/>
      <c r="AX30" s="997"/>
      <c r="AY30" s="997"/>
      <c r="AZ30" s="997"/>
      <c r="BA30" s="997"/>
    </row>
    <row r="31" spans="1:53">
      <c r="C31" s="987"/>
      <c r="D31" s="987"/>
      <c r="E31" s="987"/>
      <c r="F31" s="987"/>
      <c r="G31" s="987"/>
      <c r="H31" s="987"/>
      <c r="I31" s="987"/>
      <c r="J31" s="987"/>
      <c r="K31" s="987"/>
      <c r="L31" s="987"/>
      <c r="M31" s="987"/>
      <c r="N31" s="987"/>
      <c r="O31" s="818"/>
      <c r="Q31" s="818"/>
      <c r="Y31" s="782"/>
      <c r="Z31" s="782"/>
      <c r="AA31" s="782"/>
      <c r="AB31" s="782"/>
      <c r="AC31" s="782"/>
      <c r="AO31" s="997"/>
      <c r="AP31" s="997"/>
      <c r="AQ31" s="997"/>
      <c r="AR31" s="997"/>
      <c r="AS31" s="997"/>
      <c r="AT31" s="997"/>
      <c r="AU31" s="997"/>
      <c r="AV31" s="997"/>
      <c r="AW31" s="997"/>
      <c r="AX31" s="997"/>
      <c r="AY31" s="997"/>
      <c r="AZ31" s="997"/>
      <c r="BA31" s="997"/>
    </row>
    <row r="32" spans="1:53">
      <c r="C32" s="987"/>
      <c r="D32" s="987"/>
      <c r="E32" s="987"/>
      <c r="F32" s="987"/>
      <c r="G32" s="987"/>
      <c r="H32" s="987"/>
      <c r="I32" s="987"/>
      <c r="J32" s="987"/>
      <c r="K32" s="987"/>
      <c r="L32" s="987"/>
      <c r="M32" s="987"/>
      <c r="N32" s="987"/>
      <c r="O32" s="846"/>
      <c r="Q32" s="818"/>
      <c r="W32" s="824"/>
      <c r="Y32" s="782"/>
      <c r="Z32" s="782"/>
      <c r="AA32" s="782"/>
      <c r="AB32" s="782"/>
      <c r="AC32" s="782"/>
    </row>
    <row r="33" spans="3:29" ht="15.75" customHeight="1">
      <c r="C33" s="987" t="s">
        <v>776</v>
      </c>
      <c r="D33" s="987"/>
      <c r="E33" s="987"/>
      <c r="F33" s="987"/>
      <c r="G33" s="987"/>
      <c r="H33" s="987"/>
      <c r="I33" s="987"/>
      <c r="J33" s="987"/>
      <c r="K33" s="987"/>
      <c r="L33" s="987"/>
      <c r="M33" s="987"/>
      <c r="N33" s="987"/>
      <c r="Q33" s="600"/>
      <c r="S33" s="600"/>
      <c r="U33" s="600"/>
      <c r="Y33" s="782"/>
      <c r="Z33" s="782"/>
      <c r="AA33" s="782"/>
      <c r="AB33" s="782"/>
      <c r="AC33" s="782"/>
    </row>
    <row r="34" spans="3:29">
      <c r="C34" s="987"/>
      <c r="D34" s="987"/>
      <c r="E34" s="987"/>
      <c r="F34" s="987"/>
      <c r="G34" s="987"/>
      <c r="H34" s="987"/>
      <c r="I34" s="987"/>
      <c r="J34" s="987"/>
      <c r="K34" s="987"/>
      <c r="L34" s="987"/>
      <c r="M34" s="987"/>
      <c r="N34" s="987"/>
      <c r="Y34" s="782"/>
      <c r="Z34" s="782"/>
      <c r="AA34" s="782"/>
      <c r="AB34" s="782"/>
      <c r="AC34" s="782"/>
    </row>
    <row r="35" spans="3:29" ht="15.6" customHeight="1">
      <c r="C35" s="987"/>
      <c r="D35" s="987"/>
      <c r="E35" s="987"/>
      <c r="F35" s="987"/>
      <c r="G35" s="987"/>
      <c r="H35" s="987"/>
      <c r="I35" s="987"/>
      <c r="J35" s="987"/>
      <c r="K35" s="987"/>
      <c r="L35" s="987"/>
      <c r="M35" s="987"/>
      <c r="N35" s="987"/>
      <c r="Y35" s="782"/>
      <c r="Z35" s="782"/>
      <c r="AA35" s="782"/>
      <c r="AB35" s="782"/>
      <c r="AC35" s="782"/>
    </row>
    <row r="36" spans="3:29" ht="15.6" customHeight="1">
      <c r="C36" s="784" t="s">
        <v>1048</v>
      </c>
      <c r="D36" s="784"/>
      <c r="E36" s="784"/>
      <c r="F36" s="784"/>
      <c r="G36" s="784"/>
      <c r="H36" s="784"/>
      <c r="I36" s="784"/>
      <c r="J36" s="784"/>
      <c r="K36" s="784"/>
      <c r="L36" s="784"/>
      <c r="M36" s="784"/>
      <c r="N36" s="784"/>
      <c r="O36" s="737"/>
    </row>
    <row r="37" spans="3:29">
      <c r="C37" s="784" t="s">
        <v>999</v>
      </c>
      <c r="D37" s="784"/>
      <c r="E37" s="784"/>
      <c r="F37" s="784"/>
      <c r="G37" s="784"/>
      <c r="H37" s="784"/>
      <c r="I37" s="784"/>
      <c r="J37" s="784"/>
      <c r="K37" s="784"/>
      <c r="L37" s="784"/>
      <c r="M37" s="784"/>
      <c r="N37" s="784"/>
      <c r="O37" s="737"/>
    </row>
    <row r="38" spans="3:29">
      <c r="C38" s="600" t="s">
        <v>1011</v>
      </c>
      <c r="E38" s="737"/>
      <c r="G38" s="691"/>
      <c r="I38" s="737"/>
      <c r="K38" s="737"/>
      <c r="M38" s="737"/>
      <c r="O38" s="737"/>
    </row>
  </sheetData>
  <mergeCells count="3">
    <mergeCell ref="C33:N35"/>
    <mergeCell ref="AO30:BA31"/>
    <mergeCell ref="C30:N32"/>
  </mergeCells>
  <phoneticPr fontId="114" type="noConversion"/>
  <pageMargins left="0" right="0" top="1" bottom="0.5" header="0" footer="0"/>
  <pageSetup scale="26" fitToHeight="0" orientation="landscape" r:id="rId1"/>
  <headerFooter>
    <oddHeader xml:space="preserve">&amp;R&amp;"Times New Roman,Regular"
</oddHeader>
    <oddFooter xml:space="preserve">&amp;L&amp;"Times New Roman,Bold"&amp;10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BD75"/>
  <sheetViews>
    <sheetView showWhiteSpace="0" zoomScale="70" zoomScaleNormal="70" zoomScalePageLayoutView="80" workbookViewId="0">
      <selection activeCell="C1" sqref="C1"/>
    </sheetView>
  </sheetViews>
  <sheetFormatPr defaultColWidth="8.81640625" defaultRowHeight="15.6"/>
  <cols>
    <col min="1" max="1" width="4.453125" style="1" customWidth="1"/>
    <col min="2" max="2" width="3" style="2" customWidth="1"/>
    <col min="3" max="3" width="8.7265625" style="1" customWidth="1"/>
    <col min="4" max="4" width="2.08984375" style="1" customWidth="1"/>
    <col min="5" max="5" width="41.453125" style="1" bestFit="1" customWidth="1"/>
    <col min="6" max="6" width="2.08984375" style="1" customWidth="1"/>
    <col min="7" max="7" width="13.453125" style="1" bestFit="1" customWidth="1"/>
    <col min="8" max="8" width="2.08984375" style="1" customWidth="1"/>
    <col min="9" max="9" width="14.453125" style="1" customWidth="1"/>
    <col min="10" max="10" width="2.08984375" style="1" customWidth="1"/>
    <col min="11" max="11" width="12" style="1" customWidth="1"/>
    <col min="12" max="12" width="2.26953125" style="1" customWidth="1"/>
    <col min="13" max="13" width="13.453125" style="1" customWidth="1"/>
    <col min="14" max="14" width="2.453125" style="1" customWidth="1"/>
    <col min="15" max="15" width="12" style="1" customWidth="1"/>
    <col min="16" max="16" width="2.26953125" style="1" customWidth="1"/>
    <col min="17" max="17" width="11.81640625" style="1" customWidth="1"/>
    <col min="18" max="18" width="2" style="1" customWidth="1"/>
    <col min="19" max="19" width="11.81640625" style="1" customWidth="1"/>
    <col min="20" max="20" width="3.26953125" style="1" customWidth="1"/>
    <col min="21" max="21" width="12.7265625" style="1" customWidth="1"/>
    <col min="22" max="22" width="2.08984375" style="1" customWidth="1"/>
    <col min="23" max="23" width="14.453125" style="1" customWidth="1"/>
    <col min="24" max="24" width="11.7265625" style="1" bestFit="1" customWidth="1"/>
    <col min="25" max="25" width="14.08984375" style="1" bestFit="1" customWidth="1"/>
    <col min="26" max="16384" width="8.81640625" style="1"/>
  </cols>
  <sheetData>
    <row r="1" spans="1:53">
      <c r="S1" s="600"/>
      <c r="T1" s="601"/>
      <c r="U1"/>
      <c r="V1" s="856" t="s">
        <v>991</v>
      </c>
    </row>
    <row r="2" spans="1:53">
      <c r="S2" s="600"/>
      <c r="T2" s="601"/>
      <c r="U2"/>
      <c r="V2" s="856" t="s">
        <v>144</v>
      </c>
    </row>
    <row r="3" spans="1:53">
      <c r="S3" s="600"/>
      <c r="T3" s="601"/>
      <c r="U3"/>
      <c r="V3" s="3" t="str">
        <f>'Attachment 19 - Reg Asset-Liab'!AZ3</f>
        <v>For the 12 months ended 12/31/2023</v>
      </c>
    </row>
    <row r="5" spans="1:53">
      <c r="E5" s="620" t="s">
        <v>627</v>
      </c>
      <c r="F5" s="620"/>
      <c r="G5" s="620" t="str">
        <f>"("&amp;CHAR(CODE(MID(E5,2,1))+1)&amp;")"</f>
        <v>(B)</v>
      </c>
      <c r="I5" s="620" t="str">
        <f t="shared" ref="I5" si="0">"("&amp;CHAR(CODE(MID(G5,2,1))+1)&amp;")"</f>
        <v>(C)</v>
      </c>
      <c r="J5" s="620"/>
      <c r="K5" s="620" t="str">
        <f t="shared" ref="K5" si="1">"("&amp;CHAR(CODE(MID(I5,2,1))+1)&amp;")"</f>
        <v>(D)</v>
      </c>
      <c r="L5" s="620"/>
      <c r="M5" s="620" t="str">
        <f t="shared" ref="M5" si="2">"("&amp;CHAR(CODE(MID(K5,2,1))+1)&amp;")"</f>
        <v>(E)</v>
      </c>
      <c r="N5" s="620"/>
      <c r="O5" s="620" t="str">
        <f t="shared" ref="O5" si="3">"("&amp;CHAR(CODE(MID(M5,2,1))+1)&amp;")"</f>
        <v>(F)</v>
      </c>
      <c r="P5" s="620"/>
      <c r="Q5" s="620" t="str">
        <f t="shared" ref="Q5" si="4">"("&amp;CHAR(CODE(MID(O5,2,1))+1)&amp;")"</f>
        <v>(G)</v>
      </c>
      <c r="R5" s="620"/>
      <c r="S5" s="620" t="str">
        <f t="shared" ref="S5" si="5">"("&amp;CHAR(CODE(MID(Q5,2,1))+1)&amp;")"</f>
        <v>(H)</v>
      </c>
      <c r="T5" s="620"/>
      <c r="U5" s="620" t="str">
        <f t="shared" ref="U5" si="6">"("&amp;CHAR(CODE(MID(S5,2,1))+1)&amp;")"</f>
        <v>(I)</v>
      </c>
      <c r="V5" s="620"/>
      <c r="W5" s="620" t="str">
        <f t="shared" ref="W5" si="7">"("&amp;CHAR(CODE(MID(U5,2,1))+1)&amp;")"</f>
        <v>(J)</v>
      </c>
    </row>
    <row r="6" spans="1:53" s="638" customFormat="1" ht="31.2">
      <c r="A6" s="618" t="s">
        <v>5</v>
      </c>
      <c r="B6" s="611"/>
      <c r="C6" s="618" t="s">
        <v>638</v>
      </c>
      <c r="D6" s="611"/>
      <c r="E6" s="644" t="s">
        <v>639</v>
      </c>
      <c r="F6" s="645"/>
      <c r="G6" s="614" t="s">
        <v>643</v>
      </c>
      <c r="H6" s="611"/>
      <c r="I6" s="614" t="s">
        <v>640</v>
      </c>
      <c r="J6" s="836" t="s">
        <v>823</v>
      </c>
      <c r="K6" s="889" t="s">
        <v>1012</v>
      </c>
      <c r="L6" s="917" t="s">
        <v>60</v>
      </c>
      <c r="M6" s="889" t="s">
        <v>822</v>
      </c>
      <c r="N6" s="889" t="s">
        <v>641</v>
      </c>
      <c r="O6" s="889" t="s">
        <v>824</v>
      </c>
      <c r="P6" s="836" t="s">
        <v>60</v>
      </c>
      <c r="Q6" s="889" t="s">
        <v>825</v>
      </c>
      <c r="R6" s="835"/>
      <c r="S6" s="835"/>
      <c r="T6" s="836"/>
      <c r="U6" s="835"/>
      <c r="W6" s="639"/>
      <c r="Y6" s="639"/>
      <c r="AA6" s="639"/>
      <c r="AC6" s="639"/>
      <c r="AE6" s="639"/>
      <c r="AG6" s="639"/>
      <c r="AI6" s="639"/>
      <c r="AK6" s="639"/>
      <c r="AM6" s="611"/>
      <c r="AO6" s="611"/>
      <c r="AQ6" s="611"/>
      <c r="AR6" s="611"/>
      <c r="AS6" s="640"/>
      <c r="AU6" s="611"/>
      <c r="AW6" s="639"/>
      <c r="AY6" s="611"/>
      <c r="BA6" s="611"/>
    </row>
    <row r="7" spans="1:53" s="600" customFormat="1">
      <c r="A7" s="601">
        <v>1</v>
      </c>
      <c r="B7" s="601"/>
      <c r="C7" s="636">
        <v>560</v>
      </c>
      <c r="D7" s="601"/>
      <c r="E7" s="1" t="s">
        <v>565</v>
      </c>
      <c r="F7" s="1"/>
      <c r="G7" s="1" t="s">
        <v>644</v>
      </c>
      <c r="H7" s="601"/>
      <c r="I7" s="641">
        <v>383567</v>
      </c>
      <c r="J7" s="1051"/>
      <c r="K7" s="940">
        <f>'Attachment H-4A JCP&amp;L '!$I$184</f>
        <v>0.93947190410079562</v>
      </c>
      <c r="L7" s="601"/>
      <c r="M7" s="722">
        <f>I7*K7</f>
        <v>360350.41984022985</v>
      </c>
      <c r="N7" s="602"/>
      <c r="O7" s="641"/>
      <c r="P7" s="601"/>
      <c r="Q7" s="602">
        <f>M7-O7</f>
        <v>360350.41984022985</v>
      </c>
      <c r="R7" s="790"/>
      <c r="S7" s="790"/>
      <c r="T7" s="601"/>
      <c r="U7" s="790"/>
      <c r="W7" s="602"/>
      <c r="Y7" s="602"/>
      <c r="AA7" s="602"/>
      <c r="AC7" s="602"/>
      <c r="AE7" s="602"/>
      <c r="AG7" s="602"/>
      <c r="AI7" s="602"/>
      <c r="AK7" s="602"/>
      <c r="AM7" s="601"/>
      <c r="AO7" s="601"/>
      <c r="AQ7" s="601"/>
      <c r="AR7" s="601"/>
      <c r="AS7" s="632"/>
      <c r="AU7" s="601"/>
      <c r="AW7" s="602"/>
      <c r="AY7" s="601"/>
      <c r="BA7" s="601"/>
    </row>
    <row r="8" spans="1:53" s="600" customFormat="1" ht="15.6" customHeight="1">
      <c r="A8" s="601">
        <f>MAX($A$7:A7)+1</f>
        <v>2</v>
      </c>
      <c r="B8" s="601"/>
      <c r="C8" s="636">
        <v>561.1</v>
      </c>
      <c r="D8" s="601"/>
      <c r="E8" s="1" t="s">
        <v>566</v>
      </c>
      <c r="F8" s="1"/>
      <c r="G8" s="1" t="s">
        <v>645</v>
      </c>
      <c r="H8" s="601"/>
      <c r="I8" s="641">
        <v>1691385</v>
      </c>
      <c r="J8" s="1051"/>
      <c r="K8" s="940">
        <f>'Attachment H-4A JCP&amp;L '!$I$184</f>
        <v>0.93947190410079562</v>
      </c>
      <c r="L8" s="601"/>
      <c r="M8" s="722">
        <f>I8*K8</f>
        <v>1589008.6865175243</v>
      </c>
      <c r="N8" s="602"/>
      <c r="O8" s="641"/>
      <c r="P8" s="601"/>
      <c r="Q8" s="602">
        <f t="shared" ref="Q8:Q31" si="8">M8-O8</f>
        <v>1589008.6865175243</v>
      </c>
      <c r="R8" s="790"/>
      <c r="W8" s="926"/>
      <c r="X8" s="926"/>
      <c r="Y8" s="926"/>
      <c r="Z8" s="926"/>
      <c r="AA8" s="602"/>
      <c r="AC8" s="602"/>
      <c r="AE8" s="602"/>
      <c r="AG8" s="602"/>
      <c r="AI8" s="602"/>
      <c r="AK8" s="602"/>
      <c r="AM8" s="601"/>
      <c r="AO8" s="601"/>
      <c r="AQ8" s="601"/>
      <c r="AR8" s="601"/>
      <c r="AS8" s="632"/>
      <c r="AU8" s="601"/>
      <c r="AW8" s="601"/>
      <c r="AY8" s="601"/>
      <c r="BA8" s="601"/>
    </row>
    <row r="9" spans="1:53" s="600" customFormat="1">
      <c r="A9" s="601">
        <f>MAX($A$7:A8)+1</f>
        <v>3</v>
      </c>
      <c r="B9" s="601"/>
      <c r="C9" s="636">
        <v>561.20000000000005</v>
      </c>
      <c r="D9" s="601"/>
      <c r="E9" s="1" t="s">
        <v>567</v>
      </c>
      <c r="F9" s="1"/>
      <c r="G9" s="1" t="s">
        <v>646</v>
      </c>
      <c r="H9" s="601"/>
      <c r="I9" s="641">
        <v>1570166</v>
      </c>
      <c r="J9" s="1051"/>
      <c r="K9" s="940">
        <f>'Attachment H-4A JCP&amp;L '!$I$184</f>
        <v>0.93947190410079562</v>
      </c>
      <c r="L9" s="601"/>
      <c r="M9" s="722">
        <f t="shared" ref="M9:M31" si="9">I9*K9</f>
        <v>1475126.8417743298</v>
      </c>
      <c r="N9" s="602"/>
      <c r="O9" s="641"/>
      <c r="P9" s="601"/>
      <c r="Q9" s="602">
        <f t="shared" si="8"/>
        <v>1475126.8417743298</v>
      </c>
      <c r="R9" s="790"/>
      <c r="W9" s="926"/>
      <c r="X9" s="926"/>
      <c r="Y9" s="926"/>
      <c r="Z9" s="926"/>
      <c r="AA9" s="602"/>
      <c r="AC9" s="602"/>
      <c r="AE9" s="602"/>
      <c r="AG9" s="602"/>
      <c r="AI9" s="602"/>
      <c r="AK9" s="602"/>
      <c r="AM9" s="601"/>
      <c r="AO9" s="601"/>
      <c r="AQ9" s="601"/>
      <c r="AR9" s="601"/>
      <c r="AS9" s="632"/>
      <c r="AU9" s="601"/>
      <c r="AW9" s="601"/>
      <c r="AY9" s="601"/>
      <c r="BA9" s="601"/>
    </row>
    <row r="10" spans="1:53" s="600" customFormat="1">
      <c r="A10" s="601">
        <f>MAX($A$7:A9)+1</f>
        <v>4</v>
      </c>
      <c r="B10" s="601"/>
      <c r="C10" s="636">
        <v>561.29999999999995</v>
      </c>
      <c r="D10" s="601"/>
      <c r="E10" s="1" t="s">
        <v>568</v>
      </c>
      <c r="F10" s="1"/>
      <c r="G10" s="1" t="s">
        <v>647</v>
      </c>
      <c r="H10" s="601"/>
      <c r="I10" s="641"/>
      <c r="J10" s="1051"/>
      <c r="K10" s="940">
        <f>'Attachment H-4A JCP&amp;L '!$I$184</f>
        <v>0.93947190410079562</v>
      </c>
      <c r="L10" s="601"/>
      <c r="M10" s="722">
        <f>I10*K10</f>
        <v>0</v>
      </c>
      <c r="N10" s="602"/>
      <c r="O10" s="641"/>
      <c r="P10" s="1051"/>
      <c r="Q10" s="602">
        <f t="shared" si="8"/>
        <v>0</v>
      </c>
      <c r="R10" s="790"/>
      <c r="W10" s="926"/>
      <c r="X10" s="926"/>
      <c r="Y10" s="926"/>
      <c r="Z10" s="926"/>
      <c r="AA10" s="602"/>
      <c r="AC10" s="602"/>
      <c r="AE10" s="602"/>
      <c r="AG10" s="602"/>
      <c r="AI10" s="602"/>
      <c r="AK10" s="602"/>
      <c r="AM10" s="601"/>
      <c r="AO10" s="601"/>
      <c r="AQ10" s="601"/>
      <c r="AR10" s="601"/>
      <c r="AS10" s="632"/>
      <c r="AU10" s="601"/>
      <c r="AW10" s="601"/>
      <c r="AY10" s="601"/>
      <c r="BA10" s="601"/>
    </row>
    <row r="11" spans="1:53" s="600" customFormat="1" ht="15.6" customHeight="1">
      <c r="A11" s="601">
        <f>MAX($A$7:A10)+1</f>
        <v>5</v>
      </c>
      <c r="B11" s="601"/>
      <c r="C11" s="636">
        <v>561.4</v>
      </c>
      <c r="D11" s="601"/>
      <c r="E11" s="1" t="s">
        <v>569</v>
      </c>
      <c r="F11" s="1"/>
      <c r="G11" s="1" t="s">
        <v>648</v>
      </c>
      <c r="H11" s="601"/>
      <c r="I11" s="641"/>
      <c r="J11" s="1051"/>
      <c r="K11" s="940">
        <f>'Attachment H-4A JCP&amp;L '!$I$184</f>
        <v>0.93947190410079562</v>
      </c>
      <c r="L11" s="601"/>
      <c r="M11" s="722">
        <f>I11*K11</f>
        <v>0</v>
      </c>
      <c r="N11" s="602"/>
      <c r="O11" s="641"/>
      <c r="P11" s="1051"/>
      <c r="Q11" s="602">
        <f t="shared" si="8"/>
        <v>0</v>
      </c>
      <c r="R11" s="790"/>
      <c r="W11" s="926"/>
      <c r="X11" s="926"/>
      <c r="Y11" s="926"/>
      <c r="Z11" s="926"/>
      <c r="AA11" s="602"/>
      <c r="AC11" s="602"/>
      <c r="AE11" s="602"/>
      <c r="AG11" s="602"/>
      <c r="AI11" s="602"/>
      <c r="AK11" s="602"/>
      <c r="AM11" s="601"/>
      <c r="AO11" s="601"/>
      <c r="AQ11" s="601"/>
      <c r="AR11" s="601"/>
      <c r="AS11" s="632"/>
      <c r="AU11" s="601"/>
      <c r="AW11" s="601"/>
      <c r="AY11" s="601"/>
      <c r="BA11" s="601"/>
    </row>
    <row r="12" spans="1:53" s="600" customFormat="1">
      <c r="A12" s="601">
        <f>MAX($A$7:A11)+1</f>
        <v>6</v>
      </c>
      <c r="B12" s="601"/>
      <c r="C12" s="636">
        <v>561.5</v>
      </c>
      <c r="D12" s="601"/>
      <c r="E12" s="1" t="s">
        <v>570</v>
      </c>
      <c r="F12" s="1"/>
      <c r="G12" s="1" t="s">
        <v>649</v>
      </c>
      <c r="H12" s="601"/>
      <c r="I12" s="641">
        <v>356783</v>
      </c>
      <c r="J12" s="1051"/>
      <c r="K12" s="940">
        <f>'Attachment H-4A JCP&amp;L '!$I$184</f>
        <v>0.93947190410079562</v>
      </c>
      <c r="L12" s="601"/>
      <c r="M12" s="722">
        <f t="shared" si="9"/>
        <v>335187.60436079418</v>
      </c>
      <c r="N12" s="602"/>
      <c r="O12" s="641"/>
      <c r="P12" s="1051"/>
      <c r="Q12" s="602">
        <f>M12-O12</f>
        <v>335187.60436079418</v>
      </c>
      <c r="R12" s="790"/>
      <c r="W12" s="926"/>
      <c r="X12" s="926"/>
      <c r="Y12" s="926"/>
      <c r="Z12" s="926"/>
      <c r="AA12" s="602"/>
      <c r="AC12" s="602"/>
      <c r="AE12" s="602"/>
      <c r="AG12" s="602"/>
      <c r="AI12" s="602"/>
      <c r="AK12" s="602"/>
      <c r="AM12" s="601"/>
      <c r="AO12" s="601"/>
      <c r="AQ12" s="601"/>
      <c r="AR12" s="601"/>
      <c r="AS12" s="632"/>
      <c r="AU12" s="601"/>
      <c r="AW12" s="601"/>
      <c r="AY12" s="601"/>
      <c r="BA12" s="601"/>
    </row>
    <row r="13" spans="1:53" s="600" customFormat="1">
      <c r="A13" s="601">
        <f>MAX($A$7:A12)+1</f>
        <v>7</v>
      </c>
      <c r="B13" s="601"/>
      <c r="C13" s="636">
        <v>561.6</v>
      </c>
      <c r="D13" s="601"/>
      <c r="E13" s="1" t="s">
        <v>571</v>
      </c>
      <c r="F13" s="1"/>
      <c r="G13" s="1" t="s">
        <v>650</v>
      </c>
      <c r="H13" s="601"/>
      <c r="I13" s="641">
        <v>-12520</v>
      </c>
      <c r="J13" s="1051"/>
      <c r="K13" s="940">
        <f>'Attachment H-4A JCP&amp;L '!$I$184</f>
        <v>0.93947190410079562</v>
      </c>
      <c r="L13" s="601"/>
      <c r="M13" s="722">
        <f t="shared" si="9"/>
        <v>-11762.188239341962</v>
      </c>
      <c r="N13" s="602"/>
      <c r="O13" s="641"/>
      <c r="P13" s="1051"/>
      <c r="Q13" s="602">
        <f t="shared" si="8"/>
        <v>-11762.188239341962</v>
      </c>
      <c r="R13" s="790"/>
      <c r="W13" s="926"/>
      <c r="X13" s="926"/>
      <c r="Y13" s="926"/>
      <c r="Z13" s="926"/>
      <c r="AA13" s="602"/>
      <c r="AC13" s="602"/>
      <c r="AE13" s="602"/>
      <c r="AG13" s="602"/>
      <c r="AI13" s="602"/>
      <c r="AK13" s="602"/>
      <c r="AM13" s="601"/>
      <c r="AO13" s="601"/>
      <c r="AQ13" s="601"/>
      <c r="AR13" s="601"/>
      <c r="AS13" s="632"/>
      <c r="AU13" s="601"/>
      <c r="AW13" s="601"/>
      <c r="AY13" s="601"/>
      <c r="BA13" s="601"/>
    </row>
    <row r="14" spans="1:53" s="600" customFormat="1">
      <c r="A14" s="601">
        <f>MAX($A$7:A13)+1</f>
        <v>8</v>
      </c>
      <c r="B14" s="601"/>
      <c r="C14" s="636">
        <v>561.70000000000005</v>
      </c>
      <c r="D14" s="601"/>
      <c r="E14" s="1" t="s">
        <v>572</v>
      </c>
      <c r="F14" s="1"/>
      <c r="G14" s="1" t="s">
        <v>651</v>
      </c>
      <c r="H14" s="601"/>
      <c r="I14" s="641">
        <v>-3637</v>
      </c>
      <c r="J14" s="1051"/>
      <c r="K14" s="940">
        <f>'Attachment H-4A JCP&amp;L '!$I$184</f>
        <v>0.93947190410079562</v>
      </c>
      <c r="L14" s="601"/>
      <c r="M14" s="722">
        <f t="shared" si="9"/>
        <v>-3416.8593152145936</v>
      </c>
      <c r="N14" s="602"/>
      <c r="O14" s="641"/>
      <c r="P14" s="1051"/>
      <c r="Q14" s="602">
        <f t="shared" si="8"/>
        <v>-3416.8593152145936</v>
      </c>
      <c r="R14" s="790"/>
      <c r="W14" s="926"/>
      <c r="X14" s="926"/>
      <c r="Y14" s="926"/>
      <c r="Z14" s="926"/>
      <c r="AA14" s="602"/>
      <c r="AC14" s="602"/>
      <c r="AE14" s="602"/>
      <c r="AG14" s="602"/>
      <c r="AI14" s="602"/>
      <c r="AK14" s="602"/>
      <c r="AM14" s="601"/>
      <c r="AO14" s="601"/>
      <c r="AQ14" s="601"/>
      <c r="AR14" s="601"/>
      <c r="AS14" s="632"/>
      <c r="AU14" s="601"/>
      <c r="AW14" s="601"/>
      <c r="AY14" s="601"/>
      <c r="BA14" s="601"/>
    </row>
    <row r="15" spans="1:53" s="600" customFormat="1">
      <c r="A15" s="601">
        <f>MAX($A$7:A14)+1</f>
        <v>9</v>
      </c>
      <c r="B15" s="601"/>
      <c r="C15" s="636">
        <v>561.79999999999995</v>
      </c>
      <c r="D15" s="601"/>
      <c r="E15" s="1" t="s">
        <v>573</v>
      </c>
      <c r="F15" s="1"/>
      <c r="G15" s="1" t="s">
        <v>652</v>
      </c>
      <c r="H15" s="601"/>
      <c r="I15" s="641">
        <v>0</v>
      </c>
      <c r="J15" s="1051"/>
      <c r="K15" s="940">
        <f>'Attachment H-4A JCP&amp;L '!$I$184</f>
        <v>0.93947190410079562</v>
      </c>
      <c r="L15" s="601"/>
      <c r="M15" s="722">
        <f>I15*K15</f>
        <v>0</v>
      </c>
      <c r="N15" s="602"/>
      <c r="O15" s="641"/>
      <c r="P15" s="1051"/>
      <c r="Q15" s="602">
        <f t="shared" si="8"/>
        <v>0</v>
      </c>
      <c r="R15" s="790"/>
      <c r="W15" s="926"/>
      <c r="X15" s="926"/>
      <c r="Y15" s="926"/>
      <c r="Z15" s="926"/>
      <c r="AA15" s="602"/>
      <c r="AC15" s="602"/>
      <c r="AE15" s="602"/>
      <c r="AG15" s="602"/>
      <c r="AI15" s="602"/>
      <c r="AK15" s="602"/>
      <c r="AM15" s="601"/>
      <c r="AO15" s="601"/>
      <c r="AQ15" s="601"/>
      <c r="AR15" s="601"/>
      <c r="AS15" s="632"/>
      <c r="AU15" s="601"/>
      <c r="AW15" s="601"/>
      <c r="AY15" s="601"/>
      <c r="BA15" s="601"/>
    </row>
    <row r="16" spans="1:53" s="600" customFormat="1">
      <c r="A16" s="601">
        <f>MAX($A$7:A15)+1</f>
        <v>10</v>
      </c>
      <c r="B16" s="601"/>
      <c r="C16" s="636">
        <v>562</v>
      </c>
      <c r="D16" s="601"/>
      <c r="E16" s="1" t="s">
        <v>574</v>
      </c>
      <c r="F16" s="1"/>
      <c r="G16" s="1" t="s">
        <v>653</v>
      </c>
      <c r="H16" s="601"/>
      <c r="I16" s="641">
        <v>647001</v>
      </c>
      <c r="J16" s="1051"/>
      <c r="K16" s="940">
        <f>'Attachment H-4A JCP&amp;L '!$I$184</f>
        <v>0.93947190410079562</v>
      </c>
      <c r="L16" s="601"/>
      <c r="M16" s="722">
        <f t="shared" si="9"/>
        <v>607839.26142511889</v>
      </c>
      <c r="N16" s="602"/>
      <c r="O16" s="641"/>
      <c r="P16" s="1051"/>
      <c r="Q16" s="602">
        <f t="shared" si="8"/>
        <v>607839.26142511889</v>
      </c>
      <c r="R16" s="790"/>
      <c r="W16" s="926"/>
      <c r="X16" s="926"/>
      <c r="Y16" s="926"/>
      <c r="Z16" s="926"/>
      <c r="AA16" s="602"/>
      <c r="AC16" s="602"/>
      <c r="AE16" s="602"/>
      <c r="AG16" s="602"/>
      <c r="AI16" s="602"/>
      <c r="AK16" s="602"/>
      <c r="AM16" s="601"/>
      <c r="AO16" s="601"/>
      <c r="AQ16" s="601"/>
      <c r="AR16" s="601"/>
      <c r="AS16" s="632"/>
      <c r="AU16" s="601"/>
      <c r="AW16" s="601"/>
      <c r="AY16" s="601"/>
      <c r="BA16" s="601"/>
    </row>
    <row r="17" spans="1:53" s="600" customFormat="1">
      <c r="A17" s="601">
        <f>MAX($A$7:A16)+1</f>
        <v>11</v>
      </c>
      <c r="B17" s="601"/>
      <c r="C17" s="636">
        <v>563</v>
      </c>
      <c r="D17" s="601"/>
      <c r="E17" s="1" t="s">
        <v>575</v>
      </c>
      <c r="F17" s="1"/>
      <c r="G17" s="1" t="s">
        <v>654</v>
      </c>
      <c r="H17" s="601"/>
      <c r="I17" s="641">
        <v>1487247</v>
      </c>
      <c r="J17" s="1051"/>
      <c r="K17" s="940">
        <f>'Attachment H-4A JCP&amp;L '!$I$184</f>
        <v>0.93947190410079562</v>
      </c>
      <c r="L17" s="601"/>
      <c r="M17" s="722">
        <f>I17*K17</f>
        <v>1397226.7709581959</v>
      </c>
      <c r="N17" s="602"/>
      <c r="O17" s="641"/>
      <c r="P17" s="1051"/>
      <c r="Q17" s="602">
        <f>M17-O17</f>
        <v>1397226.7709581959</v>
      </c>
      <c r="R17" s="790"/>
      <c r="W17" s="926"/>
      <c r="X17" s="926"/>
      <c r="Y17" s="926"/>
      <c r="Z17" s="926"/>
      <c r="AA17" s="602"/>
      <c r="AC17" s="602"/>
      <c r="AE17" s="602"/>
      <c r="AG17" s="602"/>
      <c r="AI17" s="602"/>
      <c r="AK17" s="602"/>
      <c r="AM17" s="601"/>
      <c r="AO17" s="601"/>
      <c r="AQ17" s="601"/>
      <c r="AR17" s="601"/>
      <c r="AS17" s="632"/>
      <c r="AU17" s="601"/>
      <c r="AW17" s="601"/>
      <c r="AY17" s="601"/>
      <c r="BA17" s="601"/>
    </row>
    <row r="18" spans="1:53" s="600" customFormat="1" ht="15.6" customHeight="1">
      <c r="A18" s="601">
        <f>MAX($A$7:A17)+1</f>
        <v>12</v>
      </c>
      <c r="B18" s="601"/>
      <c r="C18" s="636">
        <v>564</v>
      </c>
      <c r="D18" s="601"/>
      <c r="E18" s="1" t="s">
        <v>576</v>
      </c>
      <c r="F18" s="1"/>
      <c r="G18" s="1" t="s">
        <v>655</v>
      </c>
      <c r="H18" s="601"/>
      <c r="I18" s="641"/>
      <c r="J18" s="1051"/>
      <c r="K18" s="940">
        <f>'Attachment H-4A JCP&amp;L '!$I$184</f>
        <v>0.93947190410079562</v>
      </c>
      <c r="L18" s="601"/>
      <c r="M18" s="722">
        <f t="shared" si="9"/>
        <v>0</v>
      </c>
      <c r="N18" s="602"/>
      <c r="O18" s="641"/>
      <c r="P18" s="1051"/>
      <c r="Q18" s="602">
        <f t="shared" si="8"/>
        <v>0</v>
      </c>
      <c r="R18" s="790"/>
      <c r="W18" s="969"/>
      <c r="X18" s="969"/>
      <c r="Y18" s="969"/>
      <c r="Z18" s="969"/>
      <c r="AA18" s="969"/>
      <c r="AC18" s="602"/>
      <c r="AE18" s="602"/>
      <c r="AG18" s="602"/>
      <c r="AI18" s="602"/>
      <c r="AK18" s="602"/>
      <c r="AM18" s="601"/>
      <c r="AO18" s="601"/>
      <c r="AQ18" s="601"/>
      <c r="AR18" s="601"/>
      <c r="AS18" s="632"/>
      <c r="AU18" s="601"/>
      <c r="AW18" s="601"/>
      <c r="AY18" s="601"/>
      <c r="BA18" s="601"/>
    </row>
    <row r="19" spans="1:53" s="600" customFormat="1" ht="15.6" customHeight="1">
      <c r="A19" s="601">
        <f>MAX($A$7:A18)+1</f>
        <v>13</v>
      </c>
      <c r="B19" s="601"/>
      <c r="C19" s="636">
        <v>565</v>
      </c>
      <c r="D19" s="601"/>
      <c r="E19" s="1" t="s">
        <v>577</v>
      </c>
      <c r="F19" s="1"/>
      <c r="G19" s="1" t="s">
        <v>656</v>
      </c>
      <c r="H19" s="601"/>
      <c r="I19" s="641">
        <v>1685</v>
      </c>
      <c r="J19" s="1051"/>
      <c r="K19" s="940">
        <f>'Attachment H-4A JCP&amp;L '!$I$184</f>
        <v>0.93947190410079562</v>
      </c>
      <c r="L19" s="601"/>
      <c r="M19" s="722">
        <f>I19*K19</f>
        <v>1583.0101584098406</v>
      </c>
      <c r="N19" s="602"/>
      <c r="O19" s="641">
        <v>1583.0101584098406</v>
      </c>
      <c r="P19" s="1051"/>
      <c r="Q19" s="602">
        <f t="shared" si="8"/>
        <v>0</v>
      </c>
      <c r="R19" s="790"/>
      <c r="W19" s="969"/>
      <c r="X19" s="969"/>
      <c r="Y19" s="969"/>
      <c r="Z19" s="969"/>
      <c r="AA19" s="969"/>
      <c r="AC19" s="602"/>
      <c r="AE19" s="602"/>
      <c r="AG19" s="602"/>
      <c r="AI19" s="602"/>
      <c r="AK19" s="602"/>
      <c r="AM19" s="601"/>
      <c r="AO19" s="601"/>
      <c r="AQ19" s="601"/>
      <c r="AR19" s="601"/>
      <c r="AS19" s="632"/>
      <c r="AU19" s="601"/>
      <c r="AW19" s="601"/>
      <c r="AY19" s="601"/>
      <c r="BA19" s="601"/>
    </row>
    <row r="20" spans="1:53" s="600" customFormat="1" ht="15.6" customHeight="1">
      <c r="A20" s="601">
        <f>MAX($A$7:A19)+1</f>
        <v>14</v>
      </c>
      <c r="B20" s="601"/>
      <c r="C20" s="636">
        <v>566</v>
      </c>
      <c r="D20" s="601"/>
      <c r="E20" s="1" t="s">
        <v>578</v>
      </c>
      <c r="F20" s="1"/>
      <c r="G20" s="1" t="s">
        <v>657</v>
      </c>
      <c r="H20" s="601"/>
      <c r="I20" s="641">
        <v>3479763</v>
      </c>
      <c r="J20" s="1051"/>
      <c r="K20" s="940">
        <f>'Attachment H-4A JCP&amp;L '!$I$184</f>
        <v>0.93947190410079562</v>
      </c>
      <c r="L20" s="601"/>
      <c r="M20" s="722">
        <f t="shared" si="9"/>
        <v>3269139.5714294966</v>
      </c>
      <c r="N20" s="602"/>
      <c r="O20" s="641">
        <v>3762</v>
      </c>
      <c r="P20" s="1051"/>
      <c r="Q20" s="602">
        <f t="shared" si="8"/>
        <v>3265377.5714294966</v>
      </c>
      <c r="R20" s="790"/>
      <c r="S20" s="790"/>
      <c r="T20" s="601"/>
      <c r="U20" s="790"/>
      <c r="W20" s="969"/>
      <c r="X20" s="969"/>
      <c r="Y20" s="969"/>
      <c r="Z20" s="969"/>
      <c r="AA20" s="969"/>
      <c r="AC20" s="602"/>
      <c r="AE20" s="602"/>
      <c r="AG20" s="602"/>
      <c r="AI20" s="602"/>
      <c r="AK20" s="602"/>
      <c r="AM20" s="601"/>
      <c r="AO20" s="601"/>
      <c r="AQ20" s="601"/>
      <c r="AR20" s="601"/>
      <c r="AS20" s="632"/>
      <c r="AU20" s="601"/>
      <c r="AW20" s="601"/>
      <c r="AY20" s="601"/>
      <c r="BA20" s="601"/>
    </row>
    <row r="21" spans="1:53" s="600" customFormat="1" ht="15.6" customHeight="1">
      <c r="A21" s="601">
        <f>MAX($A$7:A20)+1</f>
        <v>15</v>
      </c>
      <c r="B21" s="601"/>
      <c r="C21" s="636">
        <v>567</v>
      </c>
      <c r="D21" s="601"/>
      <c r="E21" s="1" t="s">
        <v>579</v>
      </c>
      <c r="F21" s="1"/>
      <c r="G21" s="1" t="s">
        <v>658</v>
      </c>
      <c r="H21" s="601"/>
      <c r="I21" s="641">
        <v>15029960</v>
      </c>
      <c r="J21" s="1051"/>
      <c r="K21" s="940">
        <f>'Attachment H-4A JCP&amp;L '!$I$184</f>
        <v>0.93947190410079562</v>
      </c>
      <c r="L21" s="601"/>
      <c r="M21" s="722">
        <f t="shared" si="9"/>
        <v>14120225.139758794</v>
      </c>
      <c r="N21" s="602"/>
      <c r="O21" s="641"/>
      <c r="P21" s="1051"/>
      <c r="Q21" s="602">
        <f t="shared" si="8"/>
        <v>14120225.139758794</v>
      </c>
      <c r="R21" s="790"/>
      <c r="S21" s="790"/>
      <c r="T21" s="601"/>
      <c r="U21" s="790"/>
      <c r="W21" s="969"/>
      <c r="X21" s="969"/>
      <c r="Y21" s="969"/>
      <c r="Z21" s="969"/>
      <c r="AA21" s="969"/>
      <c r="AC21" s="602"/>
      <c r="AE21" s="602"/>
      <c r="AG21" s="602"/>
      <c r="AI21" s="602"/>
      <c r="AK21" s="602"/>
      <c r="AM21" s="601"/>
      <c r="AO21" s="601"/>
      <c r="AQ21" s="601"/>
      <c r="AR21" s="601"/>
      <c r="AS21" s="632"/>
      <c r="AU21" s="601"/>
      <c r="AW21" s="601"/>
      <c r="AY21" s="601"/>
      <c r="BA21" s="601"/>
    </row>
    <row r="22" spans="1:53" s="600" customFormat="1" ht="15.6" customHeight="1">
      <c r="A22" s="601">
        <f>MAX($A$7:A21)+1</f>
        <v>16</v>
      </c>
      <c r="B22" s="601"/>
      <c r="C22" s="636">
        <v>568</v>
      </c>
      <c r="D22" s="601"/>
      <c r="E22" s="1" t="s">
        <v>580</v>
      </c>
      <c r="F22" s="1"/>
      <c r="G22" s="1" t="s">
        <v>659</v>
      </c>
      <c r="H22" s="601"/>
      <c r="I22" s="641">
        <v>3032503</v>
      </c>
      <c r="J22" s="1051"/>
      <c r="K22" s="940">
        <f>'Attachment H-4A JCP&amp;L '!$I$184</f>
        <v>0.93947190410079562</v>
      </c>
      <c r="L22" s="601"/>
      <c r="M22" s="722">
        <f t="shared" si="9"/>
        <v>2848951.3676013751</v>
      </c>
      <c r="N22" s="602"/>
      <c r="O22" s="641"/>
      <c r="P22" s="601"/>
      <c r="Q22" s="602">
        <f t="shared" si="8"/>
        <v>2848951.3676013751</v>
      </c>
      <c r="R22" s="790"/>
      <c r="S22" s="790"/>
      <c r="T22" s="601"/>
      <c r="U22" s="790"/>
      <c r="W22" s="969"/>
      <c r="X22" s="969"/>
      <c r="Y22" s="969"/>
      <c r="Z22" s="969"/>
      <c r="AA22" s="969"/>
      <c r="AC22" s="602"/>
      <c r="AE22" s="602"/>
      <c r="AG22" s="602"/>
      <c r="AI22" s="602"/>
      <c r="AK22" s="602"/>
      <c r="AM22" s="601"/>
      <c r="AO22" s="601"/>
      <c r="AQ22" s="601"/>
      <c r="AR22" s="601"/>
      <c r="AS22" s="632"/>
      <c r="AU22" s="601"/>
      <c r="AW22" s="601"/>
      <c r="AY22" s="601"/>
      <c r="BA22" s="601"/>
    </row>
    <row r="23" spans="1:53" s="600" customFormat="1" ht="15.6" customHeight="1">
      <c r="A23" s="601">
        <f>MAX($A$7:A22)+1</f>
        <v>17</v>
      </c>
      <c r="B23" s="601"/>
      <c r="C23" s="636">
        <v>569</v>
      </c>
      <c r="D23" s="601"/>
      <c r="E23" s="1" t="s">
        <v>581</v>
      </c>
      <c r="F23" s="1"/>
      <c r="G23" s="1" t="s">
        <v>660</v>
      </c>
      <c r="H23" s="601"/>
      <c r="I23" s="641"/>
      <c r="J23" s="1051"/>
      <c r="K23" s="940">
        <f>'Attachment H-4A JCP&amp;L '!$I$184</f>
        <v>0.93947190410079562</v>
      </c>
      <c r="L23" s="601"/>
      <c r="M23" s="722">
        <f t="shared" si="9"/>
        <v>0</v>
      </c>
      <c r="N23" s="602"/>
      <c r="O23" s="641"/>
      <c r="P23" s="601"/>
      <c r="Q23" s="602">
        <f t="shared" si="8"/>
        <v>0</v>
      </c>
      <c r="R23" s="790"/>
      <c r="S23" s="790"/>
      <c r="T23" s="601"/>
      <c r="U23" s="790"/>
      <c r="W23" s="969"/>
      <c r="X23" s="969"/>
      <c r="Y23" s="969"/>
      <c r="Z23" s="969"/>
      <c r="AA23" s="969"/>
      <c r="AC23" s="602"/>
      <c r="AE23" s="602"/>
      <c r="AG23" s="602"/>
      <c r="AI23" s="602"/>
      <c r="AK23" s="602"/>
      <c r="AM23" s="601"/>
      <c r="AO23" s="601"/>
      <c r="AQ23" s="601"/>
      <c r="AR23" s="601"/>
      <c r="AS23" s="632"/>
      <c r="AU23" s="601"/>
      <c r="AW23" s="601"/>
      <c r="AY23" s="601"/>
      <c r="BA23" s="601"/>
    </row>
    <row r="24" spans="1:53" s="600" customFormat="1" ht="15.6" customHeight="1">
      <c r="A24" s="601">
        <f>MAX($A$7:A23)+1</f>
        <v>18</v>
      </c>
      <c r="B24" s="601"/>
      <c r="C24" s="636">
        <v>569.1</v>
      </c>
      <c r="D24" s="601"/>
      <c r="E24" s="1" t="s">
        <v>582</v>
      </c>
      <c r="F24" s="1"/>
      <c r="G24" s="1" t="s">
        <v>661</v>
      </c>
      <c r="H24" s="601"/>
      <c r="I24" s="641">
        <v>64902</v>
      </c>
      <c r="J24" s="1051"/>
      <c r="K24" s="940">
        <f>'Attachment H-4A JCP&amp;L '!$I$184</f>
        <v>0.93947190410079562</v>
      </c>
      <c r="L24" s="601"/>
      <c r="M24" s="722">
        <f>I24*K24</f>
        <v>60973.605519949837</v>
      </c>
      <c r="N24" s="602"/>
      <c r="O24" s="641"/>
      <c r="P24" s="601"/>
      <c r="Q24" s="602">
        <f t="shared" si="8"/>
        <v>60973.605519949837</v>
      </c>
      <c r="R24" s="790"/>
      <c r="S24" s="790"/>
      <c r="T24" s="601"/>
      <c r="U24" s="790"/>
      <c r="W24" s="969"/>
      <c r="X24" s="969"/>
      <c r="Y24" s="969"/>
      <c r="Z24" s="969"/>
      <c r="AA24" s="969"/>
      <c r="AC24" s="602"/>
      <c r="AE24" s="602"/>
      <c r="AG24" s="602"/>
      <c r="AI24" s="602"/>
      <c r="AK24" s="602"/>
      <c r="AM24" s="601"/>
      <c r="AO24" s="601"/>
      <c r="AQ24" s="601"/>
      <c r="AR24" s="601"/>
      <c r="AS24" s="632"/>
      <c r="AU24" s="601"/>
      <c r="AW24" s="601"/>
      <c r="AY24" s="601"/>
      <c r="BA24" s="601"/>
    </row>
    <row r="25" spans="1:53" s="600" customFormat="1" ht="15.6" customHeight="1">
      <c r="A25" s="601">
        <f>MAX($A$7:A24)+1</f>
        <v>19</v>
      </c>
      <c r="B25" s="601"/>
      <c r="C25" s="636">
        <v>569.20000000000005</v>
      </c>
      <c r="D25" s="601"/>
      <c r="E25" s="1" t="s">
        <v>583</v>
      </c>
      <c r="F25" s="1"/>
      <c r="G25" s="1" t="s">
        <v>662</v>
      </c>
      <c r="H25" s="601"/>
      <c r="I25" s="641">
        <v>151852</v>
      </c>
      <c r="J25" s="1051"/>
      <c r="K25" s="940">
        <f>'Attachment H-4A JCP&amp;L '!$I$184</f>
        <v>0.93947190410079562</v>
      </c>
      <c r="L25" s="601"/>
      <c r="M25" s="722">
        <f t="shared" si="9"/>
        <v>142660.68758151401</v>
      </c>
      <c r="N25" s="602"/>
      <c r="O25" s="641"/>
      <c r="P25" s="601"/>
      <c r="Q25" s="602">
        <f t="shared" si="8"/>
        <v>142660.68758151401</v>
      </c>
      <c r="R25" s="790"/>
      <c r="S25" s="790"/>
      <c r="T25" s="601"/>
      <c r="U25" s="790"/>
      <c r="W25" s="969"/>
      <c r="X25" s="969"/>
      <c r="Y25" s="969"/>
      <c r="Z25" s="969"/>
      <c r="AA25" s="969"/>
      <c r="AC25" s="602"/>
      <c r="AE25" s="602"/>
      <c r="AG25" s="602"/>
      <c r="AI25" s="602"/>
      <c r="AK25" s="602"/>
      <c r="AM25" s="601"/>
      <c r="AO25" s="601"/>
      <c r="AQ25" s="601"/>
      <c r="AR25" s="601"/>
      <c r="AS25" s="632"/>
      <c r="AU25" s="601"/>
      <c r="AW25" s="601"/>
      <c r="AY25" s="601"/>
      <c r="BA25" s="601"/>
    </row>
    <row r="26" spans="1:53" s="600" customFormat="1" ht="15.6" customHeight="1">
      <c r="A26" s="601">
        <f>MAX($A$7:A25)+1</f>
        <v>20</v>
      </c>
      <c r="B26" s="601"/>
      <c r="C26" s="636">
        <v>569.29999999999995</v>
      </c>
      <c r="D26" s="601"/>
      <c r="E26" s="1" t="s">
        <v>584</v>
      </c>
      <c r="F26" s="1"/>
      <c r="G26" s="1" t="s">
        <v>663</v>
      </c>
      <c r="H26" s="601"/>
      <c r="I26" s="641">
        <v>267726</v>
      </c>
      <c r="J26" s="1051"/>
      <c r="K26" s="940">
        <f>'Attachment H-4A JCP&amp;L '!$I$184</f>
        <v>0.93947190410079562</v>
      </c>
      <c r="L26" s="601"/>
      <c r="M26" s="722">
        <f t="shared" si="9"/>
        <v>251521.05499728961</v>
      </c>
      <c r="N26" s="602"/>
      <c r="O26" s="641"/>
      <c r="P26" s="601"/>
      <c r="Q26" s="602">
        <f t="shared" si="8"/>
        <v>251521.05499728961</v>
      </c>
      <c r="R26" s="790"/>
      <c r="S26" s="790"/>
      <c r="T26" s="601"/>
      <c r="U26" s="790"/>
      <c r="W26" s="969"/>
      <c r="X26" s="969"/>
      <c r="Y26" s="969"/>
      <c r="Z26" s="969"/>
      <c r="AA26" s="969"/>
      <c r="AC26" s="602"/>
      <c r="AE26" s="602"/>
      <c r="AG26" s="602"/>
      <c r="AI26" s="602"/>
      <c r="AK26" s="602"/>
      <c r="AM26" s="601"/>
      <c r="AO26" s="601"/>
      <c r="AQ26" s="601"/>
      <c r="AR26" s="601"/>
      <c r="AS26" s="632"/>
      <c r="AU26" s="601"/>
      <c r="AW26" s="601"/>
      <c r="AY26" s="601"/>
      <c r="BA26" s="601"/>
    </row>
    <row r="27" spans="1:53" s="600" customFormat="1" ht="15.6" customHeight="1">
      <c r="A27" s="601">
        <f>MAX($A$7:A26)+1</f>
        <v>21</v>
      </c>
      <c r="B27" s="601"/>
      <c r="C27" s="636">
        <v>569.4</v>
      </c>
      <c r="D27" s="601"/>
      <c r="E27" s="1" t="s">
        <v>585</v>
      </c>
      <c r="F27" s="1"/>
      <c r="G27" s="1" t="s">
        <v>664</v>
      </c>
      <c r="H27" s="601"/>
      <c r="I27" s="641"/>
      <c r="J27" s="1051"/>
      <c r="K27" s="940">
        <f>'Attachment H-4A JCP&amp;L '!$I$184</f>
        <v>0.93947190410079562</v>
      </c>
      <c r="L27" s="601"/>
      <c r="M27" s="722">
        <f t="shared" si="9"/>
        <v>0</v>
      </c>
      <c r="N27" s="602"/>
      <c r="O27" s="641"/>
      <c r="P27" s="601"/>
      <c r="Q27" s="602">
        <f t="shared" si="8"/>
        <v>0</v>
      </c>
      <c r="R27" s="790"/>
      <c r="S27" s="790"/>
      <c r="T27" s="601"/>
      <c r="U27" s="790"/>
      <c r="W27" s="969"/>
      <c r="X27" s="969"/>
      <c r="Y27" s="969"/>
      <c r="Z27" s="969"/>
      <c r="AA27" s="969"/>
      <c r="AC27" s="602"/>
      <c r="AE27" s="602"/>
      <c r="AG27" s="602"/>
      <c r="AI27" s="602"/>
      <c r="AK27" s="602"/>
      <c r="AM27" s="601"/>
      <c r="AO27" s="601"/>
      <c r="AQ27" s="601"/>
      <c r="AR27" s="601"/>
      <c r="AS27" s="632"/>
      <c r="AU27" s="601"/>
      <c r="AW27" s="601"/>
      <c r="AY27" s="601"/>
      <c r="BA27" s="601"/>
    </row>
    <row r="28" spans="1:53" s="600" customFormat="1">
      <c r="A28" s="601">
        <f>MAX($A$7:A27)+1</f>
        <v>22</v>
      </c>
      <c r="B28" s="601"/>
      <c r="C28" s="636">
        <v>570</v>
      </c>
      <c r="D28" s="601"/>
      <c r="E28" s="1" t="s">
        <v>586</v>
      </c>
      <c r="F28" s="1"/>
      <c r="G28" s="1" t="s">
        <v>665</v>
      </c>
      <c r="H28" s="601"/>
      <c r="I28" s="641">
        <v>5093460</v>
      </c>
      <c r="J28" s="1051"/>
      <c r="K28" s="940">
        <f>'Attachment H-4A JCP&amp;L '!$I$184</f>
        <v>0.93947190410079562</v>
      </c>
      <c r="L28" s="601"/>
      <c r="M28" s="722">
        <f t="shared" si="9"/>
        <v>4785162.5646612383</v>
      </c>
      <c r="N28" s="602"/>
      <c r="O28" s="641"/>
      <c r="P28" s="601"/>
      <c r="Q28" s="602">
        <f t="shared" si="8"/>
        <v>4785162.5646612383</v>
      </c>
      <c r="R28" s="790"/>
      <c r="S28" s="790"/>
      <c r="T28" s="601"/>
      <c r="U28" s="790"/>
      <c r="W28" s="602"/>
      <c r="Y28" s="602"/>
      <c r="AA28" s="602"/>
      <c r="AC28" s="602"/>
      <c r="AE28" s="602"/>
      <c r="AG28" s="602"/>
      <c r="AI28" s="602"/>
      <c r="AK28" s="602"/>
      <c r="AM28" s="601"/>
      <c r="AO28" s="601"/>
      <c r="AQ28" s="601"/>
      <c r="AR28" s="601"/>
      <c r="AS28" s="632"/>
      <c r="AU28" s="601"/>
      <c r="AW28" s="601"/>
      <c r="AY28" s="601"/>
      <c r="BA28" s="601"/>
    </row>
    <row r="29" spans="1:53" s="600" customFormat="1">
      <c r="A29" s="601">
        <f>MAX($A$7:A28)+1</f>
        <v>23</v>
      </c>
      <c r="B29" s="601"/>
      <c r="C29" s="636">
        <v>571</v>
      </c>
      <c r="D29" s="601"/>
      <c r="E29" s="1" t="s">
        <v>587</v>
      </c>
      <c r="F29" s="1"/>
      <c r="G29" s="1" t="s">
        <v>666</v>
      </c>
      <c r="H29" s="601"/>
      <c r="I29" s="641">
        <v>20302662</v>
      </c>
      <c r="J29" s="1051"/>
      <c r="K29" s="940">
        <f>'Attachment H-4A JCP&amp;L '!$I$184</f>
        <v>0.93947190410079562</v>
      </c>
      <c r="L29" s="601"/>
      <c r="M29" s="722">
        <f t="shared" si="9"/>
        <v>19073780.527454868</v>
      </c>
      <c r="N29" s="602"/>
      <c r="O29" s="641"/>
      <c r="P29" s="601"/>
      <c r="Q29" s="602">
        <f t="shared" si="8"/>
        <v>19073780.527454868</v>
      </c>
      <c r="R29" s="790"/>
      <c r="S29" s="790"/>
      <c r="T29" s="601"/>
      <c r="U29" s="790"/>
      <c r="W29" s="602"/>
      <c r="Y29" s="602"/>
      <c r="AA29" s="602"/>
      <c r="AC29" s="602"/>
      <c r="AE29" s="602"/>
      <c r="AG29" s="602"/>
      <c r="AI29" s="602"/>
      <c r="AK29" s="602"/>
      <c r="AM29" s="601"/>
      <c r="AO29" s="601"/>
      <c r="AQ29" s="601"/>
      <c r="AR29" s="601"/>
      <c r="AS29" s="632"/>
      <c r="AU29" s="601"/>
      <c r="AW29" s="601"/>
      <c r="AY29" s="601"/>
      <c r="BA29" s="601"/>
    </row>
    <row r="30" spans="1:53" s="600" customFormat="1">
      <c r="A30" s="601">
        <f>MAX($A$7:A29)+1</f>
        <v>24</v>
      </c>
      <c r="B30" s="601"/>
      <c r="C30" s="636">
        <v>572</v>
      </c>
      <c r="D30" s="601"/>
      <c r="E30" s="1" t="s">
        <v>588</v>
      </c>
      <c r="F30" s="1"/>
      <c r="G30" s="1" t="s">
        <v>667</v>
      </c>
      <c r="H30" s="601"/>
      <c r="I30" s="641">
        <v>36863</v>
      </c>
      <c r="J30" s="1051"/>
      <c r="K30" s="940">
        <f>'Attachment H-4A JCP&amp;L '!$I$184</f>
        <v>0.93947190410079562</v>
      </c>
      <c r="L30" s="601"/>
      <c r="M30" s="722">
        <f t="shared" si="9"/>
        <v>34631.752800867631</v>
      </c>
      <c r="N30" s="602"/>
      <c r="O30" s="641"/>
      <c r="P30" s="601"/>
      <c r="Q30" s="602">
        <f t="shared" si="8"/>
        <v>34631.752800867631</v>
      </c>
      <c r="R30" s="790"/>
      <c r="S30" s="790"/>
      <c r="T30" s="601"/>
      <c r="U30" s="790"/>
      <c r="W30" s="602"/>
      <c r="Y30" s="602"/>
      <c r="AA30" s="602"/>
      <c r="AC30" s="602"/>
      <c r="AE30" s="602"/>
      <c r="AG30" s="602"/>
      <c r="AI30" s="602"/>
      <c r="AK30" s="602"/>
      <c r="AM30" s="601"/>
      <c r="AO30" s="601"/>
      <c r="AQ30" s="601"/>
      <c r="AR30" s="601"/>
      <c r="AS30" s="632"/>
      <c r="AU30" s="601"/>
      <c r="AW30" s="601"/>
      <c r="AY30" s="601"/>
      <c r="BA30" s="601"/>
    </row>
    <row r="31" spans="1:53" s="600" customFormat="1">
      <c r="A31" s="601">
        <f>MAX($A$7:A30)+1</f>
        <v>25</v>
      </c>
      <c r="B31" s="601"/>
      <c r="C31" s="636">
        <v>573</v>
      </c>
      <c r="D31" s="601"/>
      <c r="E31" s="1" t="s">
        <v>589</v>
      </c>
      <c r="F31" s="1"/>
      <c r="G31" s="1" t="s">
        <v>668</v>
      </c>
      <c r="H31" s="601"/>
      <c r="I31" s="641">
        <v>303542</v>
      </c>
      <c r="J31" s="1051"/>
      <c r="K31" s="940">
        <f>'Attachment H-4A JCP&amp;L '!$I$184</f>
        <v>0.93947190410079562</v>
      </c>
      <c r="L31" s="601"/>
      <c r="M31" s="833">
        <f t="shared" si="9"/>
        <v>285169.1807145637</v>
      </c>
      <c r="N31" s="602"/>
      <c r="O31" s="641"/>
      <c r="P31" s="601"/>
      <c r="Q31" s="602">
        <f t="shared" si="8"/>
        <v>285169.1807145637</v>
      </c>
      <c r="R31" s="790"/>
      <c r="S31" s="790"/>
      <c r="T31" s="601"/>
      <c r="U31" s="790"/>
      <c r="W31" s="602"/>
      <c r="Y31" s="602"/>
      <c r="AA31" s="602"/>
      <c r="AC31" s="602"/>
      <c r="AE31" s="602"/>
      <c r="AG31" s="602"/>
      <c r="AI31" s="602"/>
      <c r="AK31" s="602"/>
      <c r="AM31" s="601"/>
      <c r="AO31" s="601"/>
      <c r="AQ31" s="601"/>
      <c r="AR31" s="601"/>
      <c r="AS31" s="632"/>
      <c r="AU31" s="601"/>
      <c r="AW31" s="601"/>
      <c r="AY31" s="601"/>
      <c r="BA31" s="601"/>
    </row>
    <row r="32" spans="1:53" s="600" customFormat="1">
      <c r="A32" s="601">
        <f>MAX($A$7:A31)+1</f>
        <v>26</v>
      </c>
      <c r="B32" s="601"/>
      <c r="D32" s="601"/>
      <c r="E32" s="628" t="str">
        <f>"Sum of Lines "&amp;A7&amp;" through "&amp;A31</f>
        <v>Sum of Lines 1 through 25</v>
      </c>
      <c r="F32" s="628"/>
      <c r="G32" s="628"/>
      <c r="H32" s="601"/>
      <c r="I32" s="605">
        <f>SUM(I7:I31)</f>
        <v>53884910</v>
      </c>
      <c r="J32" s="1051"/>
      <c r="K32" s="601"/>
      <c r="L32" s="601"/>
      <c r="M32" s="631">
        <f>SUM(M7:M31)</f>
        <v>50623359</v>
      </c>
      <c r="N32" s="605"/>
      <c r="O32" s="605">
        <f>SUM(O7:O31)</f>
        <v>5345.0101584098411</v>
      </c>
      <c r="P32" s="601"/>
      <c r="Q32" s="605">
        <f>SUM(Q7:Q31)</f>
        <v>50618013.989841595</v>
      </c>
      <c r="R32" s="790"/>
      <c r="S32" s="790"/>
      <c r="T32" s="601"/>
      <c r="U32" s="790"/>
      <c r="W32" s="602"/>
      <c r="Y32" s="602"/>
      <c r="AA32" s="602"/>
      <c r="AC32" s="602"/>
      <c r="AE32" s="602"/>
      <c r="AG32" s="602"/>
      <c r="AI32" s="602"/>
      <c r="AK32" s="602"/>
      <c r="AM32" s="601"/>
      <c r="AO32" s="601"/>
      <c r="AQ32" s="601"/>
      <c r="AR32" s="601"/>
      <c r="AS32" s="632"/>
      <c r="AU32" s="601"/>
      <c r="AW32" s="601"/>
      <c r="AY32" s="601"/>
      <c r="BA32" s="601"/>
    </row>
    <row r="33" spans="1:55" s="600" customFormat="1">
      <c r="A33" s="601"/>
      <c r="B33" s="601"/>
      <c r="C33" s="636"/>
      <c r="D33" s="601"/>
      <c r="E33" s="602"/>
      <c r="F33" s="602"/>
      <c r="G33" s="602"/>
      <c r="H33" s="601"/>
      <c r="I33" s="602"/>
      <c r="J33" s="601"/>
      <c r="K33" s="601"/>
      <c r="L33" s="601"/>
      <c r="M33" s="601"/>
      <c r="N33" s="601"/>
      <c r="O33" s="601"/>
      <c r="P33" s="601"/>
      <c r="Q33" s="601"/>
      <c r="R33" s="601"/>
      <c r="S33" s="602"/>
      <c r="T33" s="602"/>
      <c r="U33" s="602"/>
      <c r="V33" s="601"/>
      <c r="W33" s="602"/>
      <c r="Y33" s="602"/>
      <c r="AA33" s="602"/>
      <c r="AC33" s="602"/>
      <c r="AE33" s="602"/>
      <c r="AG33" s="602"/>
      <c r="AI33" s="602"/>
      <c r="AK33" s="602"/>
      <c r="AM33" s="602"/>
      <c r="AO33" s="601"/>
      <c r="AQ33" s="601"/>
      <c r="AS33" s="601"/>
      <c r="AT33" s="601"/>
      <c r="AU33" s="632"/>
      <c r="AW33" s="601"/>
      <c r="AY33" s="601"/>
      <c r="BA33" s="601"/>
      <c r="BC33" s="601"/>
    </row>
    <row r="34" spans="1:55" s="600" customFormat="1">
      <c r="A34" s="601"/>
      <c r="B34" s="601"/>
      <c r="C34" s="636"/>
      <c r="D34" s="601"/>
      <c r="E34" s="602"/>
      <c r="F34" s="602"/>
      <c r="G34" s="602"/>
      <c r="H34" s="601"/>
      <c r="I34" s="737"/>
      <c r="J34" s="601"/>
      <c r="K34" s="749"/>
      <c r="L34" s="601"/>
      <c r="M34" s="601"/>
      <c r="N34" s="601"/>
      <c r="O34" s="601"/>
      <c r="P34" s="601"/>
      <c r="Q34" s="601"/>
      <c r="R34" s="601"/>
      <c r="S34" s="602"/>
      <c r="T34" s="602"/>
      <c r="U34" s="602"/>
      <c r="V34" s="601"/>
      <c r="W34" s="602"/>
      <c r="Y34" s="602"/>
      <c r="AA34" s="602"/>
      <c r="AC34" s="602"/>
      <c r="AE34" s="602"/>
      <c r="AG34" s="602"/>
      <c r="AI34" s="602"/>
      <c r="AK34" s="602"/>
      <c r="AM34" s="602"/>
      <c r="AO34" s="601"/>
      <c r="AQ34" s="601"/>
      <c r="AS34" s="601"/>
      <c r="AT34" s="601"/>
      <c r="AU34" s="632"/>
      <c r="AW34" s="601"/>
      <c r="AY34" s="601"/>
      <c r="BA34" s="601"/>
      <c r="BC34" s="601"/>
    </row>
    <row r="35" spans="1:55" s="600" customFormat="1">
      <c r="A35" s="601"/>
      <c r="B35" s="601"/>
      <c r="C35" s="636"/>
      <c r="D35" s="601"/>
      <c r="E35" s="602"/>
      <c r="F35" s="602"/>
      <c r="G35" s="602"/>
      <c r="H35" s="601"/>
      <c r="I35" s="602"/>
      <c r="J35" s="601"/>
      <c r="K35" s="601"/>
      <c r="L35" s="601"/>
      <c r="M35" s="601"/>
      <c r="N35" s="601"/>
      <c r="O35" s="601"/>
      <c r="P35" s="601"/>
      <c r="Q35" s="601"/>
      <c r="R35" s="601"/>
      <c r="S35" s="602"/>
      <c r="T35" s="602"/>
      <c r="U35" s="602"/>
      <c r="V35" s="601"/>
      <c r="W35" s="602"/>
      <c r="Y35" s="602"/>
      <c r="AA35" s="602"/>
      <c r="AC35" s="602"/>
      <c r="AE35" s="602"/>
      <c r="AG35" s="602"/>
      <c r="AI35" s="602"/>
      <c r="AK35" s="602"/>
      <c r="AM35" s="602"/>
      <c r="AO35" s="601"/>
      <c r="AQ35" s="601"/>
      <c r="AS35" s="601"/>
      <c r="AT35" s="601"/>
      <c r="AU35" s="632"/>
      <c r="AW35" s="601"/>
      <c r="AY35" s="601"/>
      <c r="BA35" s="601"/>
      <c r="BC35" s="601"/>
    </row>
    <row r="36" spans="1:55" s="600" customFormat="1">
      <c r="A36" s="601"/>
      <c r="B36" s="601"/>
      <c r="C36" s="636"/>
      <c r="D36" s="601"/>
      <c r="E36" s="602"/>
      <c r="F36" s="602"/>
      <c r="G36" s="602"/>
      <c r="H36" s="601"/>
      <c r="I36" s="602"/>
      <c r="J36" s="601"/>
      <c r="K36" s="601"/>
      <c r="L36" s="601"/>
      <c r="M36" s="601"/>
      <c r="N36" s="601"/>
      <c r="O36" s="601"/>
      <c r="P36" s="601"/>
      <c r="Q36" s="601"/>
      <c r="R36" s="601"/>
      <c r="S36" s="602"/>
      <c r="T36" s="602"/>
      <c r="U36" s="602"/>
      <c r="V36" s="601"/>
      <c r="W36" s="602"/>
      <c r="Y36" s="602"/>
      <c r="AA36" s="602"/>
      <c r="AC36" s="602"/>
      <c r="AE36" s="602"/>
      <c r="AG36" s="602"/>
      <c r="AI36" s="602"/>
      <c r="AK36" s="602"/>
      <c r="AM36" s="602"/>
      <c r="AO36" s="601"/>
      <c r="AQ36" s="601"/>
      <c r="AS36" s="601"/>
      <c r="AT36" s="601"/>
      <c r="AU36" s="632"/>
      <c r="AW36" s="601"/>
      <c r="AY36" s="601"/>
      <c r="BA36" s="601"/>
      <c r="BC36" s="601"/>
    </row>
    <row r="37" spans="1:55" s="600" customFormat="1" ht="46.2" customHeight="1">
      <c r="A37" s="618" t="s">
        <v>5</v>
      </c>
      <c r="B37" s="611"/>
      <c r="C37" s="618" t="s">
        <v>638</v>
      </c>
      <c r="D37" s="611"/>
      <c r="E37" s="918" t="s">
        <v>639</v>
      </c>
      <c r="F37" s="919"/>
      <c r="G37" s="889" t="s">
        <v>643</v>
      </c>
      <c r="H37" s="611"/>
      <c r="I37" s="889" t="s">
        <v>640</v>
      </c>
      <c r="J37" s="836" t="s">
        <v>641</v>
      </c>
      <c r="K37" s="917" t="s">
        <v>939</v>
      </c>
      <c r="L37" s="917" t="s">
        <v>60</v>
      </c>
      <c r="M37" s="917" t="s">
        <v>821</v>
      </c>
      <c r="N37" s="611" t="s">
        <v>823</v>
      </c>
      <c r="O37" s="889" t="s">
        <v>10</v>
      </c>
      <c r="P37" s="917" t="s">
        <v>60</v>
      </c>
      <c r="Q37" s="889" t="s">
        <v>822</v>
      </c>
      <c r="R37" s="889" t="s">
        <v>641</v>
      </c>
      <c r="S37" s="889" t="s">
        <v>824</v>
      </c>
      <c r="T37" s="836" t="s">
        <v>60</v>
      </c>
      <c r="U37" s="889" t="s">
        <v>825</v>
      </c>
      <c r="W37" s="602"/>
      <c r="Y37" s="602"/>
      <c r="AA37" s="602"/>
      <c r="AC37" s="602"/>
      <c r="AE37" s="602"/>
      <c r="AG37" s="602"/>
      <c r="AI37" s="602"/>
      <c r="AK37" s="602"/>
      <c r="AM37" s="601"/>
      <c r="AO37" s="601"/>
      <c r="AQ37" s="601"/>
      <c r="AR37" s="601"/>
      <c r="AS37" s="632"/>
      <c r="AU37" s="601"/>
      <c r="AW37" s="601"/>
      <c r="AY37" s="601"/>
      <c r="BA37" s="601"/>
    </row>
    <row r="38" spans="1:55" s="600" customFormat="1">
      <c r="A38" s="601">
        <f>MAX($A$7:A33)+1</f>
        <v>27</v>
      </c>
      <c r="B38" s="601"/>
      <c r="C38" s="636">
        <v>920</v>
      </c>
      <c r="D38" s="601"/>
      <c r="E38" s="1" t="s">
        <v>590</v>
      </c>
      <c r="F38" s="1"/>
      <c r="G38" s="1" t="s">
        <v>669</v>
      </c>
      <c r="H38" s="601"/>
      <c r="I38" s="641">
        <v>35097951</v>
      </c>
      <c r="J38" s="1051"/>
      <c r="K38" s="641"/>
      <c r="L38" s="1051"/>
      <c r="M38" s="631">
        <f>I38-K38</f>
        <v>35097951</v>
      </c>
      <c r="N38" s="631"/>
      <c r="O38" s="785">
        <f>'Attachment H-4A JCP&amp;L '!$I$192</f>
        <v>8.0618739267835124E-2</v>
      </c>
      <c r="P38" s="785"/>
      <c r="Q38" s="722">
        <f>M38*O38</f>
        <v>2829552.560504253</v>
      </c>
      <c r="R38" s="602"/>
      <c r="S38" s="641">
        <v>4</v>
      </c>
      <c r="T38" s="1051"/>
      <c r="U38" s="602">
        <f>Q38-S38</f>
        <v>2829548.560504253</v>
      </c>
      <c r="W38" s="602"/>
      <c r="Y38" s="602"/>
      <c r="AA38" s="602"/>
      <c r="AC38" s="602"/>
      <c r="AE38" s="602"/>
      <c r="AG38" s="602"/>
      <c r="AI38" s="602"/>
      <c r="AK38" s="602"/>
      <c r="AM38" s="601"/>
      <c r="AO38" s="601"/>
      <c r="AQ38" s="601"/>
      <c r="AR38" s="601"/>
      <c r="AS38" s="632"/>
      <c r="AU38" s="601"/>
      <c r="AW38" s="601"/>
      <c r="AY38" s="601"/>
      <c r="BA38" s="601"/>
    </row>
    <row r="39" spans="1:55" s="600" customFormat="1">
      <c r="A39" s="601">
        <f>MAX($A$7:A38)+1</f>
        <v>28</v>
      </c>
      <c r="B39" s="601"/>
      <c r="C39" s="636">
        <v>921</v>
      </c>
      <c r="D39" s="601"/>
      <c r="E39" s="1" t="s">
        <v>591</v>
      </c>
      <c r="F39" s="1"/>
      <c r="G39" s="1" t="s">
        <v>670</v>
      </c>
      <c r="H39" s="601"/>
      <c r="I39" s="641">
        <v>1641003</v>
      </c>
      <c r="J39" s="1051"/>
      <c r="K39" s="641"/>
      <c r="L39" s="1051"/>
      <c r="M39" s="631">
        <f>I39-K39</f>
        <v>1641003</v>
      </c>
      <c r="N39" s="631"/>
      <c r="O39" s="785">
        <f>'Attachment H-4A JCP&amp;L '!$I$192</f>
        <v>8.0618739267835124E-2</v>
      </c>
      <c r="P39" s="785"/>
      <c r="Q39" s="722">
        <f>M39*O39</f>
        <v>132295.59299473526</v>
      </c>
      <c r="R39" s="602"/>
      <c r="S39" s="641">
        <v>-16453</v>
      </c>
      <c r="T39" s="1051"/>
      <c r="U39" s="602">
        <f t="shared" ref="U39:U51" si="10">Q39-S39</f>
        <v>148748.59299473526</v>
      </c>
      <c r="W39" s="602"/>
      <c r="Y39" s="602"/>
      <c r="AA39" s="602"/>
      <c r="AC39" s="602"/>
      <c r="AE39" s="602"/>
      <c r="AG39" s="602"/>
      <c r="AI39" s="602"/>
      <c r="AK39" s="602"/>
      <c r="AM39" s="601"/>
      <c r="AO39" s="601"/>
      <c r="AQ39" s="601"/>
      <c r="AR39" s="601"/>
      <c r="AS39" s="632"/>
      <c r="AU39" s="601"/>
      <c r="AW39" s="601"/>
      <c r="AY39" s="601"/>
      <c r="BA39" s="601"/>
    </row>
    <row r="40" spans="1:55" s="600" customFormat="1" ht="15.6" customHeight="1">
      <c r="A40" s="601">
        <f>MAX($A$7:A39)+1</f>
        <v>29</v>
      </c>
      <c r="B40" s="601"/>
      <c r="C40" s="636">
        <v>922</v>
      </c>
      <c r="D40" s="601"/>
      <c r="E40" s="1" t="s">
        <v>592</v>
      </c>
      <c r="F40" s="1"/>
      <c r="G40" s="1" t="s">
        <v>671</v>
      </c>
      <c r="H40" s="601"/>
      <c r="I40" s="641">
        <v>-10093898</v>
      </c>
      <c r="J40" s="1051"/>
      <c r="K40" s="641"/>
      <c r="L40" s="1051"/>
      <c r="M40" s="631">
        <f t="shared" ref="M40:M51" si="11">I40-K40</f>
        <v>-10093898</v>
      </c>
      <c r="N40" s="631"/>
      <c r="O40" s="785">
        <f>'Attachment H-4A JCP&amp;L '!$I$192</f>
        <v>8.0618739267835124E-2</v>
      </c>
      <c r="P40" s="785"/>
      <c r="Q40" s="722">
        <f t="shared" ref="Q40:Q51" si="12">M40*O40</f>
        <v>-813757.33105812245</v>
      </c>
      <c r="R40" s="602"/>
      <c r="S40" s="641"/>
      <c r="T40" s="1051"/>
      <c r="U40" s="602">
        <f t="shared" si="10"/>
        <v>-813757.33105812245</v>
      </c>
      <c r="W40" s="782"/>
      <c r="X40" s="782"/>
      <c r="Y40" s="782"/>
      <c r="Z40" s="782"/>
      <c r="AA40" s="782"/>
      <c r="AB40" s="782"/>
      <c r="AC40" s="782"/>
      <c r="AD40" s="782"/>
      <c r="AE40" s="782"/>
      <c r="AF40" s="782"/>
      <c r="AG40" s="782"/>
      <c r="AH40" s="782"/>
      <c r="AI40" s="782"/>
      <c r="AK40" s="602"/>
      <c r="AM40" s="601"/>
      <c r="AO40" s="601"/>
      <c r="AQ40" s="601"/>
      <c r="AR40" s="601"/>
      <c r="AS40" s="632"/>
      <c r="AU40" s="601"/>
      <c r="AW40" s="601"/>
      <c r="AY40" s="601"/>
      <c r="BA40" s="601"/>
    </row>
    <row r="41" spans="1:55" s="600" customFormat="1">
      <c r="A41" s="601">
        <f>MAX($A$7:A40)+1</f>
        <v>30</v>
      </c>
      <c r="B41" s="601"/>
      <c r="C41" s="636">
        <v>923</v>
      </c>
      <c r="D41" s="601"/>
      <c r="E41" s="1" t="s">
        <v>593</v>
      </c>
      <c r="F41" s="1"/>
      <c r="G41" s="1" t="s">
        <v>672</v>
      </c>
      <c r="H41" s="601"/>
      <c r="I41" s="641">
        <v>95799423</v>
      </c>
      <c r="J41" s="1051"/>
      <c r="K41" s="641"/>
      <c r="L41" s="1051"/>
      <c r="M41" s="631">
        <f t="shared" si="11"/>
        <v>95799423</v>
      </c>
      <c r="N41" s="631"/>
      <c r="O41" s="785">
        <f>'Attachment H-4A JCP&amp;L '!$I$192</f>
        <v>8.0618739267835124E-2</v>
      </c>
      <c r="P41" s="785"/>
      <c r="Q41" s="722">
        <f>M41*O41</f>
        <v>7723228.7048460469</v>
      </c>
      <c r="R41" s="602"/>
      <c r="S41" s="641">
        <v>4930026</v>
      </c>
      <c r="T41" s="1051"/>
      <c r="U41" s="602">
        <f>Q41-S41</f>
        <v>2793202.7048460469</v>
      </c>
      <c r="W41" s="782"/>
      <c r="X41" s="782"/>
      <c r="Y41" s="782"/>
      <c r="Z41" s="782"/>
      <c r="AA41" s="782"/>
      <c r="AB41" s="782"/>
      <c r="AC41" s="782"/>
      <c r="AD41" s="782"/>
      <c r="AE41" s="782"/>
      <c r="AF41" s="782"/>
      <c r="AG41" s="782"/>
      <c r="AH41" s="782"/>
      <c r="AI41" s="782"/>
      <c r="AK41" s="602"/>
      <c r="AM41" s="601"/>
      <c r="AO41" s="601"/>
      <c r="AQ41" s="601"/>
      <c r="AR41" s="601"/>
      <c r="AS41" s="632"/>
      <c r="AU41" s="601"/>
      <c r="AW41" s="601"/>
      <c r="AY41" s="601"/>
      <c r="BA41" s="601"/>
    </row>
    <row r="42" spans="1:55" s="600" customFormat="1" ht="15.6" customHeight="1">
      <c r="A42" s="601">
        <f>MAX($A$7:A41)+1</f>
        <v>31</v>
      </c>
      <c r="B42" s="601"/>
      <c r="C42" s="636">
        <v>924</v>
      </c>
      <c r="D42" s="601"/>
      <c r="E42" s="1" t="s">
        <v>594</v>
      </c>
      <c r="F42" s="1"/>
      <c r="G42" s="1" t="s">
        <v>673</v>
      </c>
      <c r="H42" s="601"/>
      <c r="I42" s="641">
        <v>-62232</v>
      </c>
      <c r="J42" s="1051"/>
      <c r="K42" s="641"/>
      <c r="L42" s="1051"/>
      <c r="M42" s="631">
        <f t="shared" si="11"/>
        <v>-62232</v>
      </c>
      <c r="N42" s="631"/>
      <c r="O42" s="785">
        <f>'Attachment H-4A JCP&amp;L '!$I$192</f>
        <v>8.0618739267835124E-2</v>
      </c>
      <c r="P42" s="785"/>
      <c r="Q42" s="722">
        <f>M42*O42</f>
        <v>-5017.0653821159158</v>
      </c>
      <c r="R42" s="602"/>
      <c r="S42" s="641"/>
      <c r="T42" s="1051"/>
      <c r="U42" s="602">
        <f t="shared" si="10"/>
        <v>-5017.0653821159158</v>
      </c>
      <c r="V42" s="789"/>
      <c r="W42" s="782"/>
      <c r="X42" s="782"/>
      <c r="Y42" s="782"/>
      <c r="Z42" s="782"/>
      <c r="AA42" s="782"/>
      <c r="AB42" s="782"/>
      <c r="AC42" s="782"/>
      <c r="AD42" s="782"/>
      <c r="AE42" s="782"/>
      <c r="AF42" s="782"/>
      <c r="AG42" s="782"/>
      <c r="AH42" s="782"/>
      <c r="AI42" s="782"/>
      <c r="AK42" s="602"/>
      <c r="AM42" s="601"/>
      <c r="AO42" s="601"/>
      <c r="AQ42" s="601"/>
      <c r="AR42" s="601"/>
      <c r="AS42" s="632"/>
      <c r="AU42" s="601"/>
      <c r="AW42" s="601"/>
      <c r="AY42" s="601"/>
      <c r="BA42" s="601"/>
    </row>
    <row r="43" spans="1:55" s="600" customFormat="1">
      <c r="A43" s="601">
        <f>MAX($A$7:A42)+1</f>
        <v>32</v>
      </c>
      <c r="B43" s="601"/>
      <c r="C43" s="636">
        <v>925</v>
      </c>
      <c r="D43" s="601"/>
      <c r="E43" s="1" t="s">
        <v>595</v>
      </c>
      <c r="F43" s="1"/>
      <c r="G43" s="1" t="s">
        <v>674</v>
      </c>
      <c r="H43" s="601"/>
      <c r="I43" s="641">
        <v>13786929</v>
      </c>
      <c r="J43" s="1051"/>
      <c r="K43" s="641"/>
      <c r="L43" s="1051"/>
      <c r="M43" s="631">
        <f t="shared" si="11"/>
        <v>13786929</v>
      </c>
      <c r="N43" s="631"/>
      <c r="O43" s="785">
        <f>'Attachment H-4A JCP&amp;L '!$I$192</f>
        <v>8.0618739267835124E-2</v>
      </c>
      <c r="P43" s="785"/>
      <c r="Q43" s="722">
        <f t="shared" si="12"/>
        <v>1111484.8343551548</v>
      </c>
      <c r="R43" s="602"/>
      <c r="S43" s="641">
        <v>644950</v>
      </c>
      <c r="T43" s="1051"/>
      <c r="U43" s="602">
        <f>Q43-S43</f>
        <v>466534.83435515477</v>
      </c>
      <c r="W43" s="782"/>
      <c r="X43" s="782"/>
      <c r="Y43" s="782"/>
      <c r="Z43" s="782"/>
      <c r="AA43" s="782"/>
      <c r="AB43" s="782"/>
      <c r="AC43" s="782"/>
      <c r="AD43" s="782"/>
      <c r="AE43" s="782"/>
      <c r="AF43" s="782"/>
      <c r="AG43" s="782"/>
      <c r="AH43" s="782"/>
      <c r="AI43" s="782"/>
      <c r="AK43" s="602"/>
      <c r="AM43" s="601"/>
      <c r="AO43" s="601"/>
      <c r="AQ43" s="601"/>
      <c r="AR43" s="601"/>
      <c r="AS43" s="632"/>
      <c r="AU43" s="601"/>
      <c r="AW43" s="601"/>
      <c r="AY43" s="601"/>
      <c r="BA43" s="601"/>
    </row>
    <row r="44" spans="1:55" s="600" customFormat="1">
      <c r="A44" s="601">
        <f>MAX($A$7:A43)+1</f>
        <v>33</v>
      </c>
      <c r="B44" s="601"/>
      <c r="C44" s="636">
        <v>926</v>
      </c>
      <c r="D44" s="601"/>
      <c r="E44" s="1" t="s">
        <v>596</v>
      </c>
      <c r="F44" s="1"/>
      <c r="G44" s="1" t="s">
        <v>675</v>
      </c>
      <c r="H44" s="601"/>
      <c r="I44" s="641">
        <v>23185730</v>
      </c>
      <c r="J44" s="1051"/>
      <c r="K44" s="641"/>
      <c r="L44" s="1051"/>
      <c r="M44" s="631">
        <f t="shared" si="11"/>
        <v>23185730</v>
      </c>
      <c r="N44" s="631"/>
      <c r="O44" s="785">
        <f>'Attachment H-4A JCP&amp;L '!$I$192</f>
        <v>8.0618739267835124E-2</v>
      </c>
      <c r="P44" s="785"/>
      <c r="Q44" s="722">
        <f>M44*O44</f>
        <v>1869204.3216044228</v>
      </c>
      <c r="R44" s="602"/>
      <c r="S44" s="641">
        <v>23</v>
      </c>
      <c r="T44" s="1051"/>
      <c r="U44" s="602">
        <f t="shared" si="10"/>
        <v>1869181.3216044228</v>
      </c>
      <c r="Y44" s="602"/>
      <c r="AA44" s="602"/>
      <c r="AC44" s="602"/>
      <c r="AE44" s="602"/>
      <c r="AG44" s="602"/>
      <c r="AI44" s="602"/>
      <c r="AK44" s="602"/>
      <c r="AM44" s="601"/>
      <c r="AO44" s="601"/>
      <c r="AQ44" s="601"/>
      <c r="AR44" s="601"/>
      <c r="AS44" s="632"/>
      <c r="AU44" s="601"/>
      <c r="AW44" s="601"/>
      <c r="AY44" s="601"/>
      <c r="BA44" s="601"/>
    </row>
    <row r="45" spans="1:55" s="600" customFormat="1">
      <c r="A45" s="601">
        <f>MAX($A$7:A44)+1</f>
        <v>34</v>
      </c>
      <c r="B45" s="601"/>
      <c r="C45" s="636">
        <v>927</v>
      </c>
      <c r="D45" s="601"/>
      <c r="E45" s="1" t="s">
        <v>597</v>
      </c>
      <c r="F45" s="1"/>
      <c r="G45" s="1" t="s">
        <v>676</v>
      </c>
      <c r="H45" s="601"/>
      <c r="I45" s="641"/>
      <c r="J45" s="1051"/>
      <c r="K45" s="641"/>
      <c r="L45" s="1051"/>
      <c r="M45" s="631">
        <f t="shared" si="11"/>
        <v>0</v>
      </c>
      <c r="N45" s="631"/>
      <c r="O45" s="785">
        <f>'Attachment H-4A JCP&amp;L '!$I$192</f>
        <v>8.0618739267835124E-2</v>
      </c>
      <c r="P45" s="785"/>
      <c r="Q45" s="722">
        <f t="shared" si="12"/>
        <v>0</v>
      </c>
      <c r="R45" s="602"/>
      <c r="S45" s="641"/>
      <c r="T45" s="1051"/>
      <c r="U45" s="602">
        <f t="shared" si="10"/>
        <v>0</v>
      </c>
      <c r="W45" s="602"/>
      <c r="Y45" s="602"/>
      <c r="AA45" s="602"/>
      <c r="AC45" s="602"/>
      <c r="AE45" s="602"/>
      <c r="AG45" s="602"/>
      <c r="AI45" s="602"/>
      <c r="AK45" s="602"/>
      <c r="AM45" s="601"/>
      <c r="AO45" s="601"/>
      <c r="AQ45" s="601"/>
      <c r="AR45" s="601"/>
      <c r="AS45" s="632"/>
      <c r="AU45" s="601"/>
      <c r="AW45" s="601"/>
      <c r="AY45" s="601"/>
      <c r="BA45" s="601"/>
    </row>
    <row r="46" spans="1:55" s="600" customFormat="1">
      <c r="A46" s="601">
        <f>MAX($A$7:A45)+1</f>
        <v>35</v>
      </c>
      <c r="B46" s="601"/>
      <c r="C46" s="636">
        <v>928</v>
      </c>
      <c r="D46" s="601"/>
      <c r="E46" s="1" t="s">
        <v>598</v>
      </c>
      <c r="F46" s="1"/>
      <c r="G46" s="1" t="s">
        <v>677</v>
      </c>
      <c r="H46" s="601"/>
      <c r="I46" s="641">
        <v>2564222</v>
      </c>
      <c r="J46" s="1051"/>
      <c r="K46" s="641"/>
      <c r="L46" s="1051"/>
      <c r="M46" s="631">
        <f t="shared" si="11"/>
        <v>2564222</v>
      </c>
      <c r="N46" s="631"/>
      <c r="O46" s="785">
        <v>1</v>
      </c>
      <c r="P46" s="785"/>
      <c r="Q46" s="722">
        <f>M46*O46</f>
        <v>2564222</v>
      </c>
      <c r="R46" s="602"/>
      <c r="S46" s="641">
        <v>2564222</v>
      </c>
      <c r="T46" s="1051"/>
      <c r="U46" s="602">
        <f t="shared" si="10"/>
        <v>0</v>
      </c>
      <c r="W46" s="602"/>
      <c r="Y46" s="602"/>
      <c r="AA46" s="602"/>
      <c r="AC46" s="602"/>
      <c r="AE46" s="602"/>
      <c r="AG46" s="602"/>
      <c r="AI46" s="602"/>
      <c r="AK46" s="602"/>
      <c r="AM46" s="601"/>
      <c r="AO46" s="601"/>
      <c r="AQ46" s="601"/>
      <c r="AR46" s="601"/>
      <c r="AS46" s="632"/>
      <c r="AU46" s="601"/>
      <c r="AW46" s="601"/>
      <c r="AY46" s="601"/>
      <c r="BA46" s="601"/>
    </row>
    <row r="47" spans="1:55" s="600" customFormat="1">
      <c r="A47" s="601">
        <f>MAX($A$7:A46)+1</f>
        <v>36</v>
      </c>
      <c r="B47" s="601"/>
      <c r="C47" s="636">
        <v>929</v>
      </c>
      <c r="D47" s="601"/>
      <c r="E47" s="1" t="s">
        <v>599</v>
      </c>
      <c r="F47" s="1"/>
      <c r="G47" s="1" t="s">
        <v>678</v>
      </c>
      <c r="H47" s="601"/>
      <c r="I47" s="641"/>
      <c r="J47" s="1051"/>
      <c r="K47" s="641"/>
      <c r="L47" s="1051"/>
      <c r="M47" s="631">
        <f t="shared" si="11"/>
        <v>0</v>
      </c>
      <c r="N47" s="631"/>
      <c r="O47" s="785">
        <f>'Attachment H-4A JCP&amp;L '!$I$192</f>
        <v>8.0618739267835124E-2</v>
      </c>
      <c r="P47" s="785"/>
      <c r="Q47" s="722">
        <f t="shared" si="12"/>
        <v>0</v>
      </c>
      <c r="R47" s="602"/>
      <c r="S47" s="641"/>
      <c r="T47" s="1051"/>
      <c r="U47" s="602">
        <f t="shared" si="10"/>
        <v>0</v>
      </c>
      <c r="W47" s="602"/>
      <c r="Y47" s="602"/>
      <c r="AA47" s="602"/>
      <c r="AC47" s="602"/>
      <c r="AE47" s="602"/>
      <c r="AG47" s="602"/>
      <c r="AI47" s="602"/>
      <c r="AK47" s="602"/>
      <c r="AM47" s="601"/>
      <c r="AO47" s="601"/>
      <c r="AQ47" s="601"/>
      <c r="AR47" s="601"/>
      <c r="AS47" s="632"/>
      <c r="AU47" s="601"/>
      <c r="AW47" s="601"/>
      <c r="AY47" s="601"/>
      <c r="BA47" s="601"/>
    </row>
    <row r="48" spans="1:55" s="600" customFormat="1">
      <c r="A48" s="601">
        <f>MAX($A$7:A47)+1</f>
        <v>37</v>
      </c>
      <c r="B48" s="601"/>
      <c r="C48" s="636">
        <v>930.1</v>
      </c>
      <c r="D48" s="601"/>
      <c r="E48" s="1" t="s">
        <v>600</v>
      </c>
      <c r="F48" s="1"/>
      <c r="G48" s="1" t="s">
        <v>679</v>
      </c>
      <c r="H48" s="601"/>
      <c r="I48" s="641">
        <v>161306</v>
      </c>
      <c r="J48" s="1051"/>
      <c r="K48" s="641"/>
      <c r="L48" s="1051"/>
      <c r="M48" s="631">
        <f>I48-K48</f>
        <v>161306</v>
      </c>
      <c r="N48" s="631"/>
      <c r="O48" s="785">
        <f>'Attachment H-4A JCP&amp;L '!$I$192</f>
        <v>8.0618739267835124E-2</v>
      </c>
      <c r="P48" s="785"/>
      <c r="Q48" s="722">
        <f>M48*O48</f>
        <v>13004.286356337412</v>
      </c>
      <c r="R48" s="602"/>
      <c r="S48" s="641">
        <v>13004.286356337412</v>
      </c>
      <c r="T48" s="1051"/>
      <c r="U48" s="602">
        <f t="shared" si="10"/>
        <v>0</v>
      </c>
      <c r="W48" s="602"/>
      <c r="Y48" s="602"/>
      <c r="AA48" s="602"/>
      <c r="AC48" s="602"/>
      <c r="AE48" s="602"/>
      <c r="AG48" s="602"/>
      <c r="AI48" s="602"/>
      <c r="AK48" s="602"/>
      <c r="AM48" s="601"/>
      <c r="AO48" s="601"/>
      <c r="AQ48" s="601"/>
      <c r="AR48" s="601"/>
      <c r="AS48" s="632"/>
      <c r="AU48" s="601"/>
      <c r="AW48" s="601"/>
      <c r="AY48" s="601"/>
      <c r="BA48" s="601"/>
    </row>
    <row r="49" spans="1:56" s="600" customFormat="1" ht="15.6" customHeight="1">
      <c r="A49" s="601">
        <f>MAX($A$7:A48)+1</f>
        <v>38</v>
      </c>
      <c r="B49" s="601"/>
      <c r="C49" s="636">
        <v>930.2</v>
      </c>
      <c r="D49" s="601"/>
      <c r="E49" s="1" t="s">
        <v>601</v>
      </c>
      <c r="F49" s="1"/>
      <c r="G49" s="1" t="s">
        <v>680</v>
      </c>
      <c r="H49" s="601"/>
      <c r="I49" s="641">
        <v>2845484</v>
      </c>
      <c r="J49" s="1051"/>
      <c r="K49" s="641"/>
      <c r="L49" s="1051"/>
      <c r="M49" s="631">
        <f t="shared" si="11"/>
        <v>2845484</v>
      </c>
      <c r="N49" s="631"/>
      <c r="O49" s="785">
        <f>'Attachment H-4A JCP&amp;L '!$I$192</f>
        <v>8.0618739267835124E-2</v>
      </c>
      <c r="P49" s="785"/>
      <c r="Q49" s="722">
        <f>M49*O49</f>
        <v>229399.33268679655</v>
      </c>
      <c r="R49" s="602"/>
      <c r="S49" s="641">
        <v>278602</v>
      </c>
      <c r="T49" s="1051"/>
      <c r="U49" s="602">
        <f>Q49-S49</f>
        <v>-49202.667313203448</v>
      </c>
      <c r="W49" s="1070"/>
      <c r="X49" s="1070"/>
      <c r="Y49" s="1070"/>
      <c r="Z49" s="1070"/>
      <c r="AA49" s="1070"/>
      <c r="AB49" s="1070"/>
      <c r="AC49" s="1070"/>
      <c r="AD49" s="1070"/>
      <c r="AE49" s="1070"/>
      <c r="AF49" s="1070"/>
      <c r="AG49" s="1070"/>
      <c r="AH49" s="1070"/>
      <c r="AI49" s="1070"/>
      <c r="AJ49" s="1070"/>
      <c r="AK49" s="1070"/>
      <c r="AL49" s="1070"/>
      <c r="AM49" s="1070"/>
      <c r="AN49" s="1070"/>
      <c r="AO49" s="1070"/>
      <c r="AP49" s="1070"/>
      <c r="AQ49" s="1070"/>
      <c r="AR49" s="1070"/>
      <c r="AS49" s="1070"/>
      <c r="AT49" s="1070"/>
      <c r="AU49" s="1070"/>
      <c r="AV49" s="1070"/>
      <c r="AW49" s="1070"/>
      <c r="AX49" s="1070"/>
      <c r="AY49" s="1070"/>
      <c r="AZ49" s="1070"/>
      <c r="BA49" s="1070"/>
      <c r="BB49" s="1070"/>
      <c r="BC49" s="1070"/>
      <c r="BD49" s="1070"/>
    </row>
    <row r="50" spans="1:56" s="600" customFormat="1">
      <c r="A50" s="601">
        <f>MAX($A$7:A49)+1</f>
        <v>39</v>
      </c>
      <c r="B50" s="601"/>
      <c r="C50" s="636">
        <v>931</v>
      </c>
      <c r="D50" s="601"/>
      <c r="E50" s="1" t="s">
        <v>579</v>
      </c>
      <c r="F50" s="1"/>
      <c r="G50" s="1" t="s">
        <v>681</v>
      </c>
      <c r="H50" s="601"/>
      <c r="I50" s="641">
        <v>3124914</v>
      </c>
      <c r="J50" s="1051"/>
      <c r="K50" s="641">
        <v>53178.29</v>
      </c>
      <c r="L50" s="1051"/>
      <c r="M50" s="631">
        <f>I50-K50</f>
        <v>3071735.71</v>
      </c>
      <c r="N50" s="631"/>
      <c r="O50" s="785">
        <f>'Attachment H-4A JCP&amp;L '!$I$192</f>
        <v>8.0618739267835124E-2</v>
      </c>
      <c r="P50" s="785"/>
      <c r="Q50" s="722">
        <f>M50*O50</f>
        <v>247639.4603041884</v>
      </c>
      <c r="R50" s="602"/>
      <c r="S50" s="641"/>
      <c r="T50" s="1051"/>
      <c r="U50" s="602">
        <f t="shared" si="10"/>
        <v>247639.4603041884</v>
      </c>
      <c r="W50" s="602"/>
      <c r="Y50" s="602"/>
      <c r="AA50" s="602"/>
      <c r="AC50" s="602"/>
      <c r="AE50" s="602"/>
      <c r="AG50" s="602"/>
      <c r="AI50" s="602"/>
      <c r="AK50" s="602"/>
      <c r="AM50" s="601"/>
      <c r="AO50" s="601"/>
      <c r="AQ50" s="601"/>
      <c r="AR50" s="601"/>
      <c r="AS50" s="632"/>
      <c r="AU50" s="601"/>
      <c r="AW50" s="601"/>
      <c r="AY50" s="601"/>
      <c r="BA50" s="601"/>
    </row>
    <row r="51" spans="1:56" s="600" customFormat="1">
      <c r="A51" s="601">
        <f>MAX($A$7:A50)+1</f>
        <v>40</v>
      </c>
      <c r="B51" s="601"/>
      <c r="C51" s="636">
        <v>935</v>
      </c>
      <c r="D51" s="601"/>
      <c r="E51" s="1" t="s">
        <v>602</v>
      </c>
      <c r="F51" s="1"/>
      <c r="G51" s="1" t="s">
        <v>682</v>
      </c>
      <c r="H51" s="601"/>
      <c r="I51" s="641">
        <v>6997485</v>
      </c>
      <c r="J51" s="1051"/>
      <c r="K51" s="641"/>
      <c r="L51" s="1051"/>
      <c r="M51" s="602">
        <f t="shared" si="11"/>
        <v>6997485</v>
      </c>
      <c r="N51" s="602"/>
      <c r="O51" s="785">
        <f>'Attachment H-4A JCP&amp;L '!$I$192</f>
        <v>8.0618739267835124E-2</v>
      </c>
      <c r="P51" s="785"/>
      <c r="Q51" s="722">
        <f t="shared" si="12"/>
        <v>564128.41874558723</v>
      </c>
      <c r="R51" s="602"/>
      <c r="S51" s="641">
        <v>67545</v>
      </c>
      <c r="T51" s="1051"/>
      <c r="U51" s="602">
        <f t="shared" si="10"/>
        <v>496583.41874558723</v>
      </c>
      <c r="W51" s="602"/>
      <c r="Y51" s="602"/>
      <c r="AA51" s="602"/>
      <c r="AC51" s="602"/>
      <c r="AE51" s="602"/>
      <c r="AG51" s="602"/>
      <c r="AI51" s="602"/>
      <c r="AK51" s="602"/>
      <c r="AM51" s="601"/>
      <c r="AO51" s="601"/>
      <c r="AQ51" s="601"/>
      <c r="AR51" s="601"/>
      <c r="AS51" s="632"/>
      <c r="AU51" s="601"/>
      <c r="AW51" s="601"/>
      <c r="AY51" s="601"/>
      <c r="BA51" s="601"/>
    </row>
    <row r="52" spans="1:56" s="600" customFormat="1">
      <c r="A52" s="601">
        <f>MAX($A$7:A51)+1</f>
        <v>41</v>
      </c>
      <c r="B52" s="601"/>
      <c r="C52" s="637"/>
      <c r="D52" s="601"/>
      <c r="E52" s="628" t="str">
        <f>"Sum of Lines "&amp;A38&amp;" through "&amp;A51</f>
        <v>Sum of Lines 27 through 40</v>
      </c>
      <c r="F52" s="628"/>
      <c r="G52" s="628"/>
      <c r="H52" s="601"/>
      <c r="I52" s="605">
        <f>SUM(I38:I51)</f>
        <v>175048317</v>
      </c>
      <c r="J52" s="601"/>
      <c r="K52" s="605">
        <f>SUM(K38:K51)</f>
        <v>53178.29</v>
      </c>
      <c r="L52" s="601"/>
      <c r="M52" s="605">
        <f>SUM(M38:M51)</f>
        <v>174995138.71000001</v>
      </c>
      <c r="N52" s="605"/>
      <c r="O52" s="605"/>
      <c r="P52" s="605"/>
      <c r="Q52" s="605">
        <f>SUM(Q38:Q51)</f>
        <v>16465385.115957284</v>
      </c>
      <c r="R52" s="605"/>
      <c r="S52" s="605">
        <f t="shared" ref="S52" si="13">SUM(S38:S51)</f>
        <v>8481923.2863563374</v>
      </c>
      <c r="T52" s="601"/>
      <c r="U52" s="605">
        <f>SUM(U38:U51)</f>
        <v>7983461.829600947</v>
      </c>
      <c r="W52" s="602"/>
      <c r="Y52" s="602"/>
      <c r="AA52" s="602"/>
      <c r="AC52" s="602"/>
      <c r="AE52" s="602"/>
      <c r="AG52" s="602"/>
      <c r="AI52" s="602"/>
      <c r="AK52" s="602"/>
      <c r="AM52" s="601"/>
      <c r="AO52" s="601"/>
      <c r="AQ52" s="601"/>
      <c r="AR52" s="601"/>
      <c r="AS52" s="632"/>
      <c r="AU52" s="601"/>
      <c r="AW52" s="601"/>
      <c r="AY52" s="601"/>
      <c r="BA52" s="601"/>
    </row>
    <row r="53" spans="1:56">
      <c r="A53" s="601"/>
    </row>
    <row r="54" spans="1:56">
      <c r="A54" s="601">
        <f>MAX($A$7:A53)+1</f>
        <v>42</v>
      </c>
      <c r="U54" s="16" t="str">
        <f>"Total OpEx (Line "&amp;A32&amp;" + Line "&amp;A52&amp;")"</f>
        <v>Total OpEx (Line 26 + Line 41)</v>
      </c>
      <c r="W54" s="837">
        <f>U52+Q32</f>
        <v>58601475.81944254</v>
      </c>
    </row>
    <row r="55" spans="1:56">
      <c r="W55" s="837"/>
    </row>
    <row r="56" spans="1:56">
      <c r="B56" s="763" t="s">
        <v>183</v>
      </c>
      <c r="C56" s="764"/>
      <c r="W56" s="837"/>
    </row>
    <row r="57" spans="1:56" ht="15.6" customHeight="1">
      <c r="B57" s="2" t="s">
        <v>202</v>
      </c>
      <c r="C57" s="1027" t="s">
        <v>1060</v>
      </c>
      <c r="D57" s="1027"/>
      <c r="E57" s="1027"/>
      <c r="F57" s="1027"/>
      <c r="G57" s="1027"/>
      <c r="H57" s="1027"/>
      <c r="I57" s="1027"/>
      <c r="J57" s="1027"/>
      <c r="K57" s="1027"/>
      <c r="L57" s="1027"/>
      <c r="M57" s="1027"/>
      <c r="N57" s="831"/>
      <c r="O57" s="831"/>
      <c r="P57" s="831"/>
      <c r="Q57" s="831"/>
      <c r="R57" s="831"/>
      <c r="S57" s="831"/>
      <c r="T57" s="831"/>
      <c r="U57" s="831"/>
      <c r="V57" s="831"/>
      <c r="W57" s="831"/>
      <c r="X57" s="971"/>
    </row>
    <row r="58" spans="1:56">
      <c r="C58" s="1027"/>
      <c r="D58" s="1027"/>
      <c r="E58" s="1027"/>
      <c r="F58" s="1027"/>
      <c r="G58" s="1027"/>
      <c r="H58" s="1027"/>
      <c r="I58" s="1027"/>
      <c r="J58" s="1027"/>
      <c r="K58" s="1027"/>
      <c r="L58" s="1027"/>
      <c r="M58" s="1027"/>
      <c r="N58" s="831"/>
      <c r="O58" s="831"/>
      <c r="P58" s="831"/>
      <c r="Q58" s="831"/>
      <c r="R58" s="831"/>
      <c r="S58" s="831"/>
      <c r="T58" s="831"/>
      <c r="U58" s="831"/>
      <c r="V58" s="831"/>
      <c r="W58" s="831"/>
    </row>
    <row r="59" spans="1:56">
      <c r="C59" s="1027"/>
      <c r="D59" s="1027"/>
      <c r="E59" s="1027"/>
      <c r="F59" s="1027"/>
      <c r="G59" s="1027"/>
      <c r="H59" s="1027"/>
      <c r="I59" s="1027"/>
      <c r="J59" s="1027"/>
      <c r="K59" s="1027"/>
      <c r="L59" s="1027"/>
      <c r="M59" s="1027"/>
      <c r="N59" s="831"/>
      <c r="O59" s="831"/>
      <c r="P59" s="831"/>
      <c r="Q59" s="831"/>
      <c r="R59" s="831"/>
      <c r="S59" s="831"/>
      <c r="T59" s="831"/>
      <c r="U59" s="831"/>
      <c r="V59" s="831"/>
      <c r="W59" s="831"/>
    </row>
    <row r="60" spans="1:56">
      <c r="C60" s="1027"/>
      <c r="D60" s="1027"/>
      <c r="E60" s="1027"/>
      <c r="F60" s="1027"/>
      <c r="G60" s="1027"/>
      <c r="H60" s="1027"/>
      <c r="I60" s="1027"/>
      <c r="J60" s="1027"/>
      <c r="K60" s="1027"/>
      <c r="L60" s="1027"/>
      <c r="M60" s="1027"/>
      <c r="N60" s="831"/>
      <c r="O60" s="831"/>
      <c r="P60" s="831"/>
      <c r="Q60" s="831"/>
      <c r="R60" s="831"/>
      <c r="S60" s="831"/>
      <c r="T60" s="831"/>
      <c r="U60" s="831"/>
      <c r="V60" s="831"/>
      <c r="W60" s="831"/>
    </row>
    <row r="61" spans="1:56">
      <c r="B61" s="2" t="s">
        <v>203</v>
      </c>
      <c r="C61" s="1027" t="s">
        <v>1049</v>
      </c>
      <c r="D61" s="1027"/>
      <c r="E61" s="1027"/>
      <c r="F61" s="1027"/>
      <c r="G61" s="1027"/>
      <c r="H61" s="1027"/>
      <c r="I61" s="1027"/>
      <c r="J61" s="1027"/>
      <c r="K61" s="1027"/>
      <c r="L61" s="1027"/>
      <c r="M61" s="1027"/>
      <c r="N61" s="1027"/>
      <c r="O61" s="1027"/>
      <c r="P61" s="1027"/>
      <c r="Q61" s="1027"/>
      <c r="R61" s="1027"/>
      <c r="S61" s="1027"/>
      <c r="T61" s="1027"/>
      <c r="U61" s="1027"/>
      <c r="V61" s="1027"/>
      <c r="W61" s="1027"/>
    </row>
    <row r="62" spans="1:56" ht="15.6" customHeight="1">
      <c r="B62" s="2" t="s">
        <v>285</v>
      </c>
      <c r="C62" s="831" t="s">
        <v>1061</v>
      </c>
      <c r="D62" s="831"/>
      <c r="E62" s="831"/>
      <c r="F62" s="831"/>
      <c r="G62" s="831"/>
      <c r="H62" s="831"/>
      <c r="I62" s="831"/>
      <c r="J62" s="831"/>
      <c r="K62" s="831"/>
      <c r="L62" s="831"/>
      <c r="M62" s="831"/>
      <c r="N62" s="831"/>
      <c r="O62" s="831"/>
      <c r="P62" s="831"/>
      <c r="Q62" s="831"/>
      <c r="R62" s="831"/>
      <c r="S62" s="831"/>
      <c r="T62" s="831"/>
      <c r="U62" s="831"/>
      <c r="V62" s="831"/>
      <c r="W62" s="831"/>
    </row>
    <row r="63" spans="1:56">
      <c r="C63" s="831"/>
      <c r="D63" s="831"/>
      <c r="E63" s="831"/>
      <c r="F63" s="831"/>
      <c r="G63" s="831"/>
      <c r="H63" s="831"/>
      <c r="I63" s="831"/>
      <c r="J63" s="831"/>
      <c r="K63" s="831"/>
      <c r="L63" s="831"/>
      <c r="M63" s="831"/>
      <c r="N63" s="831"/>
      <c r="O63" s="831"/>
      <c r="P63" s="831"/>
      <c r="Q63" s="831"/>
      <c r="R63" s="831"/>
      <c r="S63" s="831"/>
      <c r="T63" s="831"/>
      <c r="U63" s="831"/>
      <c r="V63" s="831"/>
      <c r="W63" s="831"/>
    </row>
    <row r="64" spans="1:56" ht="15.6" customHeight="1">
      <c r="C64" s="831"/>
      <c r="D64" s="831"/>
      <c r="E64" s="831"/>
      <c r="F64" s="831"/>
      <c r="G64" s="831"/>
      <c r="H64" s="831"/>
      <c r="I64" s="831"/>
      <c r="J64" s="831"/>
      <c r="K64" s="831"/>
      <c r="L64" s="831"/>
      <c r="M64" s="831"/>
      <c r="N64" s="831"/>
      <c r="O64" s="831"/>
      <c r="P64" s="831"/>
      <c r="Q64" s="831"/>
      <c r="R64" s="831"/>
      <c r="S64" s="831"/>
      <c r="T64" s="831"/>
      <c r="U64" s="831"/>
      <c r="V64" s="831"/>
      <c r="W64" s="831"/>
    </row>
    <row r="65" spans="3:23">
      <c r="C65" s="831"/>
      <c r="D65" s="831"/>
      <c r="E65" s="831"/>
      <c r="F65" s="831"/>
      <c r="G65" s="831"/>
      <c r="H65" s="831"/>
      <c r="I65" s="831"/>
      <c r="J65" s="831"/>
      <c r="K65" s="831"/>
      <c r="L65" s="831"/>
      <c r="M65" s="831"/>
      <c r="N65" s="831"/>
      <c r="O65" s="831"/>
      <c r="P65" s="831"/>
      <c r="Q65" s="831"/>
      <c r="R65" s="831"/>
      <c r="S65" s="831"/>
      <c r="T65" s="831"/>
      <c r="U65" s="831"/>
      <c r="V65" s="831"/>
      <c r="W65" s="831"/>
    </row>
    <row r="66" spans="3:23">
      <c r="C66" s="594"/>
      <c r="D66" s="594"/>
      <c r="E66" s="594"/>
      <c r="F66" s="594"/>
      <c r="G66" s="594"/>
      <c r="H66" s="594"/>
      <c r="I66" s="594"/>
      <c r="J66" s="594"/>
      <c r="K66" s="594"/>
      <c r="L66" s="594"/>
      <c r="M66" s="594"/>
      <c r="N66" s="594"/>
      <c r="O66" s="594"/>
      <c r="P66" s="594"/>
      <c r="Q66" s="594"/>
      <c r="R66" s="594"/>
      <c r="S66" s="594"/>
      <c r="T66" s="594"/>
      <c r="U66" s="594"/>
      <c r="V66" s="594"/>
      <c r="W66" s="594"/>
    </row>
    <row r="71" spans="3:23">
      <c r="C71" s="791"/>
      <c r="D71" s="792"/>
      <c r="E71" s="792"/>
      <c r="F71" s="792"/>
      <c r="G71" s="792"/>
      <c r="H71" s="792"/>
      <c r="I71" s="792"/>
      <c r="J71" s="792"/>
      <c r="K71" s="792"/>
      <c r="L71" s="792"/>
      <c r="M71" s="792"/>
      <c r="N71" s="792"/>
      <c r="O71" s="792"/>
      <c r="P71" s="792"/>
      <c r="Q71" s="792"/>
      <c r="R71" s="792"/>
      <c r="S71" s="792"/>
      <c r="T71" s="792"/>
      <c r="U71" s="792"/>
    </row>
    <row r="72" spans="3:23">
      <c r="D72" s="792"/>
      <c r="E72" s="792"/>
      <c r="F72" s="792"/>
      <c r="G72" s="792"/>
      <c r="H72" s="792"/>
      <c r="I72" s="792"/>
      <c r="J72" s="792"/>
      <c r="K72" s="792"/>
      <c r="L72" s="792"/>
      <c r="M72" s="792"/>
      <c r="N72" s="792"/>
      <c r="O72" s="792"/>
      <c r="P72" s="792"/>
      <c r="Q72" s="792"/>
      <c r="R72" s="792"/>
      <c r="S72" s="792"/>
      <c r="T72" s="792"/>
      <c r="U72" s="792"/>
    </row>
    <row r="73" spans="3:23">
      <c r="D73" s="792"/>
      <c r="E73" s="792"/>
      <c r="F73" s="792"/>
      <c r="G73" s="792"/>
      <c r="H73" s="792"/>
      <c r="I73" s="792"/>
      <c r="J73" s="792"/>
      <c r="K73" s="792"/>
      <c r="L73" s="792"/>
      <c r="M73" s="792"/>
      <c r="N73" s="792"/>
      <c r="O73" s="792"/>
      <c r="P73" s="792"/>
      <c r="Q73" s="792"/>
      <c r="R73" s="792"/>
      <c r="S73" s="792"/>
      <c r="T73" s="792"/>
      <c r="U73" s="792"/>
    </row>
    <row r="74" spans="3:23">
      <c r="D74" s="792"/>
      <c r="E74" s="792"/>
      <c r="F74" s="792"/>
      <c r="G74" s="792"/>
      <c r="H74" s="792"/>
      <c r="I74" s="792"/>
      <c r="J74" s="792"/>
      <c r="K74" s="792"/>
      <c r="L74" s="792"/>
      <c r="M74" s="792"/>
      <c r="N74" s="792"/>
      <c r="O74" s="792"/>
      <c r="P74" s="792"/>
      <c r="Q74" s="792"/>
      <c r="R74" s="792"/>
      <c r="S74" s="792"/>
      <c r="T74" s="792"/>
      <c r="U74" s="792"/>
    </row>
    <row r="75" spans="3:23">
      <c r="D75" s="792"/>
      <c r="E75" s="792"/>
      <c r="F75" s="792"/>
      <c r="G75" s="792"/>
      <c r="H75" s="792"/>
      <c r="I75" s="792"/>
      <c r="J75" s="792"/>
      <c r="K75" s="792"/>
      <c r="L75" s="792"/>
      <c r="M75" s="792"/>
      <c r="N75" s="792"/>
      <c r="O75" s="792"/>
      <c r="P75" s="792"/>
      <c r="Q75" s="792"/>
      <c r="R75" s="792"/>
      <c r="S75" s="792"/>
      <c r="T75" s="792"/>
      <c r="U75" s="792"/>
    </row>
  </sheetData>
  <mergeCells count="2">
    <mergeCell ref="C61:W61"/>
    <mergeCell ref="C57:M60"/>
  </mergeCells>
  <pageMargins left="0.25" right="0.25" top="0.75" bottom="0.75" header="0.3" footer="0.3"/>
  <pageSetup scale="48" orientation="landscape" horizontalDpi="1200" verticalDpi="1200" r:id="rId1"/>
  <headerFooter>
    <oddHeader xml:space="preserve">&amp;R&amp;"Times New Roman,Regular"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R80"/>
  <sheetViews>
    <sheetView view="pageBreakPreview" zoomScale="70" zoomScaleNormal="75" zoomScaleSheetLayoutView="70" workbookViewId="0">
      <selection activeCell="A2" sqref="A2:I2"/>
    </sheetView>
  </sheetViews>
  <sheetFormatPr defaultRowHeight="13.2"/>
  <cols>
    <col min="1" max="1" width="7.26953125" style="71" customWidth="1"/>
    <col min="2" max="2" width="2.26953125" style="71" customWidth="1"/>
    <col min="3" max="3" width="6.26953125" style="71" customWidth="1"/>
    <col min="4" max="4" width="33.453125" style="71" customWidth="1"/>
    <col min="5" max="5" width="18" style="71" customWidth="1"/>
    <col min="6" max="6" width="27.7265625" style="71" customWidth="1"/>
    <col min="7" max="7" width="34.7265625" style="71" customWidth="1"/>
    <col min="8" max="8" width="3" style="71" customWidth="1"/>
    <col min="9" max="9" width="23.453125" style="71" customWidth="1"/>
    <col min="10" max="10" width="13.54296875" style="71" bestFit="1" customWidth="1"/>
    <col min="11" max="11" width="17.81640625" style="71" bestFit="1" customWidth="1"/>
    <col min="12" max="256" width="8.81640625" style="71"/>
    <col min="257" max="257" width="7.26953125" style="71" customWidth="1"/>
    <col min="258" max="258" width="2.26953125" style="71" customWidth="1"/>
    <col min="259" max="259" width="6.26953125" style="71" customWidth="1"/>
    <col min="260" max="260" width="33.453125" style="71" customWidth="1"/>
    <col min="261" max="261" width="18" style="71" customWidth="1"/>
    <col min="262" max="262" width="27.7265625" style="71" customWidth="1"/>
    <col min="263" max="263" width="28.81640625" style="71" bestFit="1" customWidth="1"/>
    <col min="264" max="264" width="3" style="71" customWidth="1"/>
    <col min="265" max="265" width="23.453125" style="71" customWidth="1"/>
    <col min="266" max="266" width="8.81640625" style="71"/>
    <col min="267" max="267" width="17.81640625" style="71" bestFit="1" customWidth="1"/>
    <col min="268" max="512" width="8.81640625" style="71"/>
    <col min="513" max="513" width="7.26953125" style="71" customWidth="1"/>
    <col min="514" max="514" width="2.26953125" style="71" customWidth="1"/>
    <col min="515" max="515" width="6.26953125" style="71" customWidth="1"/>
    <col min="516" max="516" width="33.453125" style="71" customWidth="1"/>
    <col min="517" max="517" width="18" style="71" customWidth="1"/>
    <col min="518" max="518" width="27.7265625" style="71" customWidth="1"/>
    <col min="519" max="519" width="28.81640625" style="71" bestFit="1" customWidth="1"/>
    <col min="520" max="520" width="3" style="71" customWidth="1"/>
    <col min="521" max="521" width="23.453125" style="71" customWidth="1"/>
    <col min="522" max="522" width="8.81640625" style="71"/>
    <col min="523" max="523" width="17.81640625" style="71" bestFit="1" customWidth="1"/>
    <col min="524" max="768" width="8.81640625" style="71"/>
    <col min="769" max="769" width="7.26953125" style="71" customWidth="1"/>
    <col min="770" max="770" width="2.26953125" style="71" customWidth="1"/>
    <col min="771" max="771" width="6.26953125" style="71" customWidth="1"/>
    <col min="772" max="772" width="33.453125" style="71" customWidth="1"/>
    <col min="773" max="773" width="18" style="71" customWidth="1"/>
    <col min="774" max="774" width="27.7265625" style="71" customWidth="1"/>
    <col min="775" max="775" width="28.81640625" style="71" bestFit="1" customWidth="1"/>
    <col min="776" max="776" width="3" style="71" customWidth="1"/>
    <col min="777" max="777" width="23.453125" style="71" customWidth="1"/>
    <col min="778" max="778" width="8.81640625" style="71"/>
    <col min="779" max="779" width="17.81640625" style="71" bestFit="1" customWidth="1"/>
    <col min="780" max="1024" width="8.81640625" style="71"/>
    <col min="1025" max="1025" width="7.26953125" style="71" customWidth="1"/>
    <col min="1026" max="1026" width="2.26953125" style="71" customWidth="1"/>
    <col min="1027" max="1027" width="6.26953125" style="71" customWidth="1"/>
    <col min="1028" max="1028" width="33.453125" style="71" customWidth="1"/>
    <col min="1029" max="1029" width="18" style="71" customWidth="1"/>
    <col min="1030" max="1030" width="27.7265625" style="71" customWidth="1"/>
    <col min="1031" max="1031" width="28.81640625" style="71" bestFit="1" customWidth="1"/>
    <col min="1032" max="1032" width="3" style="71" customWidth="1"/>
    <col min="1033" max="1033" width="23.453125" style="71" customWidth="1"/>
    <col min="1034" max="1034" width="8.81640625" style="71"/>
    <col min="1035" max="1035" width="17.81640625" style="71" bestFit="1" customWidth="1"/>
    <col min="1036" max="1280" width="8.81640625" style="71"/>
    <col min="1281" max="1281" width="7.26953125" style="71" customWidth="1"/>
    <col min="1282" max="1282" width="2.26953125" style="71" customWidth="1"/>
    <col min="1283" max="1283" width="6.26953125" style="71" customWidth="1"/>
    <col min="1284" max="1284" width="33.453125" style="71" customWidth="1"/>
    <col min="1285" max="1285" width="18" style="71" customWidth="1"/>
    <col min="1286" max="1286" width="27.7265625" style="71" customWidth="1"/>
    <col min="1287" max="1287" width="28.81640625" style="71" bestFit="1" customWidth="1"/>
    <col min="1288" max="1288" width="3" style="71" customWidth="1"/>
    <col min="1289" max="1289" width="23.453125" style="71" customWidth="1"/>
    <col min="1290" max="1290" width="8.81640625" style="71"/>
    <col min="1291" max="1291" width="17.81640625" style="71" bestFit="1" customWidth="1"/>
    <col min="1292" max="1536" width="8.81640625" style="71"/>
    <col min="1537" max="1537" width="7.26953125" style="71" customWidth="1"/>
    <col min="1538" max="1538" width="2.26953125" style="71" customWidth="1"/>
    <col min="1539" max="1539" width="6.26953125" style="71" customWidth="1"/>
    <col min="1540" max="1540" width="33.453125" style="71" customWidth="1"/>
    <col min="1541" max="1541" width="18" style="71" customWidth="1"/>
    <col min="1542" max="1542" width="27.7265625" style="71" customWidth="1"/>
    <col min="1543" max="1543" width="28.81640625" style="71" bestFit="1" customWidth="1"/>
    <col min="1544" max="1544" width="3" style="71" customWidth="1"/>
    <col min="1545" max="1545" width="23.453125" style="71" customWidth="1"/>
    <col min="1546" max="1546" width="8.81640625" style="71"/>
    <col min="1547" max="1547" width="17.81640625" style="71" bestFit="1" customWidth="1"/>
    <col min="1548" max="1792" width="8.81640625" style="71"/>
    <col min="1793" max="1793" width="7.26953125" style="71" customWidth="1"/>
    <col min="1794" max="1794" width="2.26953125" style="71" customWidth="1"/>
    <col min="1795" max="1795" width="6.26953125" style="71" customWidth="1"/>
    <col min="1796" max="1796" width="33.453125" style="71" customWidth="1"/>
    <col min="1797" max="1797" width="18" style="71" customWidth="1"/>
    <col min="1798" max="1798" width="27.7265625" style="71" customWidth="1"/>
    <col min="1799" max="1799" width="28.81640625" style="71" bestFit="1" customWidth="1"/>
    <col min="1800" max="1800" width="3" style="71" customWidth="1"/>
    <col min="1801" max="1801" width="23.453125" style="71" customWidth="1"/>
    <col min="1802" max="1802" width="8.81640625" style="71"/>
    <col min="1803" max="1803" width="17.81640625" style="71" bestFit="1" customWidth="1"/>
    <col min="1804" max="2048" width="8.81640625" style="71"/>
    <col min="2049" max="2049" width="7.26953125" style="71" customWidth="1"/>
    <col min="2050" max="2050" width="2.26953125" style="71" customWidth="1"/>
    <col min="2051" max="2051" width="6.26953125" style="71" customWidth="1"/>
    <col min="2052" max="2052" width="33.453125" style="71" customWidth="1"/>
    <col min="2053" max="2053" width="18" style="71" customWidth="1"/>
    <col min="2054" max="2054" width="27.7265625" style="71" customWidth="1"/>
    <col min="2055" max="2055" width="28.81640625" style="71" bestFit="1" customWidth="1"/>
    <col min="2056" max="2056" width="3" style="71" customWidth="1"/>
    <col min="2057" max="2057" width="23.453125" style="71" customWidth="1"/>
    <col min="2058" max="2058" width="8.81640625" style="71"/>
    <col min="2059" max="2059" width="17.81640625" style="71" bestFit="1" customWidth="1"/>
    <col min="2060" max="2304" width="8.81640625" style="71"/>
    <col min="2305" max="2305" width="7.26953125" style="71" customWidth="1"/>
    <col min="2306" max="2306" width="2.26953125" style="71" customWidth="1"/>
    <col min="2307" max="2307" width="6.26953125" style="71" customWidth="1"/>
    <col min="2308" max="2308" width="33.453125" style="71" customWidth="1"/>
    <col min="2309" max="2309" width="18" style="71" customWidth="1"/>
    <col min="2310" max="2310" width="27.7265625" style="71" customWidth="1"/>
    <col min="2311" max="2311" width="28.81640625" style="71" bestFit="1" customWidth="1"/>
    <col min="2312" max="2312" width="3" style="71" customWidth="1"/>
    <col min="2313" max="2313" width="23.453125" style="71" customWidth="1"/>
    <col min="2314" max="2314" width="8.81640625" style="71"/>
    <col min="2315" max="2315" width="17.81640625" style="71" bestFit="1" customWidth="1"/>
    <col min="2316" max="2560" width="8.81640625" style="71"/>
    <col min="2561" max="2561" width="7.26953125" style="71" customWidth="1"/>
    <col min="2562" max="2562" width="2.26953125" style="71" customWidth="1"/>
    <col min="2563" max="2563" width="6.26953125" style="71" customWidth="1"/>
    <col min="2564" max="2564" width="33.453125" style="71" customWidth="1"/>
    <col min="2565" max="2565" width="18" style="71" customWidth="1"/>
    <col min="2566" max="2566" width="27.7265625" style="71" customWidth="1"/>
    <col min="2567" max="2567" width="28.81640625" style="71" bestFit="1" customWidth="1"/>
    <col min="2568" max="2568" width="3" style="71" customWidth="1"/>
    <col min="2569" max="2569" width="23.453125" style="71" customWidth="1"/>
    <col min="2570" max="2570" width="8.81640625" style="71"/>
    <col min="2571" max="2571" width="17.81640625" style="71" bestFit="1" customWidth="1"/>
    <col min="2572" max="2816" width="8.81640625" style="71"/>
    <col min="2817" max="2817" width="7.26953125" style="71" customWidth="1"/>
    <col min="2818" max="2818" width="2.26953125" style="71" customWidth="1"/>
    <col min="2819" max="2819" width="6.26953125" style="71" customWidth="1"/>
    <col min="2820" max="2820" width="33.453125" style="71" customWidth="1"/>
    <col min="2821" max="2821" width="18" style="71" customWidth="1"/>
    <col min="2822" max="2822" width="27.7265625" style="71" customWidth="1"/>
    <col min="2823" max="2823" width="28.81640625" style="71" bestFit="1" customWidth="1"/>
    <col min="2824" max="2824" width="3" style="71" customWidth="1"/>
    <col min="2825" max="2825" width="23.453125" style="71" customWidth="1"/>
    <col min="2826" max="2826" width="8.81640625" style="71"/>
    <col min="2827" max="2827" width="17.81640625" style="71" bestFit="1" customWidth="1"/>
    <col min="2828" max="3072" width="8.81640625" style="71"/>
    <col min="3073" max="3073" width="7.26953125" style="71" customWidth="1"/>
    <col min="3074" max="3074" width="2.26953125" style="71" customWidth="1"/>
    <col min="3075" max="3075" width="6.26953125" style="71" customWidth="1"/>
    <col min="3076" max="3076" width="33.453125" style="71" customWidth="1"/>
    <col min="3077" max="3077" width="18" style="71" customWidth="1"/>
    <col min="3078" max="3078" width="27.7265625" style="71" customWidth="1"/>
    <col min="3079" max="3079" width="28.81640625" style="71" bestFit="1" customWidth="1"/>
    <col min="3080" max="3080" width="3" style="71" customWidth="1"/>
    <col min="3081" max="3081" width="23.453125" style="71" customWidth="1"/>
    <col min="3082" max="3082" width="8.81640625" style="71"/>
    <col min="3083" max="3083" width="17.81640625" style="71" bestFit="1" customWidth="1"/>
    <col min="3084" max="3328" width="8.81640625" style="71"/>
    <col min="3329" max="3329" width="7.26953125" style="71" customWidth="1"/>
    <col min="3330" max="3330" width="2.26953125" style="71" customWidth="1"/>
    <col min="3331" max="3331" width="6.26953125" style="71" customWidth="1"/>
    <col min="3332" max="3332" width="33.453125" style="71" customWidth="1"/>
    <col min="3333" max="3333" width="18" style="71" customWidth="1"/>
    <col min="3334" max="3334" width="27.7265625" style="71" customWidth="1"/>
    <col min="3335" max="3335" width="28.81640625" style="71" bestFit="1" customWidth="1"/>
    <col min="3336" max="3336" width="3" style="71" customWidth="1"/>
    <col min="3337" max="3337" width="23.453125" style="71" customWidth="1"/>
    <col min="3338" max="3338" width="8.81640625" style="71"/>
    <col min="3339" max="3339" width="17.81640625" style="71" bestFit="1" customWidth="1"/>
    <col min="3340" max="3584" width="8.81640625" style="71"/>
    <col min="3585" max="3585" width="7.26953125" style="71" customWidth="1"/>
    <col min="3586" max="3586" width="2.26953125" style="71" customWidth="1"/>
    <col min="3587" max="3587" width="6.26953125" style="71" customWidth="1"/>
    <col min="3588" max="3588" width="33.453125" style="71" customWidth="1"/>
    <col min="3589" max="3589" width="18" style="71" customWidth="1"/>
    <col min="3590" max="3590" width="27.7265625" style="71" customWidth="1"/>
    <col min="3591" max="3591" width="28.81640625" style="71" bestFit="1" customWidth="1"/>
    <col min="3592" max="3592" width="3" style="71" customWidth="1"/>
    <col min="3593" max="3593" width="23.453125" style="71" customWidth="1"/>
    <col min="3594" max="3594" width="8.81640625" style="71"/>
    <col min="3595" max="3595" width="17.81640625" style="71" bestFit="1" customWidth="1"/>
    <col min="3596" max="3840" width="8.81640625" style="71"/>
    <col min="3841" max="3841" width="7.26953125" style="71" customWidth="1"/>
    <col min="3842" max="3842" width="2.26953125" style="71" customWidth="1"/>
    <col min="3843" max="3843" width="6.26953125" style="71" customWidth="1"/>
    <col min="3844" max="3844" width="33.453125" style="71" customWidth="1"/>
    <col min="3845" max="3845" width="18" style="71" customWidth="1"/>
    <col min="3846" max="3846" width="27.7265625" style="71" customWidth="1"/>
    <col min="3847" max="3847" width="28.81640625" style="71" bestFit="1" customWidth="1"/>
    <col min="3848" max="3848" width="3" style="71" customWidth="1"/>
    <col min="3849" max="3849" width="23.453125" style="71" customWidth="1"/>
    <col min="3850" max="3850" width="8.81640625" style="71"/>
    <col min="3851" max="3851" width="17.81640625" style="71" bestFit="1" customWidth="1"/>
    <col min="3852" max="4096" width="8.81640625" style="71"/>
    <col min="4097" max="4097" width="7.26953125" style="71" customWidth="1"/>
    <col min="4098" max="4098" width="2.26953125" style="71" customWidth="1"/>
    <col min="4099" max="4099" width="6.26953125" style="71" customWidth="1"/>
    <col min="4100" max="4100" width="33.453125" style="71" customWidth="1"/>
    <col min="4101" max="4101" width="18" style="71" customWidth="1"/>
    <col min="4102" max="4102" width="27.7265625" style="71" customWidth="1"/>
    <col min="4103" max="4103" width="28.81640625" style="71" bestFit="1" customWidth="1"/>
    <col min="4104" max="4104" width="3" style="71" customWidth="1"/>
    <col min="4105" max="4105" width="23.453125" style="71" customWidth="1"/>
    <col min="4106" max="4106" width="8.81640625" style="71"/>
    <col min="4107" max="4107" width="17.81640625" style="71" bestFit="1" customWidth="1"/>
    <col min="4108" max="4352" width="8.81640625" style="71"/>
    <col min="4353" max="4353" width="7.26953125" style="71" customWidth="1"/>
    <col min="4354" max="4354" width="2.26953125" style="71" customWidth="1"/>
    <col min="4355" max="4355" width="6.26953125" style="71" customWidth="1"/>
    <col min="4356" max="4356" width="33.453125" style="71" customWidth="1"/>
    <col min="4357" max="4357" width="18" style="71" customWidth="1"/>
    <col min="4358" max="4358" width="27.7265625" style="71" customWidth="1"/>
    <col min="4359" max="4359" width="28.81640625" style="71" bestFit="1" customWidth="1"/>
    <col min="4360" max="4360" width="3" style="71" customWidth="1"/>
    <col min="4361" max="4361" width="23.453125" style="71" customWidth="1"/>
    <col min="4362" max="4362" width="8.81640625" style="71"/>
    <col min="4363" max="4363" width="17.81640625" style="71" bestFit="1" customWidth="1"/>
    <col min="4364" max="4608" width="8.81640625" style="71"/>
    <col min="4609" max="4609" width="7.26953125" style="71" customWidth="1"/>
    <col min="4610" max="4610" width="2.26953125" style="71" customWidth="1"/>
    <col min="4611" max="4611" width="6.26953125" style="71" customWidth="1"/>
    <col min="4612" max="4612" width="33.453125" style="71" customWidth="1"/>
    <col min="4613" max="4613" width="18" style="71" customWidth="1"/>
    <col min="4614" max="4614" width="27.7265625" style="71" customWidth="1"/>
    <col min="4615" max="4615" width="28.81640625" style="71" bestFit="1" customWidth="1"/>
    <col min="4616" max="4616" width="3" style="71" customWidth="1"/>
    <col min="4617" max="4617" width="23.453125" style="71" customWidth="1"/>
    <col min="4618" max="4618" width="8.81640625" style="71"/>
    <col min="4619" max="4619" width="17.81640625" style="71" bestFit="1" customWidth="1"/>
    <col min="4620" max="4864" width="8.81640625" style="71"/>
    <col min="4865" max="4865" width="7.26953125" style="71" customWidth="1"/>
    <col min="4866" max="4866" width="2.26953125" style="71" customWidth="1"/>
    <col min="4867" max="4867" width="6.26953125" style="71" customWidth="1"/>
    <col min="4868" max="4868" width="33.453125" style="71" customWidth="1"/>
    <col min="4869" max="4869" width="18" style="71" customWidth="1"/>
    <col min="4870" max="4870" width="27.7265625" style="71" customWidth="1"/>
    <col min="4871" max="4871" width="28.81640625" style="71" bestFit="1" customWidth="1"/>
    <col min="4872" max="4872" width="3" style="71" customWidth="1"/>
    <col min="4873" max="4873" width="23.453125" style="71" customWidth="1"/>
    <col min="4874" max="4874" width="8.81640625" style="71"/>
    <col min="4875" max="4875" width="17.81640625" style="71" bestFit="1" customWidth="1"/>
    <col min="4876" max="5120" width="8.81640625" style="71"/>
    <col min="5121" max="5121" width="7.26953125" style="71" customWidth="1"/>
    <col min="5122" max="5122" width="2.26953125" style="71" customWidth="1"/>
    <col min="5123" max="5123" width="6.26953125" style="71" customWidth="1"/>
    <col min="5124" max="5124" width="33.453125" style="71" customWidth="1"/>
    <col min="5125" max="5125" width="18" style="71" customWidth="1"/>
    <col min="5126" max="5126" width="27.7265625" style="71" customWidth="1"/>
    <col min="5127" max="5127" width="28.81640625" style="71" bestFit="1" customWidth="1"/>
    <col min="5128" max="5128" width="3" style="71" customWidth="1"/>
    <col min="5129" max="5129" width="23.453125" style="71" customWidth="1"/>
    <col min="5130" max="5130" width="8.81640625" style="71"/>
    <col min="5131" max="5131" width="17.81640625" style="71" bestFit="1" customWidth="1"/>
    <col min="5132" max="5376" width="8.81640625" style="71"/>
    <col min="5377" max="5377" width="7.26953125" style="71" customWidth="1"/>
    <col min="5378" max="5378" width="2.26953125" style="71" customWidth="1"/>
    <col min="5379" max="5379" width="6.26953125" style="71" customWidth="1"/>
    <col min="5380" max="5380" width="33.453125" style="71" customWidth="1"/>
    <col min="5381" max="5381" width="18" style="71" customWidth="1"/>
    <col min="5382" max="5382" width="27.7265625" style="71" customWidth="1"/>
    <col min="5383" max="5383" width="28.81640625" style="71" bestFit="1" customWidth="1"/>
    <col min="5384" max="5384" width="3" style="71" customWidth="1"/>
    <col min="5385" max="5385" width="23.453125" style="71" customWidth="1"/>
    <col min="5386" max="5386" width="8.81640625" style="71"/>
    <col min="5387" max="5387" width="17.81640625" style="71" bestFit="1" customWidth="1"/>
    <col min="5388" max="5632" width="8.81640625" style="71"/>
    <col min="5633" max="5633" width="7.26953125" style="71" customWidth="1"/>
    <col min="5634" max="5634" width="2.26953125" style="71" customWidth="1"/>
    <col min="5635" max="5635" width="6.26953125" style="71" customWidth="1"/>
    <col min="5636" max="5636" width="33.453125" style="71" customWidth="1"/>
    <col min="5637" max="5637" width="18" style="71" customWidth="1"/>
    <col min="5638" max="5638" width="27.7265625" style="71" customWidth="1"/>
    <col min="5639" max="5639" width="28.81640625" style="71" bestFit="1" customWidth="1"/>
    <col min="5640" max="5640" width="3" style="71" customWidth="1"/>
    <col min="5641" max="5641" width="23.453125" style="71" customWidth="1"/>
    <col min="5642" max="5642" width="8.81640625" style="71"/>
    <col min="5643" max="5643" width="17.81640625" style="71" bestFit="1" customWidth="1"/>
    <col min="5644" max="5888" width="8.81640625" style="71"/>
    <col min="5889" max="5889" width="7.26953125" style="71" customWidth="1"/>
    <col min="5890" max="5890" width="2.26953125" style="71" customWidth="1"/>
    <col min="5891" max="5891" width="6.26953125" style="71" customWidth="1"/>
    <col min="5892" max="5892" width="33.453125" style="71" customWidth="1"/>
    <col min="5893" max="5893" width="18" style="71" customWidth="1"/>
    <col min="5894" max="5894" width="27.7265625" style="71" customWidth="1"/>
    <col min="5895" max="5895" width="28.81640625" style="71" bestFit="1" customWidth="1"/>
    <col min="5896" max="5896" width="3" style="71" customWidth="1"/>
    <col min="5897" max="5897" width="23.453125" style="71" customWidth="1"/>
    <col min="5898" max="5898" width="8.81640625" style="71"/>
    <col min="5899" max="5899" width="17.81640625" style="71" bestFit="1" customWidth="1"/>
    <col min="5900" max="6144" width="8.81640625" style="71"/>
    <col min="6145" max="6145" width="7.26953125" style="71" customWidth="1"/>
    <col min="6146" max="6146" width="2.26953125" style="71" customWidth="1"/>
    <col min="6147" max="6147" width="6.26953125" style="71" customWidth="1"/>
    <col min="6148" max="6148" width="33.453125" style="71" customWidth="1"/>
    <col min="6149" max="6149" width="18" style="71" customWidth="1"/>
    <col min="6150" max="6150" width="27.7265625" style="71" customWidth="1"/>
    <col min="6151" max="6151" width="28.81640625" style="71" bestFit="1" customWidth="1"/>
    <col min="6152" max="6152" width="3" style="71" customWidth="1"/>
    <col min="6153" max="6153" width="23.453125" style="71" customWidth="1"/>
    <col min="6154" max="6154" width="8.81640625" style="71"/>
    <col min="6155" max="6155" width="17.81640625" style="71" bestFit="1" customWidth="1"/>
    <col min="6156" max="6400" width="8.81640625" style="71"/>
    <col min="6401" max="6401" width="7.26953125" style="71" customWidth="1"/>
    <col min="6402" max="6402" width="2.26953125" style="71" customWidth="1"/>
    <col min="6403" max="6403" width="6.26953125" style="71" customWidth="1"/>
    <col min="6404" max="6404" width="33.453125" style="71" customWidth="1"/>
    <col min="6405" max="6405" width="18" style="71" customWidth="1"/>
    <col min="6406" max="6406" width="27.7265625" style="71" customWidth="1"/>
    <col min="6407" max="6407" width="28.81640625" style="71" bestFit="1" customWidth="1"/>
    <col min="6408" max="6408" width="3" style="71" customWidth="1"/>
    <col min="6409" max="6409" width="23.453125" style="71" customWidth="1"/>
    <col min="6410" max="6410" width="8.81640625" style="71"/>
    <col min="6411" max="6411" width="17.81640625" style="71" bestFit="1" customWidth="1"/>
    <col min="6412" max="6656" width="8.81640625" style="71"/>
    <col min="6657" max="6657" width="7.26953125" style="71" customWidth="1"/>
    <col min="6658" max="6658" width="2.26953125" style="71" customWidth="1"/>
    <col min="6659" max="6659" width="6.26953125" style="71" customWidth="1"/>
    <col min="6660" max="6660" width="33.453125" style="71" customWidth="1"/>
    <col min="6661" max="6661" width="18" style="71" customWidth="1"/>
    <col min="6662" max="6662" width="27.7265625" style="71" customWidth="1"/>
    <col min="6663" max="6663" width="28.81640625" style="71" bestFit="1" customWidth="1"/>
    <col min="6664" max="6664" width="3" style="71" customWidth="1"/>
    <col min="6665" max="6665" width="23.453125" style="71" customWidth="1"/>
    <col min="6666" max="6666" width="8.81640625" style="71"/>
    <col min="6667" max="6667" width="17.81640625" style="71" bestFit="1" customWidth="1"/>
    <col min="6668" max="6912" width="8.81640625" style="71"/>
    <col min="6913" max="6913" width="7.26953125" style="71" customWidth="1"/>
    <col min="6914" max="6914" width="2.26953125" style="71" customWidth="1"/>
    <col min="6915" max="6915" width="6.26953125" style="71" customWidth="1"/>
    <col min="6916" max="6916" width="33.453125" style="71" customWidth="1"/>
    <col min="6917" max="6917" width="18" style="71" customWidth="1"/>
    <col min="6918" max="6918" width="27.7265625" style="71" customWidth="1"/>
    <col min="6919" max="6919" width="28.81640625" style="71" bestFit="1" customWidth="1"/>
    <col min="6920" max="6920" width="3" style="71" customWidth="1"/>
    <col min="6921" max="6921" width="23.453125" style="71" customWidth="1"/>
    <col min="6922" max="6922" width="8.81640625" style="71"/>
    <col min="6923" max="6923" width="17.81640625" style="71" bestFit="1" customWidth="1"/>
    <col min="6924" max="7168" width="8.81640625" style="71"/>
    <col min="7169" max="7169" width="7.26953125" style="71" customWidth="1"/>
    <col min="7170" max="7170" width="2.26953125" style="71" customWidth="1"/>
    <col min="7171" max="7171" width="6.26953125" style="71" customWidth="1"/>
    <col min="7172" max="7172" width="33.453125" style="71" customWidth="1"/>
    <col min="7173" max="7173" width="18" style="71" customWidth="1"/>
    <col min="7174" max="7174" width="27.7265625" style="71" customWidth="1"/>
    <col min="7175" max="7175" width="28.81640625" style="71" bestFit="1" customWidth="1"/>
    <col min="7176" max="7176" width="3" style="71" customWidth="1"/>
    <col min="7177" max="7177" width="23.453125" style="71" customWidth="1"/>
    <col min="7178" max="7178" width="8.81640625" style="71"/>
    <col min="7179" max="7179" width="17.81640625" style="71" bestFit="1" customWidth="1"/>
    <col min="7180" max="7424" width="8.81640625" style="71"/>
    <col min="7425" max="7425" width="7.26953125" style="71" customWidth="1"/>
    <col min="7426" max="7426" width="2.26953125" style="71" customWidth="1"/>
    <col min="7427" max="7427" width="6.26953125" style="71" customWidth="1"/>
    <col min="7428" max="7428" width="33.453125" style="71" customWidth="1"/>
    <col min="7429" max="7429" width="18" style="71" customWidth="1"/>
    <col min="7430" max="7430" width="27.7265625" style="71" customWidth="1"/>
    <col min="7431" max="7431" width="28.81640625" style="71" bestFit="1" customWidth="1"/>
    <col min="7432" max="7432" width="3" style="71" customWidth="1"/>
    <col min="7433" max="7433" width="23.453125" style="71" customWidth="1"/>
    <col min="7434" max="7434" width="8.81640625" style="71"/>
    <col min="7435" max="7435" width="17.81640625" style="71" bestFit="1" customWidth="1"/>
    <col min="7436" max="7680" width="8.81640625" style="71"/>
    <col min="7681" max="7681" width="7.26953125" style="71" customWidth="1"/>
    <col min="7682" max="7682" width="2.26953125" style="71" customWidth="1"/>
    <col min="7683" max="7683" width="6.26953125" style="71" customWidth="1"/>
    <col min="7684" max="7684" width="33.453125" style="71" customWidth="1"/>
    <col min="7685" max="7685" width="18" style="71" customWidth="1"/>
    <col min="7686" max="7686" width="27.7265625" style="71" customWidth="1"/>
    <col min="7687" max="7687" width="28.81640625" style="71" bestFit="1" customWidth="1"/>
    <col min="7688" max="7688" width="3" style="71" customWidth="1"/>
    <col min="7689" max="7689" width="23.453125" style="71" customWidth="1"/>
    <col min="7690" max="7690" width="8.81640625" style="71"/>
    <col min="7691" max="7691" width="17.81640625" style="71" bestFit="1" customWidth="1"/>
    <col min="7692" max="7936" width="8.81640625" style="71"/>
    <col min="7937" max="7937" width="7.26953125" style="71" customWidth="1"/>
    <col min="7938" max="7938" width="2.26953125" style="71" customWidth="1"/>
    <col min="7939" max="7939" width="6.26953125" style="71" customWidth="1"/>
    <col min="7940" max="7940" width="33.453125" style="71" customWidth="1"/>
    <col min="7941" max="7941" width="18" style="71" customWidth="1"/>
    <col min="7942" max="7942" width="27.7265625" style="71" customWidth="1"/>
    <col min="7943" max="7943" width="28.81640625" style="71" bestFit="1" customWidth="1"/>
    <col min="7944" max="7944" width="3" style="71" customWidth="1"/>
    <col min="7945" max="7945" width="23.453125" style="71" customWidth="1"/>
    <col min="7946" max="7946" width="8.81640625" style="71"/>
    <col min="7947" max="7947" width="17.81640625" style="71" bestFit="1" customWidth="1"/>
    <col min="7948" max="8192" width="8.81640625" style="71"/>
    <col min="8193" max="8193" width="7.26953125" style="71" customWidth="1"/>
    <col min="8194" max="8194" width="2.26953125" style="71" customWidth="1"/>
    <col min="8195" max="8195" width="6.26953125" style="71" customWidth="1"/>
    <col min="8196" max="8196" width="33.453125" style="71" customWidth="1"/>
    <col min="8197" max="8197" width="18" style="71" customWidth="1"/>
    <col min="8198" max="8198" width="27.7265625" style="71" customWidth="1"/>
    <col min="8199" max="8199" width="28.81640625" style="71" bestFit="1" customWidth="1"/>
    <col min="8200" max="8200" width="3" style="71" customWidth="1"/>
    <col min="8201" max="8201" width="23.453125" style="71" customWidth="1"/>
    <col min="8202" max="8202" width="8.81640625" style="71"/>
    <col min="8203" max="8203" width="17.81640625" style="71" bestFit="1" customWidth="1"/>
    <col min="8204" max="8448" width="8.81640625" style="71"/>
    <col min="8449" max="8449" width="7.26953125" style="71" customWidth="1"/>
    <col min="8450" max="8450" width="2.26953125" style="71" customWidth="1"/>
    <col min="8451" max="8451" width="6.26953125" style="71" customWidth="1"/>
    <col min="8452" max="8452" width="33.453125" style="71" customWidth="1"/>
    <col min="8453" max="8453" width="18" style="71" customWidth="1"/>
    <col min="8454" max="8454" width="27.7265625" style="71" customWidth="1"/>
    <col min="8455" max="8455" width="28.81640625" style="71" bestFit="1" customWidth="1"/>
    <col min="8456" max="8456" width="3" style="71" customWidth="1"/>
    <col min="8457" max="8457" width="23.453125" style="71" customWidth="1"/>
    <col min="8458" max="8458" width="8.81640625" style="71"/>
    <col min="8459" max="8459" width="17.81640625" style="71" bestFit="1" customWidth="1"/>
    <col min="8460" max="8704" width="8.81640625" style="71"/>
    <col min="8705" max="8705" width="7.26953125" style="71" customWidth="1"/>
    <col min="8706" max="8706" width="2.26953125" style="71" customWidth="1"/>
    <col min="8707" max="8707" width="6.26953125" style="71" customWidth="1"/>
    <col min="8708" max="8708" width="33.453125" style="71" customWidth="1"/>
    <col min="8709" max="8709" width="18" style="71" customWidth="1"/>
    <col min="8710" max="8710" width="27.7265625" style="71" customWidth="1"/>
    <col min="8711" max="8711" width="28.81640625" style="71" bestFit="1" customWidth="1"/>
    <col min="8712" max="8712" width="3" style="71" customWidth="1"/>
    <col min="8713" max="8713" width="23.453125" style="71" customWidth="1"/>
    <col min="8714" max="8714" width="8.81640625" style="71"/>
    <col min="8715" max="8715" width="17.81640625" style="71" bestFit="1" customWidth="1"/>
    <col min="8716" max="8960" width="8.81640625" style="71"/>
    <col min="8961" max="8961" width="7.26953125" style="71" customWidth="1"/>
    <col min="8962" max="8962" width="2.26953125" style="71" customWidth="1"/>
    <col min="8963" max="8963" width="6.26953125" style="71" customWidth="1"/>
    <col min="8964" max="8964" width="33.453125" style="71" customWidth="1"/>
    <col min="8965" max="8965" width="18" style="71" customWidth="1"/>
    <col min="8966" max="8966" width="27.7265625" style="71" customWidth="1"/>
    <col min="8967" max="8967" width="28.81640625" style="71" bestFit="1" customWidth="1"/>
    <col min="8968" max="8968" width="3" style="71" customWidth="1"/>
    <col min="8969" max="8969" width="23.453125" style="71" customWidth="1"/>
    <col min="8970" max="8970" width="8.81640625" style="71"/>
    <col min="8971" max="8971" width="17.81640625" style="71" bestFit="1" customWidth="1"/>
    <col min="8972" max="9216" width="8.81640625" style="71"/>
    <col min="9217" max="9217" width="7.26953125" style="71" customWidth="1"/>
    <col min="9218" max="9218" width="2.26953125" style="71" customWidth="1"/>
    <col min="9219" max="9219" width="6.26953125" style="71" customWidth="1"/>
    <col min="9220" max="9220" width="33.453125" style="71" customWidth="1"/>
    <col min="9221" max="9221" width="18" style="71" customWidth="1"/>
    <col min="9222" max="9222" width="27.7265625" style="71" customWidth="1"/>
    <col min="9223" max="9223" width="28.81640625" style="71" bestFit="1" customWidth="1"/>
    <col min="9224" max="9224" width="3" style="71" customWidth="1"/>
    <col min="9225" max="9225" width="23.453125" style="71" customWidth="1"/>
    <col min="9226" max="9226" width="8.81640625" style="71"/>
    <col min="9227" max="9227" width="17.81640625" style="71" bestFit="1" customWidth="1"/>
    <col min="9228" max="9472" width="8.81640625" style="71"/>
    <col min="9473" max="9473" width="7.26953125" style="71" customWidth="1"/>
    <col min="9474" max="9474" width="2.26953125" style="71" customWidth="1"/>
    <col min="9475" max="9475" width="6.26953125" style="71" customWidth="1"/>
    <col min="9476" max="9476" width="33.453125" style="71" customWidth="1"/>
    <col min="9477" max="9477" width="18" style="71" customWidth="1"/>
    <col min="9478" max="9478" width="27.7265625" style="71" customWidth="1"/>
    <col min="9479" max="9479" width="28.81640625" style="71" bestFit="1" customWidth="1"/>
    <col min="9480" max="9480" width="3" style="71" customWidth="1"/>
    <col min="9481" max="9481" width="23.453125" style="71" customWidth="1"/>
    <col min="9482" max="9482" width="8.81640625" style="71"/>
    <col min="9483" max="9483" width="17.81640625" style="71" bestFit="1" customWidth="1"/>
    <col min="9484" max="9728" width="8.81640625" style="71"/>
    <col min="9729" max="9729" width="7.26953125" style="71" customWidth="1"/>
    <col min="9730" max="9730" width="2.26953125" style="71" customWidth="1"/>
    <col min="9731" max="9731" width="6.26953125" style="71" customWidth="1"/>
    <col min="9732" max="9732" width="33.453125" style="71" customWidth="1"/>
    <col min="9733" max="9733" width="18" style="71" customWidth="1"/>
    <col min="9734" max="9734" width="27.7265625" style="71" customWidth="1"/>
    <col min="9735" max="9735" width="28.81640625" style="71" bestFit="1" customWidth="1"/>
    <col min="9736" max="9736" width="3" style="71" customWidth="1"/>
    <col min="9737" max="9737" width="23.453125" style="71" customWidth="1"/>
    <col min="9738" max="9738" width="8.81640625" style="71"/>
    <col min="9739" max="9739" width="17.81640625" style="71" bestFit="1" customWidth="1"/>
    <col min="9740" max="9984" width="8.81640625" style="71"/>
    <col min="9985" max="9985" width="7.26953125" style="71" customWidth="1"/>
    <col min="9986" max="9986" width="2.26953125" style="71" customWidth="1"/>
    <col min="9987" max="9987" width="6.26953125" style="71" customWidth="1"/>
    <col min="9988" max="9988" width="33.453125" style="71" customWidth="1"/>
    <col min="9989" max="9989" width="18" style="71" customWidth="1"/>
    <col min="9990" max="9990" width="27.7265625" style="71" customWidth="1"/>
    <col min="9991" max="9991" width="28.81640625" style="71" bestFit="1" customWidth="1"/>
    <col min="9992" max="9992" width="3" style="71" customWidth="1"/>
    <col min="9993" max="9993" width="23.453125" style="71" customWidth="1"/>
    <col min="9994" max="9994" width="8.81640625" style="71"/>
    <col min="9995" max="9995" width="17.81640625" style="71" bestFit="1" customWidth="1"/>
    <col min="9996" max="10240" width="8.81640625" style="71"/>
    <col min="10241" max="10241" width="7.26953125" style="71" customWidth="1"/>
    <col min="10242" max="10242" width="2.26953125" style="71" customWidth="1"/>
    <col min="10243" max="10243" width="6.26953125" style="71" customWidth="1"/>
    <col min="10244" max="10244" width="33.453125" style="71" customWidth="1"/>
    <col min="10245" max="10245" width="18" style="71" customWidth="1"/>
    <col min="10246" max="10246" width="27.7265625" style="71" customWidth="1"/>
    <col min="10247" max="10247" width="28.81640625" style="71" bestFit="1" customWidth="1"/>
    <col min="10248" max="10248" width="3" style="71" customWidth="1"/>
    <col min="10249" max="10249" width="23.453125" style="71" customWidth="1"/>
    <col min="10250" max="10250" width="8.81640625" style="71"/>
    <col min="10251" max="10251" width="17.81640625" style="71" bestFit="1" customWidth="1"/>
    <col min="10252" max="10496" width="8.81640625" style="71"/>
    <col min="10497" max="10497" width="7.26953125" style="71" customWidth="1"/>
    <col min="10498" max="10498" width="2.26953125" style="71" customWidth="1"/>
    <col min="10499" max="10499" width="6.26953125" style="71" customWidth="1"/>
    <col min="10500" max="10500" width="33.453125" style="71" customWidth="1"/>
    <col min="10501" max="10501" width="18" style="71" customWidth="1"/>
    <col min="10502" max="10502" width="27.7265625" style="71" customWidth="1"/>
    <col min="10503" max="10503" width="28.81640625" style="71" bestFit="1" customWidth="1"/>
    <col min="10504" max="10504" width="3" style="71" customWidth="1"/>
    <col min="10505" max="10505" width="23.453125" style="71" customWidth="1"/>
    <col min="10506" max="10506" width="8.81640625" style="71"/>
    <col min="10507" max="10507" width="17.81640625" style="71" bestFit="1" customWidth="1"/>
    <col min="10508" max="10752" width="8.81640625" style="71"/>
    <col min="10753" max="10753" width="7.26953125" style="71" customWidth="1"/>
    <col min="10754" max="10754" width="2.26953125" style="71" customWidth="1"/>
    <col min="10755" max="10755" width="6.26953125" style="71" customWidth="1"/>
    <col min="10756" max="10756" width="33.453125" style="71" customWidth="1"/>
    <col min="10757" max="10757" width="18" style="71" customWidth="1"/>
    <col min="10758" max="10758" width="27.7265625" style="71" customWidth="1"/>
    <col min="10759" max="10759" width="28.81640625" style="71" bestFit="1" customWidth="1"/>
    <col min="10760" max="10760" width="3" style="71" customWidth="1"/>
    <col min="10761" max="10761" width="23.453125" style="71" customWidth="1"/>
    <col min="10762" max="10762" width="8.81640625" style="71"/>
    <col min="10763" max="10763" width="17.81640625" style="71" bestFit="1" customWidth="1"/>
    <col min="10764" max="11008" width="8.81640625" style="71"/>
    <col min="11009" max="11009" width="7.26953125" style="71" customWidth="1"/>
    <col min="11010" max="11010" width="2.26953125" style="71" customWidth="1"/>
    <col min="11011" max="11011" width="6.26953125" style="71" customWidth="1"/>
    <col min="11012" max="11012" width="33.453125" style="71" customWidth="1"/>
    <col min="11013" max="11013" width="18" style="71" customWidth="1"/>
    <col min="11014" max="11014" width="27.7265625" style="71" customWidth="1"/>
    <col min="11015" max="11015" width="28.81640625" style="71" bestFit="1" customWidth="1"/>
    <col min="11016" max="11016" width="3" style="71" customWidth="1"/>
    <col min="11017" max="11017" width="23.453125" style="71" customWidth="1"/>
    <col min="11018" max="11018" width="8.81640625" style="71"/>
    <col min="11019" max="11019" width="17.81640625" style="71" bestFit="1" customWidth="1"/>
    <col min="11020" max="11264" width="8.81640625" style="71"/>
    <col min="11265" max="11265" width="7.26953125" style="71" customWidth="1"/>
    <col min="11266" max="11266" width="2.26953125" style="71" customWidth="1"/>
    <col min="11267" max="11267" width="6.26953125" style="71" customWidth="1"/>
    <col min="11268" max="11268" width="33.453125" style="71" customWidth="1"/>
    <col min="11269" max="11269" width="18" style="71" customWidth="1"/>
    <col min="11270" max="11270" width="27.7265625" style="71" customWidth="1"/>
    <col min="11271" max="11271" width="28.81640625" style="71" bestFit="1" customWidth="1"/>
    <col min="11272" max="11272" width="3" style="71" customWidth="1"/>
    <col min="11273" max="11273" width="23.453125" style="71" customWidth="1"/>
    <col min="11274" max="11274" width="8.81640625" style="71"/>
    <col min="11275" max="11275" width="17.81640625" style="71" bestFit="1" customWidth="1"/>
    <col min="11276" max="11520" width="8.81640625" style="71"/>
    <col min="11521" max="11521" width="7.26953125" style="71" customWidth="1"/>
    <col min="11522" max="11522" width="2.26953125" style="71" customWidth="1"/>
    <col min="11523" max="11523" width="6.26953125" style="71" customWidth="1"/>
    <col min="11524" max="11524" width="33.453125" style="71" customWidth="1"/>
    <col min="11525" max="11525" width="18" style="71" customWidth="1"/>
    <col min="11526" max="11526" width="27.7265625" style="71" customWidth="1"/>
    <col min="11527" max="11527" width="28.81640625" style="71" bestFit="1" customWidth="1"/>
    <col min="11528" max="11528" width="3" style="71" customWidth="1"/>
    <col min="11529" max="11529" width="23.453125" style="71" customWidth="1"/>
    <col min="11530" max="11530" width="8.81640625" style="71"/>
    <col min="11531" max="11531" width="17.81640625" style="71" bestFit="1" customWidth="1"/>
    <col min="11532" max="11776" width="8.81640625" style="71"/>
    <col min="11777" max="11777" width="7.26953125" style="71" customWidth="1"/>
    <col min="11778" max="11778" width="2.26953125" style="71" customWidth="1"/>
    <col min="11779" max="11779" width="6.26953125" style="71" customWidth="1"/>
    <col min="11780" max="11780" width="33.453125" style="71" customWidth="1"/>
    <col min="11781" max="11781" width="18" style="71" customWidth="1"/>
    <col min="11782" max="11782" width="27.7265625" style="71" customWidth="1"/>
    <col min="11783" max="11783" width="28.81640625" style="71" bestFit="1" customWidth="1"/>
    <col min="11784" max="11784" width="3" style="71" customWidth="1"/>
    <col min="11785" max="11785" width="23.453125" style="71" customWidth="1"/>
    <col min="11786" max="11786" width="8.81640625" style="71"/>
    <col min="11787" max="11787" width="17.81640625" style="71" bestFit="1" customWidth="1"/>
    <col min="11788" max="12032" width="8.81640625" style="71"/>
    <col min="12033" max="12033" width="7.26953125" style="71" customWidth="1"/>
    <col min="12034" max="12034" width="2.26953125" style="71" customWidth="1"/>
    <col min="12035" max="12035" width="6.26953125" style="71" customWidth="1"/>
    <col min="12036" max="12036" width="33.453125" style="71" customWidth="1"/>
    <col min="12037" max="12037" width="18" style="71" customWidth="1"/>
    <col min="12038" max="12038" width="27.7265625" style="71" customWidth="1"/>
    <col min="12039" max="12039" width="28.81640625" style="71" bestFit="1" customWidth="1"/>
    <col min="12040" max="12040" width="3" style="71" customWidth="1"/>
    <col min="12041" max="12041" width="23.453125" style="71" customWidth="1"/>
    <col min="12042" max="12042" width="8.81640625" style="71"/>
    <col min="12043" max="12043" width="17.81640625" style="71" bestFit="1" customWidth="1"/>
    <col min="12044" max="12288" width="8.81640625" style="71"/>
    <col min="12289" max="12289" width="7.26953125" style="71" customWidth="1"/>
    <col min="12290" max="12290" width="2.26953125" style="71" customWidth="1"/>
    <col min="12291" max="12291" width="6.26953125" style="71" customWidth="1"/>
    <col min="12292" max="12292" width="33.453125" style="71" customWidth="1"/>
    <col min="12293" max="12293" width="18" style="71" customWidth="1"/>
    <col min="12294" max="12294" width="27.7265625" style="71" customWidth="1"/>
    <col min="12295" max="12295" width="28.81640625" style="71" bestFit="1" customWidth="1"/>
    <col min="12296" max="12296" width="3" style="71" customWidth="1"/>
    <col min="12297" max="12297" width="23.453125" style="71" customWidth="1"/>
    <col min="12298" max="12298" width="8.81640625" style="71"/>
    <col min="12299" max="12299" width="17.81640625" style="71" bestFit="1" customWidth="1"/>
    <col min="12300" max="12544" width="8.81640625" style="71"/>
    <col min="12545" max="12545" width="7.26953125" style="71" customWidth="1"/>
    <col min="12546" max="12546" width="2.26953125" style="71" customWidth="1"/>
    <col min="12547" max="12547" width="6.26953125" style="71" customWidth="1"/>
    <col min="12548" max="12548" width="33.453125" style="71" customWidth="1"/>
    <col min="12549" max="12549" width="18" style="71" customWidth="1"/>
    <col min="12550" max="12550" width="27.7265625" style="71" customWidth="1"/>
    <col min="12551" max="12551" width="28.81640625" style="71" bestFit="1" customWidth="1"/>
    <col min="12552" max="12552" width="3" style="71" customWidth="1"/>
    <col min="12553" max="12553" width="23.453125" style="71" customWidth="1"/>
    <col min="12554" max="12554" width="8.81640625" style="71"/>
    <col min="12555" max="12555" width="17.81640625" style="71" bestFit="1" customWidth="1"/>
    <col min="12556" max="12800" width="8.81640625" style="71"/>
    <col min="12801" max="12801" width="7.26953125" style="71" customWidth="1"/>
    <col min="12802" max="12802" width="2.26953125" style="71" customWidth="1"/>
    <col min="12803" max="12803" width="6.26953125" style="71" customWidth="1"/>
    <col min="12804" max="12804" width="33.453125" style="71" customWidth="1"/>
    <col min="12805" max="12805" width="18" style="71" customWidth="1"/>
    <col min="12806" max="12806" width="27.7265625" style="71" customWidth="1"/>
    <col min="12807" max="12807" width="28.81640625" style="71" bestFit="1" customWidth="1"/>
    <col min="12808" max="12808" width="3" style="71" customWidth="1"/>
    <col min="12809" max="12809" width="23.453125" style="71" customWidth="1"/>
    <col min="12810" max="12810" width="8.81640625" style="71"/>
    <col min="12811" max="12811" width="17.81640625" style="71" bestFit="1" customWidth="1"/>
    <col min="12812" max="13056" width="8.81640625" style="71"/>
    <col min="13057" max="13057" width="7.26953125" style="71" customWidth="1"/>
    <col min="13058" max="13058" width="2.26953125" style="71" customWidth="1"/>
    <col min="13059" max="13059" width="6.26953125" style="71" customWidth="1"/>
    <col min="13060" max="13060" width="33.453125" style="71" customWidth="1"/>
    <col min="13061" max="13061" width="18" style="71" customWidth="1"/>
    <col min="13062" max="13062" width="27.7265625" style="71" customWidth="1"/>
    <col min="13063" max="13063" width="28.81640625" style="71" bestFit="1" customWidth="1"/>
    <col min="13064" max="13064" width="3" style="71" customWidth="1"/>
    <col min="13065" max="13065" width="23.453125" style="71" customWidth="1"/>
    <col min="13066" max="13066" width="8.81640625" style="71"/>
    <col min="13067" max="13067" width="17.81640625" style="71" bestFit="1" customWidth="1"/>
    <col min="13068" max="13312" width="8.81640625" style="71"/>
    <col min="13313" max="13313" width="7.26953125" style="71" customWidth="1"/>
    <col min="13314" max="13314" width="2.26953125" style="71" customWidth="1"/>
    <col min="13315" max="13315" width="6.26953125" style="71" customWidth="1"/>
    <col min="13316" max="13316" width="33.453125" style="71" customWidth="1"/>
    <col min="13317" max="13317" width="18" style="71" customWidth="1"/>
    <col min="13318" max="13318" width="27.7265625" style="71" customWidth="1"/>
    <col min="13319" max="13319" width="28.81640625" style="71" bestFit="1" customWidth="1"/>
    <col min="13320" max="13320" width="3" style="71" customWidth="1"/>
    <col min="13321" max="13321" width="23.453125" style="71" customWidth="1"/>
    <col min="13322" max="13322" width="8.81640625" style="71"/>
    <col min="13323" max="13323" width="17.81640625" style="71" bestFit="1" customWidth="1"/>
    <col min="13324" max="13568" width="8.81640625" style="71"/>
    <col min="13569" max="13569" width="7.26953125" style="71" customWidth="1"/>
    <col min="13570" max="13570" width="2.26953125" style="71" customWidth="1"/>
    <col min="13571" max="13571" width="6.26953125" style="71" customWidth="1"/>
    <col min="13572" max="13572" width="33.453125" style="71" customWidth="1"/>
    <col min="13573" max="13573" width="18" style="71" customWidth="1"/>
    <col min="13574" max="13574" width="27.7265625" style="71" customWidth="1"/>
    <col min="13575" max="13575" width="28.81640625" style="71" bestFit="1" customWidth="1"/>
    <col min="13576" max="13576" width="3" style="71" customWidth="1"/>
    <col min="13577" max="13577" width="23.453125" style="71" customWidth="1"/>
    <col min="13578" max="13578" width="8.81640625" style="71"/>
    <col min="13579" max="13579" width="17.81640625" style="71" bestFit="1" customWidth="1"/>
    <col min="13580" max="13824" width="8.81640625" style="71"/>
    <col min="13825" max="13825" width="7.26953125" style="71" customWidth="1"/>
    <col min="13826" max="13826" width="2.26953125" style="71" customWidth="1"/>
    <col min="13827" max="13827" width="6.26953125" style="71" customWidth="1"/>
    <col min="13828" max="13828" width="33.453125" style="71" customWidth="1"/>
    <col min="13829" max="13829" width="18" style="71" customWidth="1"/>
    <col min="13830" max="13830" width="27.7265625" style="71" customWidth="1"/>
    <col min="13831" max="13831" width="28.81640625" style="71" bestFit="1" customWidth="1"/>
    <col min="13832" max="13832" width="3" style="71" customWidth="1"/>
    <col min="13833" max="13833" width="23.453125" style="71" customWidth="1"/>
    <col min="13834" max="13834" width="8.81640625" style="71"/>
    <col min="13835" max="13835" width="17.81640625" style="71" bestFit="1" customWidth="1"/>
    <col min="13836" max="14080" width="8.81640625" style="71"/>
    <col min="14081" max="14081" width="7.26953125" style="71" customWidth="1"/>
    <col min="14082" max="14082" width="2.26953125" style="71" customWidth="1"/>
    <col min="14083" max="14083" width="6.26953125" style="71" customWidth="1"/>
    <col min="14084" max="14084" width="33.453125" style="71" customWidth="1"/>
    <col min="14085" max="14085" width="18" style="71" customWidth="1"/>
    <col min="14086" max="14086" width="27.7265625" style="71" customWidth="1"/>
    <col min="14087" max="14087" width="28.81640625" style="71" bestFit="1" customWidth="1"/>
    <col min="14088" max="14088" width="3" style="71" customWidth="1"/>
    <col min="14089" max="14089" width="23.453125" style="71" customWidth="1"/>
    <col min="14090" max="14090" width="8.81640625" style="71"/>
    <col min="14091" max="14091" width="17.81640625" style="71" bestFit="1" customWidth="1"/>
    <col min="14092" max="14336" width="8.81640625" style="71"/>
    <col min="14337" max="14337" width="7.26953125" style="71" customWidth="1"/>
    <col min="14338" max="14338" width="2.26953125" style="71" customWidth="1"/>
    <col min="14339" max="14339" width="6.26953125" style="71" customWidth="1"/>
    <col min="14340" max="14340" width="33.453125" style="71" customWidth="1"/>
    <col min="14341" max="14341" width="18" style="71" customWidth="1"/>
    <col min="14342" max="14342" width="27.7265625" style="71" customWidth="1"/>
    <col min="14343" max="14343" width="28.81640625" style="71" bestFit="1" customWidth="1"/>
    <col min="14344" max="14344" width="3" style="71" customWidth="1"/>
    <col min="14345" max="14345" width="23.453125" style="71" customWidth="1"/>
    <col min="14346" max="14346" width="8.81640625" style="71"/>
    <col min="14347" max="14347" width="17.81640625" style="71" bestFit="1" customWidth="1"/>
    <col min="14348" max="14592" width="8.81640625" style="71"/>
    <col min="14593" max="14593" width="7.26953125" style="71" customWidth="1"/>
    <col min="14594" max="14594" width="2.26953125" style="71" customWidth="1"/>
    <col min="14595" max="14595" width="6.26953125" style="71" customWidth="1"/>
    <col min="14596" max="14596" width="33.453125" style="71" customWidth="1"/>
    <col min="14597" max="14597" width="18" style="71" customWidth="1"/>
    <col min="14598" max="14598" width="27.7265625" style="71" customWidth="1"/>
    <col min="14599" max="14599" width="28.81640625" style="71" bestFit="1" customWidth="1"/>
    <col min="14600" max="14600" width="3" style="71" customWidth="1"/>
    <col min="14601" max="14601" width="23.453125" style="71" customWidth="1"/>
    <col min="14602" max="14602" width="8.81640625" style="71"/>
    <col min="14603" max="14603" width="17.81640625" style="71" bestFit="1" customWidth="1"/>
    <col min="14604" max="14848" width="8.81640625" style="71"/>
    <col min="14849" max="14849" width="7.26953125" style="71" customWidth="1"/>
    <col min="14850" max="14850" width="2.26953125" style="71" customWidth="1"/>
    <col min="14851" max="14851" width="6.26953125" style="71" customWidth="1"/>
    <col min="14852" max="14852" width="33.453125" style="71" customWidth="1"/>
    <col min="14853" max="14853" width="18" style="71" customWidth="1"/>
    <col min="14854" max="14854" width="27.7265625" style="71" customWidth="1"/>
    <col min="14855" max="14855" width="28.81640625" style="71" bestFit="1" customWidth="1"/>
    <col min="14856" max="14856" width="3" style="71" customWidth="1"/>
    <col min="14857" max="14857" width="23.453125" style="71" customWidth="1"/>
    <col min="14858" max="14858" width="8.81640625" style="71"/>
    <col min="14859" max="14859" width="17.81640625" style="71" bestFit="1" customWidth="1"/>
    <col min="14860" max="15104" width="8.81640625" style="71"/>
    <col min="15105" max="15105" width="7.26953125" style="71" customWidth="1"/>
    <col min="15106" max="15106" width="2.26953125" style="71" customWidth="1"/>
    <col min="15107" max="15107" width="6.26953125" style="71" customWidth="1"/>
    <col min="15108" max="15108" width="33.453125" style="71" customWidth="1"/>
    <col min="15109" max="15109" width="18" style="71" customWidth="1"/>
    <col min="15110" max="15110" width="27.7265625" style="71" customWidth="1"/>
    <col min="15111" max="15111" width="28.81640625" style="71" bestFit="1" customWidth="1"/>
    <col min="15112" max="15112" width="3" style="71" customWidth="1"/>
    <col min="15113" max="15113" width="23.453125" style="71" customWidth="1"/>
    <col min="15114" max="15114" width="8.81640625" style="71"/>
    <col min="15115" max="15115" width="17.81640625" style="71" bestFit="1" customWidth="1"/>
    <col min="15116" max="15360" width="8.81640625" style="71"/>
    <col min="15361" max="15361" width="7.26953125" style="71" customWidth="1"/>
    <col min="15362" max="15362" width="2.26953125" style="71" customWidth="1"/>
    <col min="15363" max="15363" width="6.26953125" style="71" customWidth="1"/>
    <col min="15364" max="15364" width="33.453125" style="71" customWidth="1"/>
    <col min="15365" max="15365" width="18" style="71" customWidth="1"/>
    <col min="15366" max="15366" width="27.7265625" style="71" customWidth="1"/>
    <col min="15367" max="15367" width="28.81640625" style="71" bestFit="1" customWidth="1"/>
    <col min="15368" max="15368" width="3" style="71" customWidth="1"/>
    <col min="15369" max="15369" width="23.453125" style="71" customWidth="1"/>
    <col min="15370" max="15370" width="8.81640625" style="71"/>
    <col min="15371" max="15371" width="17.81640625" style="71" bestFit="1" customWidth="1"/>
    <col min="15372" max="15616" width="8.81640625" style="71"/>
    <col min="15617" max="15617" width="7.26953125" style="71" customWidth="1"/>
    <col min="15618" max="15618" width="2.26953125" style="71" customWidth="1"/>
    <col min="15619" max="15619" width="6.26953125" style="71" customWidth="1"/>
    <col min="15620" max="15620" width="33.453125" style="71" customWidth="1"/>
    <col min="15621" max="15621" width="18" style="71" customWidth="1"/>
    <col min="15622" max="15622" width="27.7265625" style="71" customWidth="1"/>
    <col min="15623" max="15623" width="28.81640625" style="71" bestFit="1" customWidth="1"/>
    <col min="15624" max="15624" width="3" style="71" customWidth="1"/>
    <col min="15625" max="15625" width="23.453125" style="71" customWidth="1"/>
    <col min="15626" max="15626" width="8.81640625" style="71"/>
    <col min="15627" max="15627" width="17.81640625" style="71" bestFit="1" customWidth="1"/>
    <col min="15628" max="15872" width="8.81640625" style="71"/>
    <col min="15873" max="15873" width="7.26953125" style="71" customWidth="1"/>
    <col min="15874" max="15874" width="2.26953125" style="71" customWidth="1"/>
    <col min="15875" max="15875" width="6.26953125" style="71" customWidth="1"/>
    <col min="15876" max="15876" width="33.453125" style="71" customWidth="1"/>
    <col min="15877" max="15877" width="18" style="71" customWidth="1"/>
    <col min="15878" max="15878" width="27.7265625" style="71" customWidth="1"/>
    <col min="15879" max="15879" width="28.81640625" style="71" bestFit="1" customWidth="1"/>
    <col min="15880" max="15880" width="3" style="71" customWidth="1"/>
    <col min="15881" max="15881" width="23.453125" style="71" customWidth="1"/>
    <col min="15882" max="15882" width="8.81640625" style="71"/>
    <col min="15883" max="15883" width="17.81640625" style="71" bestFit="1" customWidth="1"/>
    <col min="15884" max="16128" width="8.81640625" style="71"/>
    <col min="16129" max="16129" width="7.26953125" style="71" customWidth="1"/>
    <col min="16130" max="16130" width="2.26953125" style="71" customWidth="1"/>
    <col min="16131" max="16131" width="6.26953125" style="71" customWidth="1"/>
    <col min="16132" max="16132" width="33.453125" style="71" customWidth="1"/>
    <col min="16133" max="16133" width="18" style="71" customWidth="1"/>
    <col min="16134" max="16134" width="27.7265625" style="71" customWidth="1"/>
    <col min="16135" max="16135" width="28.81640625" style="71" bestFit="1" customWidth="1"/>
    <col min="16136" max="16136" width="3" style="71" customWidth="1"/>
    <col min="16137" max="16137" width="23.453125" style="71" customWidth="1"/>
    <col min="16138" max="16138" width="8.81640625" style="71"/>
    <col min="16139" max="16139" width="17.81640625" style="71" bestFit="1" customWidth="1"/>
    <col min="16140" max="16384" width="8.81640625" style="71"/>
  </cols>
  <sheetData>
    <row r="1" spans="1:11" ht="17.55" customHeight="1">
      <c r="A1" s="983"/>
      <c r="B1" s="984"/>
      <c r="C1" s="984"/>
      <c r="D1" s="984"/>
      <c r="E1" s="984"/>
      <c r="F1" s="984"/>
      <c r="G1" s="984"/>
      <c r="H1" s="984"/>
      <c r="I1" s="984"/>
      <c r="K1" s="3" t="s">
        <v>451</v>
      </c>
    </row>
    <row r="2" spans="1:11" ht="18">
      <c r="A2" s="985" t="s">
        <v>419</v>
      </c>
      <c r="B2" s="985"/>
      <c r="C2" s="985"/>
      <c r="D2" s="985"/>
      <c r="E2" s="985"/>
      <c r="F2" s="985"/>
      <c r="G2" s="985"/>
      <c r="H2" s="985"/>
      <c r="I2" s="985"/>
      <c r="J2" s="72"/>
      <c r="K2" s="3" t="s">
        <v>144</v>
      </c>
    </row>
    <row r="3" spans="1:11" ht="18">
      <c r="A3" s="130"/>
      <c r="B3" s="130"/>
      <c r="C3" s="130"/>
      <c r="D3" s="130"/>
      <c r="E3" s="130"/>
      <c r="F3" s="130"/>
      <c r="G3" s="130"/>
      <c r="H3" s="130"/>
      <c r="I3" s="130"/>
      <c r="K3" s="3" t="str">
        <f>'Attachment 1 - Sched 1A'!J3</f>
        <v>For the 12 months ended 12/31/2023</v>
      </c>
    </row>
    <row r="5" spans="1:11" s="73" customFormat="1" ht="15">
      <c r="A5" s="74"/>
      <c r="B5" s="74"/>
    </row>
    <row r="6" spans="1:11" s="73" customFormat="1" ht="15">
      <c r="A6" s="74"/>
      <c r="B6" s="74"/>
      <c r="G6" s="295"/>
    </row>
    <row r="7" spans="1:11" s="73" customFormat="1" ht="15">
      <c r="A7" s="74"/>
      <c r="B7" s="74"/>
    </row>
    <row r="8" spans="1:11" s="73" customFormat="1" ht="15.6">
      <c r="A8" s="77" t="s">
        <v>229</v>
      </c>
      <c r="B8" s="78"/>
      <c r="C8" s="78"/>
      <c r="D8" s="78"/>
      <c r="E8" s="78"/>
      <c r="F8" s="78"/>
      <c r="G8" s="78"/>
      <c r="H8" s="78"/>
      <c r="I8" s="78"/>
    </row>
    <row r="9" spans="1:11" s="73" customFormat="1" ht="15.6">
      <c r="A9" s="79"/>
      <c r="G9" s="80" t="s">
        <v>230</v>
      </c>
    </row>
    <row r="10" spans="1:11" s="73" customFormat="1" ht="15">
      <c r="I10" s="81"/>
    </row>
    <row r="11" spans="1:11" s="73" customFormat="1" ht="15">
      <c r="A11" s="74">
        <v>1</v>
      </c>
      <c r="C11" s="82" t="s">
        <v>401</v>
      </c>
      <c r="D11" s="82"/>
      <c r="F11" s="82"/>
      <c r="G11" s="83" t="s">
        <v>878</v>
      </c>
      <c r="H11" s="82"/>
      <c r="I11" s="76">
        <f ca="1">'Attachment H-4A JCP&amp;L '!I89</f>
        <v>1121283645.5097344</v>
      </c>
    </row>
    <row r="12" spans="1:11" s="73" customFormat="1" ht="15">
      <c r="G12" s="82"/>
      <c r="I12" s="81"/>
    </row>
    <row r="13" spans="1:11" s="73" customFormat="1" ht="15">
      <c r="A13" s="74"/>
      <c r="B13" s="82"/>
      <c r="C13" s="82"/>
      <c r="D13" s="82"/>
      <c r="F13" s="75"/>
      <c r="G13" s="82"/>
      <c r="H13" s="75"/>
      <c r="I13" s="75"/>
    </row>
    <row r="14" spans="1:11" s="73" customFormat="1" ht="15.6">
      <c r="A14" s="74">
        <f>A11+1</f>
        <v>2</v>
      </c>
      <c r="B14" s="82"/>
      <c r="C14" s="82" t="s">
        <v>402</v>
      </c>
      <c r="D14" s="84"/>
      <c r="F14" s="73" t="s">
        <v>403</v>
      </c>
      <c r="G14" s="83" t="s">
        <v>929</v>
      </c>
      <c r="H14" s="75"/>
      <c r="I14" s="75">
        <f>'Attachment H-4A JCP&amp;L '!I197</f>
        <v>0</v>
      </c>
    </row>
    <row r="15" spans="1:11" s="73" customFormat="1" ht="15">
      <c r="A15" s="74"/>
      <c r="B15" s="82"/>
      <c r="C15" s="82"/>
      <c r="D15" s="82"/>
      <c r="G15" s="83"/>
      <c r="H15" s="75"/>
      <c r="I15" s="75"/>
    </row>
    <row r="16" spans="1:11" s="73" customFormat="1" ht="15.6">
      <c r="A16" s="74"/>
      <c r="B16" s="82"/>
      <c r="C16" s="82" t="s">
        <v>62</v>
      </c>
      <c r="D16" s="85"/>
      <c r="G16" s="83"/>
      <c r="H16" s="75"/>
      <c r="I16" s="75"/>
    </row>
    <row r="17" spans="1:9" s="73" customFormat="1" ht="15">
      <c r="A17" s="74">
        <f>A14+1</f>
        <v>3</v>
      </c>
      <c r="B17" s="82"/>
      <c r="C17" s="82"/>
      <c r="D17" s="82" t="s">
        <v>404</v>
      </c>
      <c r="E17" s="75"/>
      <c r="F17" s="75"/>
      <c r="G17" s="83" t="s">
        <v>429</v>
      </c>
      <c r="H17" s="75"/>
      <c r="I17" s="75">
        <f>'Attachment 8 - Cap Structure'!E23</f>
        <v>4043403108.008462</v>
      </c>
    </row>
    <row r="18" spans="1:9" s="73" customFormat="1" ht="15">
      <c r="A18" s="74">
        <f>A17+1</f>
        <v>4</v>
      </c>
      <c r="B18" s="82"/>
      <c r="C18" s="82"/>
      <c r="D18" s="82" t="s">
        <v>235</v>
      </c>
      <c r="E18" s="75"/>
      <c r="F18" s="75"/>
      <c r="G18" s="83" t="s">
        <v>430</v>
      </c>
      <c r="H18" s="75"/>
      <c r="I18" s="75">
        <f>'Attachment 8 - Cap Structure'!F23</f>
        <v>0</v>
      </c>
    </row>
    <row r="19" spans="1:9" s="73" customFormat="1" ht="15">
      <c r="A19" s="74">
        <f>A18+1</f>
        <v>5</v>
      </c>
      <c r="B19" s="82"/>
      <c r="C19" s="82"/>
      <c r="D19" s="82" t="s">
        <v>236</v>
      </c>
      <c r="E19" s="75"/>
      <c r="F19" s="75"/>
      <c r="G19" s="83" t="s">
        <v>433</v>
      </c>
      <c r="H19" s="75"/>
      <c r="I19" s="75">
        <f>'Attachment 8 - Cap Structure'!H23</f>
        <v>-5059892.2423076909</v>
      </c>
    </row>
    <row r="20" spans="1:9" s="73" customFormat="1" ht="15">
      <c r="A20" s="74">
        <f>+A19+1</f>
        <v>6</v>
      </c>
      <c r="B20" s="82"/>
      <c r="C20" s="82"/>
      <c r="D20" s="82" t="s">
        <v>428</v>
      </c>
      <c r="E20" s="86"/>
      <c r="F20" s="86"/>
      <c r="G20" s="87" t="s">
        <v>432</v>
      </c>
      <c r="H20" s="86"/>
      <c r="I20" s="86">
        <f>'Attachment 8 - Cap Structure'!G23+'Attachment 8 - Cap Structure'!I23</f>
        <v>1810936125</v>
      </c>
    </row>
    <row r="21" spans="1:9" s="73" customFormat="1" ht="15">
      <c r="A21" s="74">
        <f>A20+1</f>
        <v>7</v>
      </c>
      <c r="B21" s="82"/>
      <c r="C21" s="82"/>
      <c r="D21" s="82" t="s">
        <v>62</v>
      </c>
      <c r="E21" s="75"/>
      <c r="F21" s="75"/>
      <c r="G21" s="83" t="s">
        <v>431</v>
      </c>
      <c r="H21" s="75"/>
      <c r="I21" s="75">
        <f>'Attachment 8 - Cap Structure'!J23</f>
        <v>2237526875.2507691</v>
      </c>
    </row>
    <row r="22" spans="1:9" s="73" customFormat="1" ht="15">
      <c r="A22" s="74"/>
      <c r="B22" s="82"/>
      <c r="C22" s="82"/>
      <c r="D22" s="82"/>
      <c r="E22" s="75"/>
      <c r="F22" s="75"/>
      <c r="G22" s="83"/>
      <c r="H22" s="75"/>
      <c r="I22" s="75"/>
    </row>
    <row r="23" spans="1:9" s="73" customFormat="1" ht="15">
      <c r="A23" s="74"/>
      <c r="B23" s="82"/>
      <c r="C23" s="82"/>
      <c r="D23" s="82"/>
      <c r="E23" s="75"/>
      <c r="F23" s="75"/>
      <c r="G23" s="83"/>
      <c r="H23" s="75"/>
      <c r="I23" s="75"/>
    </row>
    <row r="24" spans="1:9" s="73" customFormat="1" ht="15.6">
      <c r="A24" s="74"/>
      <c r="B24" s="82"/>
      <c r="C24" s="82" t="s">
        <v>405</v>
      </c>
      <c r="D24" s="85"/>
      <c r="G24" s="83"/>
      <c r="I24" s="75"/>
    </row>
    <row r="25" spans="1:9" s="73" customFormat="1" ht="15">
      <c r="A25" s="74">
        <f>+A21+1</f>
        <v>8</v>
      </c>
      <c r="B25" s="82"/>
      <c r="C25" s="82"/>
      <c r="D25" s="82" t="s">
        <v>194</v>
      </c>
      <c r="G25" s="83" t="s">
        <v>930</v>
      </c>
      <c r="I25" s="75">
        <f>'Attachment H-4A JCP&amp;L '!D202</f>
        <v>2150000000</v>
      </c>
    </row>
    <row r="26" spans="1:9" s="73" customFormat="1" ht="15">
      <c r="A26" s="74">
        <f>A25+1</f>
        <v>9</v>
      </c>
      <c r="B26" s="82"/>
      <c r="C26" s="82"/>
      <c r="D26" s="82" t="s">
        <v>192</v>
      </c>
      <c r="G26" s="83" t="s">
        <v>931</v>
      </c>
      <c r="I26" s="75">
        <f>'Attachment H-4A JCP&amp;L '!D203</f>
        <v>0</v>
      </c>
    </row>
    <row r="27" spans="1:9" s="73" customFormat="1" ht="15">
      <c r="A27" s="74">
        <f t="shared" ref="A27:A28" si="0">A26+1</f>
        <v>10</v>
      </c>
      <c r="B27" s="82"/>
      <c r="C27" s="82"/>
      <c r="D27" s="82" t="s">
        <v>62</v>
      </c>
      <c r="G27" s="87" t="s">
        <v>932</v>
      </c>
      <c r="I27" s="75">
        <f>'Attachment H-4A JCP&amp;L '!D204</f>
        <v>2237526875.2507691</v>
      </c>
    </row>
    <row r="28" spans="1:9" s="73" customFormat="1" ht="15.6">
      <c r="A28" s="74">
        <f t="shared" si="0"/>
        <v>11</v>
      </c>
      <c r="B28" s="82"/>
      <c r="C28" s="82"/>
      <c r="D28" s="82" t="s">
        <v>406</v>
      </c>
      <c r="E28" s="88"/>
      <c r="F28" s="89"/>
      <c r="G28" s="83" t="s">
        <v>933</v>
      </c>
      <c r="H28" s="90"/>
      <c r="I28" s="90">
        <f>'Attachment H-4A JCP&amp;L '!D205</f>
        <v>4387526875.2507687</v>
      </c>
    </row>
    <row r="29" spans="1:9" s="73" customFormat="1" ht="15">
      <c r="A29" s="74"/>
      <c r="B29" s="82"/>
      <c r="C29" s="82"/>
      <c r="D29" s="82"/>
      <c r="G29" s="82"/>
      <c r="H29" s="75"/>
      <c r="I29" s="91"/>
    </row>
    <row r="30" spans="1:9" s="73" customFormat="1" ht="15">
      <c r="A30" s="74">
        <f>A28+1</f>
        <v>12</v>
      </c>
      <c r="B30" s="82"/>
      <c r="C30" s="82"/>
      <c r="D30" s="82" t="s">
        <v>407</v>
      </c>
      <c r="F30" s="82" t="s">
        <v>408</v>
      </c>
      <c r="G30" s="83" t="s">
        <v>934</v>
      </c>
      <c r="H30" s="75"/>
      <c r="I30" s="92">
        <f>'Attachment H-4A JCP&amp;L '!E202</f>
        <v>0.49002548841985544</v>
      </c>
    </row>
    <row r="31" spans="1:9" s="73" customFormat="1" ht="15">
      <c r="A31" s="74">
        <f>A30+1</f>
        <v>13</v>
      </c>
      <c r="B31" s="82"/>
      <c r="C31" s="82"/>
      <c r="D31" s="82" t="s">
        <v>409</v>
      </c>
      <c r="F31" s="82" t="s">
        <v>192</v>
      </c>
      <c r="G31" s="83" t="s">
        <v>935</v>
      </c>
      <c r="H31" s="75"/>
      <c r="I31" s="92">
        <f>'Attachment H-4A JCP&amp;L '!E203</f>
        <v>0</v>
      </c>
    </row>
    <row r="32" spans="1:9" s="73" customFormat="1" ht="15">
      <c r="A32" s="74">
        <f>A31+1</f>
        <v>14</v>
      </c>
      <c r="B32" s="82"/>
      <c r="C32" s="82"/>
      <c r="D32" s="82" t="s">
        <v>410</v>
      </c>
      <c r="F32" s="82" t="s">
        <v>62</v>
      </c>
      <c r="G32" s="83" t="s">
        <v>936</v>
      </c>
      <c r="H32" s="75"/>
      <c r="I32" s="92">
        <f>'Attachment H-4A JCP&amp;L '!E204</f>
        <v>0.50997451158014473</v>
      </c>
    </row>
    <row r="33" spans="1:11" s="73" customFormat="1" ht="15">
      <c r="A33" s="74"/>
      <c r="B33" s="82"/>
      <c r="C33" s="82"/>
      <c r="D33" s="82"/>
      <c r="F33" s="83"/>
      <c r="G33" s="82"/>
      <c r="H33" s="75"/>
      <c r="I33" s="91"/>
    </row>
    <row r="34" spans="1:11" s="73" customFormat="1" ht="15">
      <c r="A34" s="74">
        <f>A32+1</f>
        <v>15</v>
      </c>
      <c r="B34" s="82"/>
      <c r="C34" s="82"/>
      <c r="D34" s="82" t="s">
        <v>290</v>
      </c>
      <c r="F34" s="83" t="s">
        <v>408</v>
      </c>
      <c r="G34" s="83" t="s">
        <v>937</v>
      </c>
      <c r="H34" s="75"/>
      <c r="I34" s="93">
        <f>'Attachment H-4A JCP&amp;L '!G202</f>
        <v>4.58E-2</v>
      </c>
      <c r="K34" s="93"/>
    </row>
    <row r="35" spans="1:11" s="73" customFormat="1" ht="15">
      <c r="A35" s="74">
        <f>A34+1</f>
        <v>16</v>
      </c>
      <c r="B35" s="82"/>
      <c r="C35" s="82"/>
      <c r="D35" s="82" t="s">
        <v>411</v>
      </c>
      <c r="F35" s="83" t="s">
        <v>192</v>
      </c>
      <c r="G35" s="83" t="s">
        <v>938</v>
      </c>
      <c r="H35" s="75"/>
      <c r="I35" s="93">
        <f>'Attachment H-4A JCP&amp;L '!G203</f>
        <v>0</v>
      </c>
    </row>
    <row r="36" spans="1:11" s="73" customFormat="1" ht="15">
      <c r="A36" s="74">
        <f>A35+1</f>
        <v>17</v>
      </c>
      <c r="B36" s="82"/>
      <c r="C36" s="82"/>
      <c r="D36" s="82" t="s">
        <v>412</v>
      </c>
      <c r="F36" s="83" t="s">
        <v>62</v>
      </c>
      <c r="G36" s="591"/>
      <c r="H36" s="75"/>
      <c r="I36" s="305">
        <v>0.10199999999999999</v>
      </c>
      <c r="K36" s="93"/>
    </row>
    <row r="37" spans="1:11" s="73" customFormat="1" ht="15">
      <c r="A37" s="74"/>
      <c r="B37" s="82"/>
      <c r="C37" s="82"/>
      <c r="D37" s="82"/>
      <c r="F37" s="83"/>
      <c r="G37" s="82"/>
      <c r="H37" s="75"/>
    </row>
    <row r="38" spans="1:11" s="73" customFormat="1" ht="15">
      <c r="A38" s="74">
        <f>A36+1</f>
        <v>18</v>
      </c>
      <c r="B38" s="82"/>
      <c r="C38" s="82"/>
      <c r="D38" s="82" t="s">
        <v>413</v>
      </c>
      <c r="F38" s="82" t="s">
        <v>414</v>
      </c>
      <c r="G38" s="82" t="s">
        <v>252</v>
      </c>
      <c r="H38" s="94"/>
      <c r="I38" s="93">
        <f>I34*I30</f>
        <v>2.2443167369629379E-2</v>
      </c>
    </row>
    <row r="39" spans="1:11" s="73" customFormat="1" ht="15">
      <c r="A39" s="74">
        <f>A38+1</f>
        <v>19</v>
      </c>
      <c r="B39" s="82"/>
      <c r="C39" s="82"/>
      <c r="D39" s="82" t="s">
        <v>415</v>
      </c>
      <c r="F39" s="82" t="s">
        <v>192</v>
      </c>
      <c r="G39" s="82" t="s">
        <v>253</v>
      </c>
      <c r="H39" s="95"/>
      <c r="I39" s="93">
        <f>I35*I31</f>
        <v>0</v>
      </c>
    </row>
    <row r="40" spans="1:11" s="73" customFormat="1" ht="15">
      <c r="A40" s="74">
        <f>A39+1</f>
        <v>20</v>
      </c>
      <c r="B40" s="82"/>
      <c r="C40" s="82"/>
      <c r="D40" s="96" t="s">
        <v>416</v>
      </c>
      <c r="E40" s="97"/>
      <c r="F40" s="96" t="s">
        <v>62</v>
      </c>
      <c r="G40" s="96" t="s">
        <v>254</v>
      </c>
      <c r="H40" s="98"/>
      <c r="I40" s="99">
        <f>I36*I32</f>
        <v>5.2017400181174761E-2</v>
      </c>
    </row>
    <row r="41" spans="1:11" s="73" customFormat="1" ht="15.6">
      <c r="A41" s="74">
        <f>A40+1</f>
        <v>21</v>
      </c>
      <c r="B41" s="82"/>
      <c r="C41" s="82" t="s">
        <v>417</v>
      </c>
      <c r="D41" s="82"/>
      <c r="E41" s="100"/>
      <c r="F41" s="100"/>
      <c r="G41" s="82" t="str">
        <f>"(Sum Lines "&amp;A38&amp;" to "&amp;A40&amp;")"</f>
        <v>(Sum Lines 18 to 20)</v>
      </c>
      <c r="H41" s="101"/>
      <c r="I41" s="102">
        <f>SUM(I38:I40)</f>
        <v>7.4460567550804144E-2</v>
      </c>
    </row>
    <row r="42" spans="1:11" s="73" customFormat="1" ht="15.6">
      <c r="A42" s="80"/>
      <c r="B42" s="82"/>
      <c r="C42" s="82"/>
      <c r="D42" s="82"/>
      <c r="E42" s="100"/>
      <c r="F42" s="100"/>
      <c r="G42" s="85"/>
      <c r="H42" s="101"/>
      <c r="I42" s="102"/>
    </row>
    <row r="43" spans="1:11" s="73" customFormat="1" ht="16.2" thickBot="1">
      <c r="A43" s="74">
        <f>A41+1</f>
        <v>22</v>
      </c>
      <c r="B43" s="82"/>
      <c r="C43" s="82" t="s">
        <v>418</v>
      </c>
      <c r="D43" s="82"/>
      <c r="E43" s="103"/>
      <c r="F43" s="104"/>
      <c r="G43" s="105" t="str">
        <f>"(Line "&amp;A11&amp;" * Line "&amp;A41&amp;")"</f>
        <v>(Line 1 * Line 21)</v>
      </c>
      <c r="H43" s="106"/>
      <c r="I43" s="107">
        <f ca="1">+I41*I11</f>
        <v>83491416.630089507</v>
      </c>
    </row>
    <row r="44" spans="1:11" s="73" customFormat="1" ht="15.6" thickTop="1">
      <c r="A44" s="74"/>
      <c r="B44" s="74"/>
      <c r="C44" s="74"/>
      <c r="F44" s="74"/>
      <c r="G44" s="75"/>
      <c r="H44" s="75"/>
      <c r="I44" s="93"/>
    </row>
    <row r="45" spans="1:11" s="73" customFormat="1" ht="15.6">
      <c r="A45" s="108" t="s">
        <v>237</v>
      </c>
      <c r="B45" s="108"/>
      <c r="C45" s="109"/>
      <c r="D45" s="110"/>
      <c r="E45" s="78"/>
      <c r="F45" s="111"/>
      <c r="G45" s="78"/>
      <c r="H45" s="78"/>
      <c r="I45" s="112"/>
    </row>
    <row r="46" spans="1:11" s="73" customFormat="1" ht="15.6">
      <c r="A46" s="82"/>
      <c r="B46" s="82"/>
      <c r="C46" s="74"/>
      <c r="D46" s="100"/>
      <c r="F46" s="91"/>
      <c r="I46" s="113"/>
      <c r="K46" s="75"/>
    </row>
    <row r="47" spans="1:11" s="73" customFormat="1" ht="15.6">
      <c r="A47" s="74" t="s">
        <v>3</v>
      </c>
      <c r="B47" s="74"/>
      <c r="C47" s="114" t="s">
        <v>231</v>
      </c>
      <c r="F47" s="91"/>
      <c r="G47" s="75"/>
      <c r="H47" s="115"/>
    </row>
    <row r="48" spans="1:11" s="73" customFormat="1" ht="15">
      <c r="A48" s="74">
        <f>+A43+1</f>
        <v>23</v>
      </c>
      <c r="B48" s="74"/>
      <c r="C48" s="74"/>
      <c r="D48" s="158" t="s">
        <v>45</v>
      </c>
      <c r="F48" s="74"/>
      <c r="G48" s="83" t="s">
        <v>845</v>
      </c>
      <c r="H48" s="116"/>
      <c r="I48" s="117">
        <f>T</f>
        <v>0.28109999999999991</v>
      </c>
      <c r="J48" s="809"/>
    </row>
    <row r="49" spans="1:18" s="73" customFormat="1" ht="15.6">
      <c r="A49" s="74">
        <f>+A48+1</f>
        <v>24</v>
      </c>
      <c r="B49" s="74"/>
      <c r="C49" s="74"/>
      <c r="D49" s="159" t="s">
        <v>46</v>
      </c>
      <c r="E49" s="118"/>
      <c r="F49" s="74"/>
      <c r="G49" s="83" t="s">
        <v>243</v>
      </c>
      <c r="H49" s="116"/>
      <c r="I49" s="132">
        <f>(I48/(1-I48)*(1-I38/I41))</f>
        <v>0.2731584642032141</v>
      </c>
      <c r="K49" s="832"/>
      <c r="L49" s="832"/>
      <c r="M49" s="832"/>
      <c r="N49" s="832"/>
      <c r="O49" s="832"/>
      <c r="P49" s="832"/>
    </row>
    <row r="50" spans="1:18" s="73" customFormat="1" ht="15">
      <c r="A50" s="74"/>
      <c r="B50" s="74"/>
      <c r="C50" s="74"/>
      <c r="D50" s="160"/>
      <c r="E50" s="116"/>
      <c r="F50" s="74"/>
      <c r="G50" s="83"/>
      <c r="H50" s="116"/>
      <c r="I50" s="119"/>
    </row>
    <row r="51" spans="1:18" s="73" customFormat="1" ht="15">
      <c r="A51" s="74"/>
      <c r="B51" s="74"/>
      <c r="C51" s="74"/>
      <c r="D51" s="160"/>
      <c r="E51" s="120"/>
      <c r="F51" s="74"/>
      <c r="G51" s="83"/>
      <c r="H51" s="116"/>
      <c r="I51" s="117"/>
    </row>
    <row r="52" spans="1:18" s="73" customFormat="1" ht="15">
      <c r="A52" s="74">
        <v>25</v>
      </c>
      <c r="B52" s="74"/>
      <c r="C52" s="74"/>
      <c r="D52" s="158" t="s">
        <v>244</v>
      </c>
      <c r="E52" s="118"/>
      <c r="F52" s="74"/>
      <c r="G52" s="855"/>
      <c r="H52" s="116"/>
      <c r="I52" s="854">
        <f>1/(1-I48)</f>
        <v>1.3910140492418972</v>
      </c>
      <c r="K52" s="121"/>
    </row>
    <row r="53" spans="1:18" s="73" customFormat="1" ht="15">
      <c r="A53" s="74">
        <v>26</v>
      </c>
      <c r="B53" s="74"/>
      <c r="C53" s="74"/>
      <c r="D53" s="160" t="s">
        <v>213</v>
      </c>
      <c r="F53" s="122"/>
      <c r="G53" s="83" t="str">
        <f>"Attachment 15, line "&amp;'Attachment 15 - Income Taxes'!A25</f>
        <v>Attachment 15, line 17</v>
      </c>
      <c r="H53" s="115"/>
      <c r="I53" s="780">
        <f>'Attachment 15 - Income Taxes'!G25</f>
        <v>-131199</v>
      </c>
    </row>
    <row r="54" spans="1:18" s="73" customFormat="1" ht="15">
      <c r="A54" s="74">
        <v>27</v>
      </c>
      <c r="B54" s="74"/>
      <c r="C54" s="74"/>
      <c r="D54" s="160" t="s">
        <v>234</v>
      </c>
      <c r="F54" s="122"/>
      <c r="G54" s="83" t="str">
        <f>"Attachment 15, line "&amp;'Attachment 15 - Income Taxes'!A24</f>
        <v>Attachment 15, line 16</v>
      </c>
      <c r="H54" s="115"/>
      <c r="I54" s="780">
        <f>'Attachment 15 - Income Taxes'!E24</f>
        <v>210277.45430519996</v>
      </c>
    </row>
    <row r="55" spans="1:18" s="73" customFormat="1" ht="15">
      <c r="A55" s="74">
        <v>28</v>
      </c>
      <c r="B55" s="74"/>
      <c r="C55" s="74"/>
      <c r="D55" s="160" t="s">
        <v>241</v>
      </c>
      <c r="F55" s="122"/>
      <c r="G55" s="83" t="str">
        <f>"Attachment 15, line "&amp;'Attachment 15 - Income Taxes'!A26</f>
        <v>Attachment 15, line 18</v>
      </c>
      <c r="H55" s="115"/>
      <c r="I55" s="780">
        <f>'Attachment 15 - Income Taxes'!E26</f>
        <v>-2016753.1528176004</v>
      </c>
    </row>
    <row r="56" spans="1:18" s="73" customFormat="1" ht="15">
      <c r="A56" s="74">
        <v>29</v>
      </c>
      <c r="B56" s="74"/>
      <c r="C56" s="74"/>
      <c r="D56" s="158" t="s">
        <v>238</v>
      </c>
      <c r="F56" s="122"/>
      <c r="G56" s="120" t="s">
        <v>256</v>
      </c>
      <c r="H56" s="115"/>
      <c r="I56" s="780">
        <f ca="1">I49*I43</f>
        <v>22806387.140825938</v>
      </c>
    </row>
    <row r="57" spans="1:18" s="73" customFormat="1" ht="15.6">
      <c r="A57" s="74">
        <v>30</v>
      </c>
      <c r="B57" s="74"/>
      <c r="C57" s="74"/>
      <c r="D57" s="159" t="s">
        <v>239</v>
      </c>
      <c r="F57" s="122"/>
      <c r="G57" s="83" t="s">
        <v>1016</v>
      </c>
      <c r="H57" s="115"/>
      <c r="I57" s="780">
        <f>I52*I53*GP</f>
        <v>-45493.562020569792</v>
      </c>
      <c r="J57" s="809"/>
      <c r="M57" s="832"/>
      <c r="N57" s="832"/>
      <c r="O57" s="832"/>
      <c r="P57" s="832"/>
      <c r="Q57" s="832"/>
      <c r="R57" s="832"/>
    </row>
    <row r="58" spans="1:18" s="73" customFormat="1" ht="15">
      <c r="A58" s="74">
        <v>31</v>
      </c>
      <c r="B58" s="74"/>
      <c r="C58" s="74"/>
      <c r="D58" s="159" t="s">
        <v>240</v>
      </c>
      <c r="F58" s="122"/>
      <c r="G58" s="83" t="s">
        <v>1017</v>
      </c>
      <c r="H58" s="115"/>
      <c r="I58" s="780">
        <f>I52*I54</f>
        <v>292498.89317735418</v>
      </c>
    </row>
    <row r="59" spans="1:18" s="73" customFormat="1" ht="15.6" thickBot="1">
      <c r="A59" s="74">
        <v>32</v>
      </c>
      <c r="B59" s="74"/>
      <c r="C59" s="74"/>
      <c r="D59" s="159" t="s">
        <v>242</v>
      </c>
      <c r="F59" s="122"/>
      <c r="G59" s="83" t="s">
        <v>1018</v>
      </c>
      <c r="H59" s="115"/>
      <c r="I59" s="853">
        <f>I52*I55</f>
        <v>-2805331.9694221732</v>
      </c>
    </row>
    <row r="60" spans="1:18" s="73" customFormat="1" ht="15">
      <c r="A60" s="74">
        <v>33</v>
      </c>
      <c r="B60" s="74"/>
      <c r="C60" s="74"/>
      <c r="D60" s="158" t="s">
        <v>47</v>
      </c>
      <c r="F60" s="122"/>
      <c r="G60" s="120" t="s">
        <v>255</v>
      </c>
      <c r="H60" s="115"/>
      <c r="I60" s="780">
        <f ca="1">SUM(I56:I59)</f>
        <v>20248060.502560548</v>
      </c>
    </row>
    <row r="61" spans="1:18" s="73" customFormat="1" ht="15">
      <c r="A61" s="74"/>
      <c r="B61" s="74"/>
      <c r="C61" s="74"/>
      <c r="F61" s="122"/>
      <c r="G61" s="120"/>
      <c r="H61" s="115"/>
      <c r="I61" s="123"/>
    </row>
    <row r="62" spans="1:18" s="73" customFormat="1" ht="15.6">
      <c r="A62" s="108" t="s">
        <v>246</v>
      </c>
      <c r="B62" s="108"/>
      <c r="C62" s="109"/>
      <c r="D62" s="110"/>
      <c r="E62" s="78"/>
      <c r="F62" s="111"/>
      <c r="G62" s="78"/>
      <c r="H62" s="78"/>
      <c r="I62" s="112"/>
    </row>
    <row r="63" spans="1:18" s="73" customFormat="1" ht="15.6">
      <c r="A63" s="153"/>
      <c r="B63" s="153"/>
      <c r="C63" s="154"/>
      <c r="D63" s="155"/>
      <c r="F63" s="156"/>
      <c r="I63" s="157"/>
    </row>
    <row r="64" spans="1:18" s="73" customFormat="1" ht="15">
      <c r="A64" s="74">
        <v>34</v>
      </c>
      <c r="B64" s="74"/>
      <c r="C64" s="74"/>
      <c r="D64" s="73" t="s">
        <v>444</v>
      </c>
      <c r="F64" s="122"/>
      <c r="G64" s="120" t="s">
        <v>257</v>
      </c>
      <c r="H64" s="115"/>
      <c r="I64" s="131">
        <f ca="1">I43+I60</f>
        <v>103739477.13265005</v>
      </c>
    </row>
    <row r="65" spans="1:11" s="73" customFormat="1" ht="15">
      <c r="A65" s="74"/>
      <c r="B65" s="74"/>
      <c r="C65" s="74"/>
      <c r="F65" s="122"/>
      <c r="G65" s="120"/>
      <c r="H65" s="115"/>
      <c r="I65" s="131"/>
    </row>
    <row r="66" spans="1:11" s="73" customFormat="1" ht="15">
      <c r="A66" s="74">
        <v>35</v>
      </c>
      <c r="B66" s="74"/>
      <c r="C66" s="74"/>
      <c r="D66" s="73" t="s">
        <v>259</v>
      </c>
      <c r="F66" s="122"/>
      <c r="G66" s="120" t="s">
        <v>879</v>
      </c>
      <c r="H66" s="115"/>
      <c r="I66" s="131">
        <f ca="1">'Attachment H-4A JCP&amp;L '!I137</f>
        <v>83491416.630089507</v>
      </c>
    </row>
    <row r="67" spans="1:11" s="73" customFormat="1" ht="15">
      <c r="A67" s="74">
        <v>36</v>
      </c>
      <c r="B67" s="74"/>
      <c r="C67" s="74"/>
      <c r="D67" s="73" t="s">
        <v>260</v>
      </c>
      <c r="F67" s="122"/>
      <c r="G67" s="120" t="s">
        <v>785</v>
      </c>
      <c r="H67" s="115"/>
      <c r="I67" s="131">
        <f ca="1">'Attachment H-4A JCP&amp;L '!I135</f>
        <v>20248060.502560548</v>
      </c>
    </row>
    <row r="68" spans="1:11" s="73" customFormat="1" ht="15">
      <c r="A68" s="74">
        <v>37</v>
      </c>
      <c r="B68" s="74"/>
      <c r="C68" s="74"/>
      <c r="D68" s="73" t="s">
        <v>443</v>
      </c>
      <c r="F68" s="122"/>
      <c r="G68" s="120" t="s">
        <v>279</v>
      </c>
      <c r="H68" s="115"/>
      <c r="I68" s="131">
        <f ca="1">I66+I67</f>
        <v>103739477.13265005</v>
      </c>
    </row>
    <row r="69" spans="1:11" s="73" customFormat="1" ht="15">
      <c r="A69" s="74">
        <v>38</v>
      </c>
      <c r="B69" s="74"/>
      <c r="C69" s="74"/>
      <c r="D69" s="73" t="s">
        <v>444</v>
      </c>
      <c r="F69" s="122"/>
      <c r="G69" s="120" t="s">
        <v>258</v>
      </c>
      <c r="H69" s="115"/>
      <c r="I69" s="131">
        <f ca="1">I64</f>
        <v>103739477.13265005</v>
      </c>
    </row>
    <row r="70" spans="1:11" s="73" customFormat="1" ht="15">
      <c r="A70" s="74">
        <v>39</v>
      </c>
      <c r="B70" s="74"/>
      <c r="C70" s="74"/>
      <c r="D70" s="73" t="s">
        <v>445</v>
      </c>
      <c r="F70" s="122"/>
      <c r="G70" s="120" t="s">
        <v>280</v>
      </c>
      <c r="H70" s="115"/>
      <c r="I70" s="131">
        <f ca="1">I69-I68</f>
        <v>0</v>
      </c>
      <c r="J70" s="161"/>
    </row>
    <row r="71" spans="1:11" s="73" customFormat="1" ht="15">
      <c r="A71" s="74">
        <v>40</v>
      </c>
      <c r="B71" s="74"/>
      <c r="C71" s="74"/>
      <c r="D71" s="73" t="s">
        <v>262</v>
      </c>
      <c r="F71" s="122"/>
      <c r="G71" s="120" t="s">
        <v>261</v>
      </c>
      <c r="H71" s="115"/>
      <c r="I71" s="131">
        <f ca="1">I11</f>
        <v>1121283645.5097344</v>
      </c>
    </row>
    <row r="72" spans="1:11" s="73" customFormat="1" ht="15">
      <c r="A72" s="74">
        <v>41</v>
      </c>
      <c r="B72" s="74"/>
      <c r="C72" s="74"/>
      <c r="D72" s="73" t="s">
        <v>446</v>
      </c>
      <c r="F72" s="122"/>
      <c r="G72" s="120" t="s">
        <v>281</v>
      </c>
      <c r="H72" s="115"/>
      <c r="I72" s="152">
        <f ca="1">I70/I71</f>
        <v>0</v>
      </c>
      <c r="J72" s="161"/>
    </row>
    <row r="73" spans="1:11" s="73" customFormat="1" ht="15">
      <c r="A73" s="74"/>
      <c r="B73" s="74"/>
      <c r="C73" s="74"/>
      <c r="F73" s="122"/>
      <c r="G73" s="120"/>
      <c r="H73" s="115"/>
      <c r="I73" s="131"/>
    </row>
    <row r="74" spans="1:11" s="73" customFormat="1" ht="15">
      <c r="A74" s="74"/>
      <c r="B74" s="74"/>
      <c r="C74" s="74"/>
      <c r="F74" s="122"/>
      <c r="G74" s="120"/>
      <c r="H74" s="115"/>
      <c r="I74" s="123"/>
    </row>
    <row r="75" spans="1:11" s="73" customFormat="1" ht="15.6">
      <c r="A75" s="74" t="s">
        <v>183</v>
      </c>
      <c r="B75" s="74"/>
      <c r="C75" s="74"/>
      <c r="F75" s="122"/>
      <c r="G75" s="120"/>
      <c r="H75" s="115"/>
      <c r="I75" s="124"/>
    </row>
    <row r="76" spans="1:11" s="73" customFormat="1" ht="31.5" customHeight="1">
      <c r="A76" s="74"/>
      <c r="B76" s="986" t="s">
        <v>497</v>
      </c>
      <c r="C76" s="986"/>
      <c r="D76" s="986"/>
      <c r="E76" s="986"/>
      <c r="F76" s="986"/>
      <c r="G76" s="986"/>
      <c r="H76" s="986"/>
      <c r="I76" s="986"/>
      <c r="J76" s="986"/>
      <c r="K76" s="986"/>
    </row>
    <row r="77" spans="1:11" s="73" customFormat="1" ht="15.6">
      <c r="A77" s="74"/>
      <c r="B77" s="74"/>
      <c r="C77" s="74"/>
      <c r="D77" s="82"/>
      <c r="F77" s="74"/>
      <c r="G77" s="75"/>
      <c r="H77" s="125"/>
      <c r="I77" s="126"/>
    </row>
    <row r="78" spans="1:11" s="73" customFormat="1" ht="16.2" thickBot="1">
      <c r="A78" s="74"/>
      <c r="B78" s="74"/>
      <c r="C78" s="133"/>
      <c r="D78" s="133"/>
      <c r="E78" s="134"/>
      <c r="F78" s="135"/>
      <c r="G78" s="136"/>
      <c r="H78" s="137"/>
      <c r="I78" s="138"/>
      <c r="K78" s="75" t="s">
        <v>3</v>
      </c>
    </row>
    <row r="79" spans="1:11" s="73" customFormat="1" ht="15.6" thickTop="1">
      <c r="A79" s="74"/>
      <c r="B79" s="74"/>
      <c r="C79" s="74"/>
      <c r="D79" s="120"/>
      <c r="F79" s="74"/>
      <c r="G79" s="127"/>
      <c r="H79" s="128"/>
      <c r="I79" s="129"/>
    </row>
    <row r="80" spans="1:11" s="73" customFormat="1" ht="15">
      <c r="A80" s="71"/>
      <c r="B80" s="71"/>
      <c r="C80" s="71"/>
      <c r="D80" s="71"/>
      <c r="E80" s="71"/>
      <c r="F80" s="71"/>
      <c r="G80" s="71"/>
      <c r="H80" s="71"/>
      <c r="I80" s="71"/>
      <c r="J80" s="71"/>
      <c r="K80" s="71"/>
    </row>
  </sheetData>
  <mergeCells count="3">
    <mergeCell ref="A1:I1"/>
    <mergeCell ref="A2:I2"/>
    <mergeCell ref="B76:K76"/>
  </mergeCells>
  <printOptions horizontalCentered="1"/>
  <pageMargins left="0.5" right="0.33" top="0.5" bottom="0.5" header="0.5" footer="0.5"/>
  <pageSetup scale="4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L68"/>
  <sheetViews>
    <sheetView view="pageBreakPreview" zoomScale="80" zoomScaleNormal="85" zoomScaleSheetLayoutView="80" workbookViewId="0">
      <selection activeCell="B1" sqref="B1"/>
    </sheetView>
  </sheetViews>
  <sheetFormatPr defaultColWidth="8.81640625" defaultRowHeight="20.100000000000001" customHeight="1"/>
  <cols>
    <col min="1" max="1" width="2.7265625" style="37" customWidth="1"/>
    <col min="2" max="2" width="10.7265625" style="33" customWidth="1"/>
    <col min="3" max="3" width="8.81640625" style="33"/>
    <col min="4" max="4" width="2.7265625" style="33" customWidth="1"/>
    <col min="5" max="5" width="14.54296875" style="37" customWidth="1"/>
    <col min="6" max="6" width="16.26953125" style="37" customWidth="1"/>
    <col min="7" max="8" width="12.7265625" style="37" customWidth="1"/>
    <col min="9" max="9" width="15" style="37" bestFit="1" customWidth="1"/>
    <col min="10" max="10" width="5.7265625" style="37" customWidth="1"/>
    <col min="11" max="11" width="15.08984375" style="33" bestFit="1" customWidth="1"/>
    <col min="12" max="12" width="23" style="33" customWidth="1"/>
    <col min="13" max="13" width="15" style="33" bestFit="1" customWidth="1"/>
    <col min="14" max="14" width="15.54296875" style="33" bestFit="1" customWidth="1"/>
    <col min="15" max="16384" width="8.81640625" style="33"/>
  </cols>
  <sheetData>
    <row r="1" spans="1:11" ht="20.100000000000001" customHeight="1">
      <c r="A1" s="1044"/>
      <c r="B1" s="1044"/>
      <c r="C1" s="1044"/>
      <c r="D1" s="1044"/>
      <c r="E1" s="1044"/>
      <c r="F1" s="33"/>
      <c r="K1" s="3" t="s">
        <v>452</v>
      </c>
    </row>
    <row r="2" spans="1:11" ht="20.100000000000001" customHeight="1">
      <c r="A2" s="1044"/>
      <c r="B2" s="1044"/>
      <c r="C2" s="1044"/>
      <c r="D2" s="1044"/>
      <c r="E2" s="1044"/>
      <c r="K2" s="3" t="s">
        <v>144</v>
      </c>
    </row>
    <row r="3" spans="1:11" ht="20.100000000000001" customHeight="1">
      <c r="A3" s="1044"/>
      <c r="B3" s="1044"/>
      <c r="C3" s="1044"/>
      <c r="D3" s="1044"/>
      <c r="E3" s="1044"/>
      <c r="G3" s="39" t="s">
        <v>420</v>
      </c>
      <c r="K3" s="3" t="str">
        <f>'Attachment 1 - Sched 1A'!$J$3</f>
        <v>For the 12 months ended 12/31/2023</v>
      </c>
    </row>
    <row r="4" spans="1:11" ht="20.100000000000001" customHeight="1">
      <c r="A4" s="1044"/>
      <c r="B4" s="1044"/>
      <c r="C4" s="1044"/>
      <c r="D4" s="1044"/>
      <c r="E4" s="1044"/>
    </row>
    <row r="5" spans="1:11" ht="20.100000000000001" customHeight="1">
      <c r="E5" s="288" t="s">
        <v>392</v>
      </c>
      <c r="F5" s="288" t="s">
        <v>393</v>
      </c>
      <c r="G5" s="288" t="s">
        <v>394</v>
      </c>
      <c r="H5" s="288" t="s">
        <v>395</v>
      </c>
      <c r="I5" s="288" t="s">
        <v>396</v>
      </c>
      <c r="J5" s="289"/>
      <c r="K5" s="288"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5">
        <v>2022</v>
      </c>
      <c r="E8" s="62">
        <f>E27-E48</f>
        <v>0</v>
      </c>
      <c r="F8" s="62">
        <f t="shared" ref="F8:I8" si="0">F27-F48</f>
        <v>1889707864.0000007</v>
      </c>
      <c r="G8" s="62">
        <f t="shared" si="0"/>
        <v>5455059829.1199999</v>
      </c>
      <c r="H8" s="62">
        <f t="shared" si="0"/>
        <v>177555111.40000001</v>
      </c>
      <c r="I8" s="62">
        <f t="shared" si="0"/>
        <v>276785248.1400001</v>
      </c>
      <c r="J8" s="306"/>
      <c r="K8" s="306">
        <f t="shared" ref="K8:K20" si="1">SUM(E8:I8)</f>
        <v>7799108052.6600008</v>
      </c>
    </row>
    <row r="9" spans="1:11" ht="20.100000000000001" customHeight="1">
      <c r="A9" s="41">
        <v>2</v>
      </c>
      <c r="B9" s="33" t="s">
        <v>158</v>
      </c>
      <c r="C9" s="34">
        <f>C8+1</f>
        <v>2023</v>
      </c>
      <c r="E9" s="62">
        <f t="shared" ref="E9" si="2">E28-E49</f>
        <v>0</v>
      </c>
      <c r="F9" s="62">
        <f t="shared" ref="F9:F20" si="3">F28-F49</f>
        <v>1902825546.1300008</v>
      </c>
      <c r="G9" s="62">
        <f t="shared" ref="G9:I9" si="4">G28-G49</f>
        <v>5471457477.79</v>
      </c>
      <c r="H9" s="62">
        <f t="shared" si="4"/>
        <v>178153328.05000001</v>
      </c>
      <c r="I9" s="62">
        <f t="shared" si="4"/>
        <v>277825751.3900001</v>
      </c>
      <c r="J9" s="306"/>
      <c r="K9" s="306">
        <f t="shared" si="1"/>
        <v>7830262103.3600016</v>
      </c>
    </row>
    <row r="10" spans="1:11" ht="20.100000000000001" customHeight="1">
      <c r="A10" s="41">
        <v>3</v>
      </c>
      <c r="B10" s="33" t="s">
        <v>159</v>
      </c>
      <c r="C10" s="34">
        <f>C9</f>
        <v>2023</v>
      </c>
      <c r="E10" s="62">
        <f t="shared" ref="E10" si="5">E29-E50</f>
        <v>0</v>
      </c>
      <c r="F10" s="62">
        <f t="shared" si="3"/>
        <v>1907961307.9500008</v>
      </c>
      <c r="G10" s="62">
        <f t="shared" ref="G10:I10" si="6">G29-G50</f>
        <v>5483982736.8199997</v>
      </c>
      <c r="H10" s="62">
        <f t="shared" si="6"/>
        <v>182498941.55000001</v>
      </c>
      <c r="I10" s="62">
        <f t="shared" si="6"/>
        <v>280085222.01000011</v>
      </c>
      <c r="J10" s="306"/>
      <c r="K10" s="306">
        <f t="shared" si="1"/>
        <v>7854528208.3300009</v>
      </c>
    </row>
    <row r="11" spans="1:11" ht="20.100000000000001" customHeight="1">
      <c r="A11" s="41">
        <v>4</v>
      </c>
      <c r="B11" s="33" t="s">
        <v>160</v>
      </c>
      <c r="C11" s="34">
        <f t="shared" ref="C11:C20" si="7">C10</f>
        <v>2023</v>
      </c>
      <c r="E11" s="62">
        <f t="shared" ref="E11" si="8">E30-E51</f>
        <v>0</v>
      </c>
      <c r="F11" s="62">
        <f t="shared" si="3"/>
        <v>1919357517.0300007</v>
      </c>
      <c r="G11" s="62">
        <f t="shared" ref="G11:I11" si="9">G30-G51</f>
        <v>5500346575.9899998</v>
      </c>
      <c r="H11" s="62">
        <f t="shared" si="9"/>
        <v>196449624.03</v>
      </c>
      <c r="I11" s="62">
        <f t="shared" si="9"/>
        <v>280385085.88000011</v>
      </c>
      <c r="J11" s="306"/>
      <c r="K11" s="306">
        <f t="shared" si="1"/>
        <v>7896538802.9300003</v>
      </c>
    </row>
    <row r="12" spans="1:11" ht="20.100000000000001" customHeight="1">
      <c r="A12" s="41">
        <v>5</v>
      </c>
      <c r="B12" s="33" t="s">
        <v>161</v>
      </c>
      <c r="C12" s="34">
        <f t="shared" si="7"/>
        <v>2023</v>
      </c>
      <c r="E12" s="62">
        <f t="shared" ref="E12" si="10">E31-E52</f>
        <v>0</v>
      </c>
      <c r="F12" s="62">
        <f t="shared" si="3"/>
        <v>1921510239.6600008</v>
      </c>
      <c r="G12" s="62">
        <f t="shared" ref="G12:I12" si="11">G31-G52</f>
        <v>5511002557.6199989</v>
      </c>
      <c r="H12" s="62">
        <f t="shared" si="11"/>
        <v>197422773.25</v>
      </c>
      <c r="I12" s="62">
        <f t="shared" si="11"/>
        <v>280333562.10000014</v>
      </c>
      <c r="J12" s="306"/>
      <c r="K12" s="306">
        <f t="shared" si="1"/>
        <v>7910269132.6300001</v>
      </c>
    </row>
    <row r="13" spans="1:11" ht="20.100000000000001" customHeight="1">
      <c r="A13" s="41">
        <v>6</v>
      </c>
      <c r="B13" s="33" t="s">
        <v>162</v>
      </c>
      <c r="C13" s="34">
        <f t="shared" si="7"/>
        <v>2023</v>
      </c>
      <c r="E13" s="62">
        <f t="shared" ref="E13" si="12">E32-E53</f>
        <v>0</v>
      </c>
      <c r="F13" s="62">
        <f t="shared" si="3"/>
        <v>1946682875.6000009</v>
      </c>
      <c r="G13" s="62">
        <f t="shared" ref="G13:I13" si="13">G32-G53</f>
        <v>5530323636.8399982</v>
      </c>
      <c r="H13" s="62">
        <f t="shared" si="13"/>
        <v>197614001.13999999</v>
      </c>
      <c r="I13" s="62">
        <f t="shared" si="13"/>
        <v>281132118.30000013</v>
      </c>
      <c r="J13" s="306"/>
      <c r="K13" s="306">
        <f t="shared" si="1"/>
        <v>7955752631.8799992</v>
      </c>
    </row>
    <row r="14" spans="1:11" ht="20.100000000000001" customHeight="1">
      <c r="A14" s="41">
        <v>7</v>
      </c>
      <c r="B14" s="33" t="s">
        <v>173</v>
      </c>
      <c r="C14" s="34">
        <f t="shared" si="7"/>
        <v>2023</v>
      </c>
      <c r="E14" s="62">
        <f t="shared" ref="E14" si="14">E33-E54</f>
        <v>0</v>
      </c>
      <c r="F14" s="62">
        <f t="shared" si="3"/>
        <v>1961917131.0700009</v>
      </c>
      <c r="G14" s="62">
        <f t="shared" ref="G14:I14" si="15">G33-G54</f>
        <v>5538783847.3799982</v>
      </c>
      <c r="H14" s="62">
        <f t="shared" si="15"/>
        <v>203501920.00999999</v>
      </c>
      <c r="I14" s="62">
        <f t="shared" si="15"/>
        <v>282122813.84000015</v>
      </c>
      <c r="J14" s="306"/>
      <c r="K14" s="306">
        <f t="shared" si="1"/>
        <v>7986325712.2999992</v>
      </c>
    </row>
    <row r="15" spans="1:11" ht="20.100000000000001" customHeight="1">
      <c r="A15" s="41">
        <v>8</v>
      </c>
      <c r="B15" s="33" t="s">
        <v>163</v>
      </c>
      <c r="C15" s="34">
        <f t="shared" si="7"/>
        <v>2023</v>
      </c>
      <c r="E15" s="62">
        <f t="shared" ref="E15" si="16">E34-E55</f>
        <v>0</v>
      </c>
      <c r="F15" s="62">
        <f t="shared" si="3"/>
        <v>1957849207.9200008</v>
      </c>
      <c r="G15" s="62">
        <f t="shared" ref="G15:I15" si="17">G34-G55</f>
        <v>5548671201.9999981</v>
      </c>
      <c r="H15" s="62">
        <f t="shared" si="17"/>
        <v>203612662.75999999</v>
      </c>
      <c r="I15" s="62">
        <f t="shared" si="17"/>
        <v>279610386.96000016</v>
      </c>
      <c r="J15" s="306"/>
      <c r="K15" s="306">
        <f t="shared" si="1"/>
        <v>7989743459.6399994</v>
      </c>
    </row>
    <row r="16" spans="1:11" ht="20.100000000000001" customHeight="1">
      <c r="A16" s="41">
        <v>9</v>
      </c>
      <c r="B16" s="33" t="s">
        <v>164</v>
      </c>
      <c r="C16" s="34">
        <f t="shared" si="7"/>
        <v>2023</v>
      </c>
      <c r="E16" s="62">
        <f t="shared" ref="E16" si="18">E35-E56</f>
        <v>0</v>
      </c>
      <c r="F16" s="62">
        <f t="shared" si="3"/>
        <v>1957650037.6600008</v>
      </c>
      <c r="G16" s="62">
        <f t="shared" ref="G16:I16" si="19">G35-G56</f>
        <v>5569815546.1699982</v>
      </c>
      <c r="H16" s="62">
        <f t="shared" si="19"/>
        <v>206924757.60999995</v>
      </c>
      <c r="I16" s="62">
        <f t="shared" si="19"/>
        <v>277605942.70000017</v>
      </c>
      <c r="J16" s="306"/>
      <c r="K16" s="306">
        <f t="shared" si="1"/>
        <v>8011996284.1399984</v>
      </c>
    </row>
    <row r="17" spans="1:12" ht="20.100000000000001" customHeight="1">
      <c r="A17" s="41">
        <v>10</v>
      </c>
      <c r="B17" s="33" t="s">
        <v>165</v>
      </c>
      <c r="C17" s="34">
        <f t="shared" si="7"/>
        <v>2023</v>
      </c>
      <c r="E17" s="62">
        <f t="shared" ref="E17" si="20">E36-E57</f>
        <v>0</v>
      </c>
      <c r="F17" s="62">
        <f t="shared" si="3"/>
        <v>1959665083.3500009</v>
      </c>
      <c r="G17" s="62">
        <f t="shared" ref="G17:I17" si="21">G36-G57</f>
        <v>5579511902.7799978</v>
      </c>
      <c r="H17" s="62">
        <f t="shared" si="21"/>
        <v>209393733.14999995</v>
      </c>
      <c r="I17" s="62">
        <f t="shared" si="21"/>
        <v>280674017.83000016</v>
      </c>
      <c r="J17" s="306"/>
      <c r="K17" s="306">
        <f t="shared" si="1"/>
        <v>8029244737.1099987</v>
      </c>
    </row>
    <row r="18" spans="1:12" ht="20.100000000000001" customHeight="1">
      <c r="A18" s="41">
        <v>11</v>
      </c>
      <c r="B18" s="33" t="s">
        <v>167</v>
      </c>
      <c r="C18" s="34">
        <f t="shared" si="7"/>
        <v>2023</v>
      </c>
      <c r="E18" s="62">
        <f t="shared" ref="E18" si="22">E37-E58</f>
        <v>0</v>
      </c>
      <c r="F18" s="62">
        <f t="shared" si="3"/>
        <v>1970225303.1000009</v>
      </c>
      <c r="G18" s="62">
        <f t="shared" ref="G18:I18" si="23">G37-G58</f>
        <v>5601548814.1099977</v>
      </c>
      <c r="H18" s="62">
        <f t="shared" si="23"/>
        <v>212404082.11999995</v>
      </c>
      <c r="I18" s="62">
        <f t="shared" si="23"/>
        <v>281719374.82000017</v>
      </c>
      <c r="J18" s="306"/>
      <c r="K18" s="306">
        <f t="shared" si="1"/>
        <v>8065897574.1499996</v>
      </c>
    </row>
    <row r="19" spans="1:12" ht="20.100000000000001" customHeight="1">
      <c r="A19" s="41">
        <v>12</v>
      </c>
      <c r="B19" s="33" t="s">
        <v>166</v>
      </c>
      <c r="C19" s="34">
        <f t="shared" si="7"/>
        <v>2023</v>
      </c>
      <c r="E19" s="62">
        <f t="shared" ref="E19" si="24">E38-E59</f>
        <v>0</v>
      </c>
      <c r="F19" s="62">
        <f t="shared" si="3"/>
        <v>1984971460.1000009</v>
      </c>
      <c r="G19" s="62">
        <f t="shared" ref="G19:I19" si="25">G38-G59</f>
        <v>5628823012.7499981</v>
      </c>
      <c r="H19" s="62">
        <f t="shared" si="25"/>
        <v>212549152.00999993</v>
      </c>
      <c r="I19" s="62">
        <f t="shared" si="25"/>
        <v>283198123.03000015</v>
      </c>
      <c r="J19" s="306"/>
      <c r="K19" s="306">
        <f t="shared" si="1"/>
        <v>8109541747.8899984</v>
      </c>
    </row>
    <row r="20" spans="1:12" ht="20.100000000000001" customHeight="1">
      <c r="A20" s="41">
        <v>13</v>
      </c>
      <c r="B20" s="33" t="s">
        <v>157</v>
      </c>
      <c r="C20" s="34">
        <f t="shared" si="7"/>
        <v>2023</v>
      </c>
      <c r="E20" s="62">
        <f t="shared" ref="E20" si="26">E39-E60</f>
        <v>0</v>
      </c>
      <c r="F20" s="62">
        <f t="shared" si="3"/>
        <v>2051980932.2600009</v>
      </c>
      <c r="G20" s="62">
        <f t="shared" ref="G20:I20" si="27">G39-G60</f>
        <v>5656530359.9899979</v>
      </c>
      <c r="H20" s="62">
        <f t="shared" si="27"/>
        <v>198896104.27999991</v>
      </c>
      <c r="I20" s="62">
        <f t="shared" si="27"/>
        <v>289237194.80000013</v>
      </c>
      <c r="J20" s="306"/>
      <c r="K20" s="306">
        <f t="shared" si="1"/>
        <v>8196644591.329999</v>
      </c>
    </row>
    <row r="21" spans="1:12" ht="20.100000000000001" customHeight="1">
      <c r="E21" s="62"/>
      <c r="F21" s="62"/>
      <c r="G21" s="62"/>
      <c r="H21" s="62"/>
      <c r="I21" s="62"/>
      <c r="J21" s="306"/>
      <c r="K21" s="306"/>
    </row>
    <row r="22" spans="1:12" s="42" customFormat="1" ht="20.100000000000001" customHeight="1">
      <c r="A22" s="139">
        <v>14</v>
      </c>
      <c r="B22" s="42" t="s">
        <v>181</v>
      </c>
      <c r="D22" s="304" t="s">
        <v>473</v>
      </c>
      <c r="E22" s="303">
        <f>SUM(E8:E20)/13</f>
        <v>0</v>
      </c>
      <c r="F22" s="303">
        <f>SUM(F8:F20)/13</f>
        <v>1948638808.1407704</v>
      </c>
      <c r="G22" s="303">
        <f t="shared" ref="G22:I22" si="28">SUM(G8:G20)/13</f>
        <v>5544296730.7199993</v>
      </c>
      <c r="H22" s="303">
        <f>SUM(H8:H20)/13</f>
        <v>198228937.79692301</v>
      </c>
      <c r="I22" s="303">
        <f t="shared" si="28"/>
        <v>280824218.60000014</v>
      </c>
      <c r="J22" s="303"/>
      <c r="K22" s="303">
        <f>SUM(K8:K20)/13</f>
        <v>7971988695.2576914</v>
      </c>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95</v>
      </c>
      <c r="F26" s="38" t="s">
        <v>178</v>
      </c>
      <c r="G26" s="38" t="s">
        <v>96</v>
      </c>
      <c r="H26" s="38" t="s">
        <v>179</v>
      </c>
      <c r="I26" s="38" t="s">
        <v>180</v>
      </c>
      <c r="J26" s="33"/>
    </row>
    <row r="27" spans="1:12" ht="20.100000000000001" customHeight="1">
      <c r="A27" s="41">
        <v>15</v>
      </c>
      <c r="B27" s="33" t="s">
        <v>157</v>
      </c>
      <c r="C27" s="34">
        <f>C8</f>
        <v>2022</v>
      </c>
      <c r="E27" s="56"/>
      <c r="F27" s="56">
        <v>1889711274.0000007</v>
      </c>
      <c r="G27" s="56">
        <v>5455105486.1199999</v>
      </c>
      <c r="H27" s="56">
        <v>177555111.40000001</v>
      </c>
      <c r="I27" s="56">
        <v>278380859.1400001</v>
      </c>
      <c r="J27" s="57"/>
      <c r="K27" s="57">
        <f t="shared" ref="K27:K39" si="29">SUM(E27:I27)</f>
        <v>7800752730.6600008</v>
      </c>
      <c r="L27" s="56"/>
    </row>
    <row r="28" spans="1:12" ht="20.100000000000001" customHeight="1">
      <c r="A28" s="41">
        <v>16</v>
      </c>
      <c r="B28" s="33" t="s">
        <v>158</v>
      </c>
      <c r="C28" s="34">
        <f>C27+1</f>
        <v>2023</v>
      </c>
      <c r="E28" s="56"/>
      <c r="F28" s="56">
        <v>1902828956.1300008</v>
      </c>
      <c r="G28" s="56">
        <v>5471503134.79</v>
      </c>
      <c r="H28" s="56">
        <v>178153328.05000001</v>
      </c>
      <c r="I28" s="56">
        <v>279421362.3900001</v>
      </c>
      <c r="J28" s="57"/>
      <c r="K28" s="57">
        <f t="shared" si="29"/>
        <v>7831906781.3600016</v>
      </c>
      <c r="L28" s="56"/>
    </row>
    <row r="29" spans="1:12" ht="20.100000000000001" customHeight="1">
      <c r="A29" s="41">
        <v>17</v>
      </c>
      <c r="B29" s="33" t="s">
        <v>159</v>
      </c>
      <c r="C29" s="34">
        <f>C28</f>
        <v>2023</v>
      </c>
      <c r="E29" s="56"/>
      <c r="F29" s="56">
        <v>1907964717.9500008</v>
      </c>
      <c r="G29" s="56">
        <v>5484028393.8199997</v>
      </c>
      <c r="H29" s="56">
        <v>182498941.55000001</v>
      </c>
      <c r="I29" s="56">
        <v>281680833.01000011</v>
      </c>
      <c r="J29" s="57"/>
      <c r="K29" s="57">
        <f t="shared" si="29"/>
        <v>7856172886.3300009</v>
      </c>
      <c r="L29" s="56"/>
    </row>
    <row r="30" spans="1:12" ht="20.100000000000001" customHeight="1">
      <c r="A30" s="41">
        <v>18</v>
      </c>
      <c r="B30" s="33" t="s">
        <v>160</v>
      </c>
      <c r="C30" s="34">
        <f t="shared" ref="C30:C39" si="30">C29</f>
        <v>2023</v>
      </c>
      <c r="E30" s="56"/>
      <c r="F30" s="56">
        <v>1919360927.0300007</v>
      </c>
      <c r="G30" s="56">
        <v>5500392232.9899998</v>
      </c>
      <c r="H30" s="56">
        <v>196449624.03</v>
      </c>
      <c r="I30" s="56">
        <v>281980696.88000011</v>
      </c>
      <c r="J30" s="57"/>
      <c r="K30" s="57">
        <f t="shared" si="29"/>
        <v>7898183480.9300003</v>
      </c>
      <c r="L30" s="56"/>
    </row>
    <row r="31" spans="1:12" ht="20.100000000000001" customHeight="1">
      <c r="A31" s="41">
        <v>19</v>
      </c>
      <c r="B31" s="33" t="s">
        <v>161</v>
      </c>
      <c r="C31" s="34">
        <f t="shared" si="30"/>
        <v>2023</v>
      </c>
      <c r="E31" s="56"/>
      <c r="F31" s="56">
        <v>1921513649.6600008</v>
      </c>
      <c r="G31" s="56">
        <v>5511048214.6199989</v>
      </c>
      <c r="H31" s="56">
        <v>197422773.25</v>
      </c>
      <c r="I31" s="56">
        <v>281929173.10000014</v>
      </c>
      <c r="J31" s="57"/>
      <c r="K31" s="57">
        <f t="shared" si="29"/>
        <v>7911913810.6300001</v>
      </c>
      <c r="L31" s="56"/>
    </row>
    <row r="32" spans="1:12" ht="20.100000000000001" customHeight="1">
      <c r="A32" s="41">
        <v>20</v>
      </c>
      <c r="B32" s="33" t="s">
        <v>162</v>
      </c>
      <c r="C32" s="34">
        <f t="shared" si="30"/>
        <v>2023</v>
      </c>
      <c r="E32" s="56"/>
      <c r="F32" s="56">
        <v>1946686285.6000009</v>
      </c>
      <c r="G32" s="56">
        <v>5530369293.8399982</v>
      </c>
      <c r="H32" s="56">
        <v>197614001.13999999</v>
      </c>
      <c r="I32" s="56">
        <v>282727729.30000013</v>
      </c>
      <c r="J32" s="57"/>
      <c r="K32" s="57">
        <f t="shared" si="29"/>
        <v>7957397309.8799992</v>
      </c>
      <c r="L32" s="56"/>
    </row>
    <row r="33" spans="1:12" ht="20.100000000000001" customHeight="1">
      <c r="A33" s="41">
        <v>21</v>
      </c>
      <c r="B33" s="33" t="s">
        <v>173</v>
      </c>
      <c r="C33" s="34">
        <f t="shared" si="30"/>
        <v>2023</v>
      </c>
      <c r="E33" s="56"/>
      <c r="F33" s="56">
        <v>1961920541.0700009</v>
      </c>
      <c r="G33" s="56">
        <v>5538829504.3799982</v>
      </c>
      <c r="H33" s="56">
        <v>203501920.00999999</v>
      </c>
      <c r="I33" s="56">
        <v>283718424.84000015</v>
      </c>
      <c r="J33" s="57"/>
      <c r="K33" s="57">
        <f t="shared" si="29"/>
        <v>7987970390.2999992</v>
      </c>
      <c r="L33" s="56"/>
    </row>
    <row r="34" spans="1:12" ht="20.100000000000001" customHeight="1">
      <c r="A34" s="41">
        <v>22</v>
      </c>
      <c r="B34" s="33" t="s">
        <v>163</v>
      </c>
      <c r="C34" s="34">
        <f t="shared" si="30"/>
        <v>2023</v>
      </c>
      <c r="E34" s="56"/>
      <c r="F34" s="56">
        <v>1957852617.9200008</v>
      </c>
      <c r="G34" s="56">
        <v>5548716858.9999981</v>
      </c>
      <c r="H34" s="56">
        <v>203612662.75999999</v>
      </c>
      <c r="I34" s="56">
        <v>281205997.96000016</v>
      </c>
      <c r="J34" s="57"/>
      <c r="K34" s="57">
        <f t="shared" si="29"/>
        <v>7991388137.6399994</v>
      </c>
      <c r="L34" s="56"/>
    </row>
    <row r="35" spans="1:12" ht="20.100000000000001" customHeight="1">
      <c r="A35" s="41">
        <v>23</v>
      </c>
      <c r="B35" s="33" t="s">
        <v>164</v>
      </c>
      <c r="C35" s="34">
        <f t="shared" si="30"/>
        <v>2023</v>
      </c>
      <c r="E35" s="56"/>
      <c r="F35" s="56">
        <v>1957653447.6600008</v>
      </c>
      <c r="G35" s="56">
        <v>5569861203.1699982</v>
      </c>
      <c r="H35" s="56">
        <v>206924757.60999995</v>
      </c>
      <c r="I35" s="56">
        <v>279201553.70000017</v>
      </c>
      <c r="J35" s="57"/>
      <c r="K35" s="57">
        <f t="shared" si="29"/>
        <v>8013640962.1399984</v>
      </c>
      <c r="L35" s="56"/>
    </row>
    <row r="36" spans="1:12" ht="20.100000000000001" customHeight="1">
      <c r="A36" s="41">
        <v>24</v>
      </c>
      <c r="B36" s="33" t="s">
        <v>165</v>
      </c>
      <c r="C36" s="34">
        <f t="shared" si="30"/>
        <v>2023</v>
      </c>
      <c r="E36" s="56"/>
      <c r="F36" s="56">
        <v>1959668493.3500009</v>
      </c>
      <c r="G36" s="56">
        <v>5579557559.7799978</v>
      </c>
      <c r="H36" s="56">
        <v>209393733.14999995</v>
      </c>
      <c r="I36" s="56">
        <v>282269628.83000016</v>
      </c>
      <c r="J36" s="57"/>
      <c r="K36" s="57">
        <f t="shared" si="29"/>
        <v>8030889415.1099987</v>
      </c>
      <c r="L36" s="56"/>
    </row>
    <row r="37" spans="1:12" ht="20.100000000000001" customHeight="1">
      <c r="A37" s="41">
        <v>25</v>
      </c>
      <c r="B37" s="33" t="s">
        <v>167</v>
      </c>
      <c r="C37" s="34">
        <f t="shared" si="30"/>
        <v>2023</v>
      </c>
      <c r="E37" s="56"/>
      <c r="F37" s="56">
        <v>1970228713.1000009</v>
      </c>
      <c r="G37" s="56">
        <v>5601594471.1099977</v>
      </c>
      <c r="H37" s="56">
        <v>212404082.11999995</v>
      </c>
      <c r="I37" s="56">
        <v>283314985.82000017</v>
      </c>
      <c r="J37" s="57"/>
      <c r="K37" s="57">
        <f t="shared" si="29"/>
        <v>8067542252.1499996</v>
      </c>
      <c r="L37" s="56"/>
    </row>
    <row r="38" spans="1:12" ht="20.100000000000001" customHeight="1">
      <c r="A38" s="41">
        <v>26</v>
      </c>
      <c r="B38" s="33" t="s">
        <v>166</v>
      </c>
      <c r="C38" s="34">
        <f t="shared" si="30"/>
        <v>2023</v>
      </c>
      <c r="E38" s="56"/>
      <c r="F38" s="56">
        <v>1984974870.1000009</v>
      </c>
      <c r="G38" s="56">
        <v>5628868669.7499981</v>
      </c>
      <c r="H38" s="56">
        <v>212549152.00999993</v>
      </c>
      <c r="I38" s="56">
        <v>284793734.03000015</v>
      </c>
      <c r="J38" s="57"/>
      <c r="K38" s="57">
        <f t="shared" si="29"/>
        <v>8111186425.8899984</v>
      </c>
      <c r="L38" s="56"/>
    </row>
    <row r="39" spans="1:12" ht="20.100000000000001" customHeight="1">
      <c r="A39" s="41">
        <v>27</v>
      </c>
      <c r="B39" s="33" t="s">
        <v>157</v>
      </c>
      <c r="C39" s="34">
        <f t="shared" si="30"/>
        <v>2023</v>
      </c>
      <c r="E39" s="56"/>
      <c r="F39" s="56">
        <v>2051984342.2600009</v>
      </c>
      <c r="G39" s="56">
        <v>5656576016.9899979</v>
      </c>
      <c r="H39" s="56">
        <v>198896104.27999991</v>
      </c>
      <c r="I39" s="56">
        <v>290832805.80000013</v>
      </c>
      <c r="J39" s="57"/>
      <c r="K39" s="57">
        <f t="shared" si="29"/>
        <v>8198289269.329999</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SUM(F27:F39)/13</f>
        <v>1948642218.1407704</v>
      </c>
      <c r="G41" s="58">
        <f t="shared" ref="G41:K41" si="31">SUM(G27:G39)/13</f>
        <v>5544342387.7199993</v>
      </c>
      <c r="H41" s="58">
        <f>SUM(H27:H39)/13</f>
        <v>198228937.79692301</v>
      </c>
      <c r="I41" s="58">
        <f>SUM(I27:I39)/13</f>
        <v>282419829.60000014</v>
      </c>
      <c r="J41" s="58"/>
      <c r="K41" s="58">
        <f t="shared" si="31"/>
        <v>7973633373.2576914</v>
      </c>
    </row>
    <row r="44" spans="1:12" ht="20.100000000000001" customHeight="1">
      <c r="B44" s="45" t="s">
        <v>474</v>
      </c>
      <c r="C44" s="46"/>
      <c r="D44" s="46"/>
      <c r="E44" s="47"/>
      <c r="F44" s="47"/>
      <c r="G44" s="48"/>
      <c r="H44" s="291"/>
      <c r="I44" s="291"/>
      <c r="J44" s="33"/>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514</v>
      </c>
      <c r="F47" s="38" t="s">
        <v>197</v>
      </c>
      <c r="G47" s="38" t="s">
        <v>486</v>
      </c>
      <c r="H47" s="38" t="s">
        <v>251</v>
      </c>
      <c r="I47" s="38" t="s">
        <v>439</v>
      </c>
      <c r="J47" s="33"/>
    </row>
    <row r="48" spans="1:12" ht="20.100000000000001" customHeight="1">
      <c r="A48" s="41">
        <v>29</v>
      </c>
      <c r="B48" s="49" t="s">
        <v>157</v>
      </c>
      <c r="C48" s="34">
        <f>C8</f>
        <v>2022</v>
      </c>
      <c r="E48" s="59"/>
      <c r="F48" s="59">
        <v>3410</v>
      </c>
      <c r="G48" s="59">
        <v>45657</v>
      </c>
      <c r="H48" s="296"/>
      <c r="I48" s="59">
        <v>1595611</v>
      </c>
      <c r="J48" s="33"/>
    </row>
    <row r="49" spans="1:10" ht="20.100000000000001" customHeight="1">
      <c r="A49" s="41">
        <v>30</v>
      </c>
      <c r="B49" s="49" t="s">
        <v>158</v>
      </c>
      <c r="C49" s="34">
        <f>C48+1</f>
        <v>2023</v>
      </c>
      <c r="E49" s="59"/>
      <c r="F49" s="59">
        <v>3410</v>
      </c>
      <c r="G49" s="59">
        <v>45657</v>
      </c>
      <c r="H49" s="296"/>
      <c r="I49" s="59">
        <v>1595611</v>
      </c>
      <c r="J49" s="33"/>
    </row>
    <row r="50" spans="1:10" ht="20.100000000000001" customHeight="1">
      <c r="A50" s="41">
        <v>31</v>
      </c>
      <c r="B50" s="49" t="s">
        <v>159</v>
      </c>
      <c r="C50" s="34">
        <f>C49</f>
        <v>2023</v>
      </c>
      <c r="E50" s="59"/>
      <c r="F50" s="59">
        <v>3410</v>
      </c>
      <c r="G50" s="59">
        <v>45657</v>
      </c>
      <c r="H50" s="296"/>
      <c r="I50" s="59">
        <v>1595611</v>
      </c>
      <c r="J50" s="33"/>
    </row>
    <row r="51" spans="1:10" ht="20.100000000000001" customHeight="1">
      <c r="A51" s="41">
        <v>32</v>
      </c>
      <c r="B51" s="49" t="s">
        <v>160</v>
      </c>
      <c r="C51" s="34">
        <f t="shared" ref="C51:C60" si="32">C50</f>
        <v>2023</v>
      </c>
      <c r="E51" s="59"/>
      <c r="F51" s="59">
        <v>3410</v>
      </c>
      <c r="G51" s="59">
        <v>45657</v>
      </c>
      <c r="H51" s="296"/>
      <c r="I51" s="59">
        <v>1595611</v>
      </c>
      <c r="J51" s="33"/>
    </row>
    <row r="52" spans="1:10" ht="20.100000000000001" customHeight="1">
      <c r="A52" s="41">
        <v>33</v>
      </c>
      <c r="B52" s="49" t="s">
        <v>161</v>
      </c>
      <c r="C52" s="34">
        <f t="shared" si="32"/>
        <v>2023</v>
      </c>
      <c r="E52" s="59"/>
      <c r="F52" s="59">
        <v>3410</v>
      </c>
      <c r="G52" s="59">
        <v>45657</v>
      </c>
      <c r="H52" s="296"/>
      <c r="I52" s="59">
        <v>1595611</v>
      </c>
      <c r="J52" s="33"/>
    </row>
    <row r="53" spans="1:10" ht="20.100000000000001" customHeight="1">
      <c r="A53" s="41">
        <v>34</v>
      </c>
      <c r="B53" s="49" t="s">
        <v>162</v>
      </c>
      <c r="C53" s="34">
        <f t="shared" si="32"/>
        <v>2023</v>
      </c>
      <c r="E53" s="59"/>
      <c r="F53" s="59">
        <v>3410</v>
      </c>
      <c r="G53" s="59">
        <v>45657</v>
      </c>
      <c r="H53" s="296"/>
      <c r="I53" s="59">
        <v>1595611</v>
      </c>
      <c r="J53" s="33"/>
    </row>
    <row r="54" spans="1:10" ht="20.100000000000001" customHeight="1">
      <c r="A54" s="41">
        <v>35</v>
      </c>
      <c r="B54" s="49" t="s">
        <v>173</v>
      </c>
      <c r="C54" s="34">
        <f t="shared" si="32"/>
        <v>2023</v>
      </c>
      <c r="E54" s="59"/>
      <c r="F54" s="59">
        <v>3410</v>
      </c>
      <c r="G54" s="59">
        <v>45657</v>
      </c>
      <c r="H54" s="296"/>
      <c r="I54" s="59">
        <v>1595611</v>
      </c>
      <c r="J54" s="33"/>
    </row>
    <row r="55" spans="1:10" ht="20.100000000000001" customHeight="1">
      <c r="A55" s="41">
        <v>36</v>
      </c>
      <c r="B55" s="49" t="s">
        <v>163</v>
      </c>
      <c r="C55" s="34">
        <f t="shared" si="32"/>
        <v>2023</v>
      </c>
      <c r="E55" s="59"/>
      <c r="F55" s="59">
        <v>3410</v>
      </c>
      <c r="G55" s="59">
        <v>45657</v>
      </c>
      <c r="H55" s="296"/>
      <c r="I55" s="59">
        <v>1595611</v>
      </c>
      <c r="J55" s="33"/>
    </row>
    <row r="56" spans="1:10" ht="20.100000000000001" customHeight="1">
      <c r="A56" s="41">
        <v>37</v>
      </c>
      <c r="B56" s="49" t="s">
        <v>164</v>
      </c>
      <c r="C56" s="34">
        <f t="shared" si="32"/>
        <v>2023</v>
      </c>
      <c r="E56" s="59"/>
      <c r="F56" s="59">
        <v>3410</v>
      </c>
      <c r="G56" s="59">
        <v>45657</v>
      </c>
      <c r="H56" s="296"/>
      <c r="I56" s="59">
        <v>1595611</v>
      </c>
      <c r="J56" s="33"/>
    </row>
    <row r="57" spans="1:10" ht="20.100000000000001" customHeight="1">
      <c r="A57" s="41">
        <v>38</v>
      </c>
      <c r="B57" s="49" t="s">
        <v>165</v>
      </c>
      <c r="C57" s="34">
        <f t="shared" si="32"/>
        <v>2023</v>
      </c>
      <c r="E57" s="59"/>
      <c r="F57" s="59">
        <v>3410</v>
      </c>
      <c r="G57" s="59">
        <v>45657</v>
      </c>
      <c r="H57" s="296"/>
      <c r="I57" s="59">
        <v>1595611</v>
      </c>
      <c r="J57" s="33"/>
    </row>
    <row r="58" spans="1:10" ht="20.100000000000001" customHeight="1">
      <c r="A58" s="41">
        <v>39</v>
      </c>
      <c r="B58" s="49" t="s">
        <v>167</v>
      </c>
      <c r="C58" s="34">
        <f t="shared" si="32"/>
        <v>2023</v>
      </c>
      <c r="E58" s="59"/>
      <c r="F58" s="59">
        <v>3410</v>
      </c>
      <c r="G58" s="59">
        <v>45657</v>
      </c>
      <c r="H58" s="296"/>
      <c r="I58" s="59">
        <v>1595611</v>
      </c>
      <c r="J58" s="33"/>
    </row>
    <row r="59" spans="1:10" ht="20.100000000000001" customHeight="1">
      <c r="A59" s="41">
        <v>40</v>
      </c>
      <c r="B59" s="49" t="s">
        <v>166</v>
      </c>
      <c r="C59" s="34">
        <f t="shared" si="32"/>
        <v>2023</v>
      </c>
      <c r="E59" s="59"/>
      <c r="F59" s="59">
        <v>3410</v>
      </c>
      <c r="G59" s="59">
        <v>45657</v>
      </c>
      <c r="H59" s="296"/>
      <c r="I59" s="59">
        <v>1595611</v>
      </c>
      <c r="J59" s="33"/>
    </row>
    <row r="60" spans="1:10" ht="20.100000000000001" customHeight="1">
      <c r="A60" s="41">
        <v>41</v>
      </c>
      <c r="B60" s="49" t="s">
        <v>157</v>
      </c>
      <c r="C60" s="34">
        <f t="shared" si="32"/>
        <v>2023</v>
      </c>
      <c r="E60" s="59"/>
      <c r="F60" s="59">
        <v>3410</v>
      </c>
      <c r="G60" s="59">
        <v>45657</v>
      </c>
      <c r="H60" s="296"/>
      <c r="I60" s="59">
        <v>1595611</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H62" si="33">SUM(E48:E60)/13</f>
        <v>0</v>
      </c>
      <c r="F62" s="61">
        <f>SUM(F48:F60)/13</f>
        <v>3410</v>
      </c>
      <c r="G62" s="61">
        <f>SUM(G48:G60)/13</f>
        <v>45657</v>
      </c>
      <c r="H62" s="61">
        <f t="shared" si="33"/>
        <v>0</v>
      </c>
      <c r="I62" s="61">
        <f>SUM(I48:I60)/13</f>
        <v>1595611</v>
      </c>
      <c r="J62" s="33"/>
    </row>
    <row r="64" spans="1:10" ht="20.100000000000001" customHeight="1">
      <c r="A64" s="33" t="s">
        <v>183</v>
      </c>
    </row>
    <row r="65" spans="1:2" ht="20.100000000000001" customHeight="1">
      <c r="A65" s="37" t="s">
        <v>182</v>
      </c>
      <c r="B65" s="33" t="s">
        <v>774</v>
      </c>
    </row>
    <row r="66" spans="1:2" ht="20.100000000000001" customHeight="1">
      <c r="A66" s="37" t="s">
        <v>189</v>
      </c>
      <c r="B66" s="33" t="s">
        <v>184</v>
      </c>
    </row>
    <row r="67" spans="1:2" ht="20.100000000000001" customHeight="1">
      <c r="A67" s="37" t="s">
        <v>221</v>
      </c>
      <c r="B67" s="33" t="s">
        <v>499</v>
      </c>
    </row>
    <row r="68" spans="1:2" ht="20.100000000000001" customHeight="1">
      <c r="A68" s="33"/>
    </row>
  </sheetData>
  <customSheetViews>
    <customSheetView guid="{E1861F40-EBD5-44AE-868B-FDE0ED504D72}" scale="85">
      <selection activeCell="E9" sqref="E9"/>
      <pageMargins left="0.7" right="0.7" top="0.75" bottom="0.75" header="0.3" footer="0.3"/>
      <pageSetup scale="55" orientation="portrait" r:id="rId1"/>
    </customSheetView>
  </customSheetViews>
  <pageMargins left="0.7" right="0.7" top="0.75" bottom="0.75" header="0.3" footer="0.3"/>
  <pageSetup scale="48" fitToWidth="0" fitToHeight="0" orientation="portrait" r:id="rId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L69"/>
  <sheetViews>
    <sheetView view="pageBreakPreview" zoomScale="80" zoomScaleNormal="85" zoomScaleSheetLayoutView="80" workbookViewId="0">
      <selection activeCell="B1" sqref="B1"/>
    </sheetView>
  </sheetViews>
  <sheetFormatPr defaultColWidth="8.81640625" defaultRowHeight="20.100000000000001" customHeight="1"/>
  <cols>
    <col min="1" max="1" width="5.7265625" style="37" bestFit="1" customWidth="1"/>
    <col min="2" max="2" width="10.7265625" style="33" customWidth="1"/>
    <col min="3" max="3" width="8.81640625" style="33"/>
    <col min="4" max="4" width="2.7265625" style="33" customWidth="1"/>
    <col min="5" max="9" width="12.7265625" style="37" customWidth="1"/>
    <col min="10" max="10" width="5.7265625" style="37" customWidth="1"/>
    <col min="11" max="11" width="13.7265625" style="33" bestFit="1" customWidth="1"/>
    <col min="12" max="12" width="19.7265625" style="33" customWidth="1"/>
    <col min="13" max="13" width="17.7265625" style="33" bestFit="1" customWidth="1"/>
    <col min="14" max="14" width="13.81640625" style="33" bestFit="1" customWidth="1"/>
    <col min="15" max="16384" width="8.81640625" style="33"/>
  </cols>
  <sheetData>
    <row r="1" spans="1:11" ht="20.100000000000001" customHeight="1">
      <c r="A1" s="1044"/>
      <c r="B1" s="1044"/>
      <c r="C1" s="1044"/>
      <c r="D1" s="1044"/>
      <c r="E1" s="1044"/>
      <c r="F1" s="587"/>
      <c r="K1" s="3" t="s">
        <v>453</v>
      </c>
    </row>
    <row r="2" spans="1:11" ht="20.100000000000001" customHeight="1">
      <c r="A2" s="1044"/>
      <c r="B2" s="1044"/>
      <c r="C2" s="1044"/>
      <c r="D2" s="1044"/>
      <c r="E2" s="1044"/>
      <c r="K2" s="3" t="s">
        <v>144</v>
      </c>
    </row>
    <row r="3" spans="1:11" ht="20.100000000000001" customHeight="1">
      <c r="A3" s="1044"/>
      <c r="B3" s="1044"/>
      <c r="C3" s="1044"/>
      <c r="D3" s="1044"/>
      <c r="E3" s="1044"/>
      <c r="G3" s="39" t="s">
        <v>421</v>
      </c>
      <c r="K3" s="3" t="str">
        <f>'Attachment 1 - Sched 1A'!$J$3</f>
        <v>For the 12 months ended 12/31/2023</v>
      </c>
    </row>
    <row r="4" spans="1:11" ht="20.100000000000001" customHeight="1">
      <c r="A4" s="1044"/>
      <c r="B4" s="1044"/>
      <c r="C4" s="1044"/>
      <c r="D4" s="1044"/>
      <c r="E4" s="1044"/>
    </row>
    <row r="5" spans="1:11" ht="20.100000000000001" customHeight="1">
      <c r="E5" s="288" t="s">
        <v>392</v>
      </c>
      <c r="F5" s="288" t="s">
        <v>393</v>
      </c>
      <c r="G5" s="288" t="s">
        <v>394</v>
      </c>
      <c r="H5" s="288" t="s">
        <v>395</v>
      </c>
      <c r="I5" s="288" t="s">
        <v>396</v>
      </c>
      <c r="J5" s="289"/>
      <c r="K5" s="288" t="s">
        <v>397</v>
      </c>
    </row>
    <row r="6" spans="1:11" ht="20.100000000000001" customHeight="1">
      <c r="E6" s="39" t="s">
        <v>174</v>
      </c>
      <c r="F6" s="39" t="s">
        <v>22</v>
      </c>
      <c r="G6" s="39" t="s">
        <v>175</v>
      </c>
      <c r="H6" s="39" t="s">
        <v>177</v>
      </c>
      <c r="I6" s="39" t="s">
        <v>176</v>
      </c>
      <c r="J6" s="33"/>
      <c r="K6" s="39" t="s">
        <v>9</v>
      </c>
    </row>
    <row r="7" spans="1:11" ht="20.100000000000001" customHeight="1">
      <c r="D7" s="36"/>
      <c r="E7" s="38"/>
      <c r="F7" s="38"/>
      <c r="G7" s="38"/>
      <c r="H7" s="38"/>
      <c r="I7" s="38"/>
      <c r="J7" s="33"/>
    </row>
    <row r="8" spans="1:11" ht="20.100000000000001" customHeight="1">
      <c r="A8" s="41">
        <v>1</v>
      </c>
      <c r="B8" s="33" t="s">
        <v>157</v>
      </c>
      <c r="C8" s="34">
        <f>'Attachment 3 - Gross Plant'!C8</f>
        <v>2022</v>
      </c>
      <c r="E8" s="62">
        <f t="shared" ref="E8:I8" si="0">E27-E48</f>
        <v>0</v>
      </c>
      <c r="F8" s="62">
        <f t="shared" si="0"/>
        <v>466848202.20376635</v>
      </c>
      <c r="G8" s="62">
        <f t="shared" si="0"/>
        <v>1687800331.1999998</v>
      </c>
      <c r="H8" s="62">
        <f t="shared" si="0"/>
        <v>119297675.04726191</v>
      </c>
      <c r="I8" s="62">
        <f t="shared" si="0"/>
        <v>101731366.59893423</v>
      </c>
      <c r="J8" s="306"/>
      <c r="K8" s="306">
        <f t="shared" ref="K8:K20" si="1">SUM(E8:I8)</f>
        <v>2375677575.049962</v>
      </c>
    </row>
    <row r="9" spans="1:11" ht="20.100000000000001" customHeight="1">
      <c r="A9" s="41">
        <v>2</v>
      </c>
      <c r="B9" s="33" t="s">
        <v>158</v>
      </c>
      <c r="C9" s="34">
        <f>C8+1</f>
        <v>2023</v>
      </c>
      <c r="E9" s="62">
        <f t="shared" ref="E9:F20" si="2">E28-E49</f>
        <v>0</v>
      </c>
      <c r="F9" s="62">
        <f t="shared" si="2"/>
        <v>469297696.511913</v>
      </c>
      <c r="G9" s="62">
        <f t="shared" ref="G9:I9" si="3">G28-G49</f>
        <v>1694435646.8699999</v>
      </c>
      <c r="H9" s="62">
        <f t="shared" si="3"/>
        <v>120478654.04452382</v>
      </c>
      <c r="I9" s="62">
        <f t="shared" si="3"/>
        <v>102816873.58712515</v>
      </c>
      <c r="J9" s="306"/>
      <c r="K9" s="306">
        <f t="shared" si="1"/>
        <v>2387028871.0135617</v>
      </c>
    </row>
    <row r="10" spans="1:11" ht="20.100000000000001" customHeight="1">
      <c r="A10" s="41">
        <v>3</v>
      </c>
      <c r="B10" s="33" t="s">
        <v>159</v>
      </c>
      <c r="C10" s="34">
        <f>C9</f>
        <v>2023</v>
      </c>
      <c r="E10" s="62">
        <f t="shared" si="2"/>
        <v>0</v>
      </c>
      <c r="F10" s="62">
        <f t="shared" si="2"/>
        <v>472122425.67519629</v>
      </c>
      <c r="G10" s="62">
        <f t="shared" ref="G10:I10" si="4">G29-G50</f>
        <v>1701325674.5599997</v>
      </c>
      <c r="H10" s="62">
        <f t="shared" si="4"/>
        <v>121685171.66178572</v>
      </c>
      <c r="I10" s="62">
        <f t="shared" si="4"/>
        <v>103912979.3825627</v>
      </c>
      <c r="J10" s="306"/>
      <c r="K10" s="306">
        <f t="shared" si="1"/>
        <v>2399046251.2795444</v>
      </c>
    </row>
    <row r="11" spans="1:11" ht="20.100000000000001" customHeight="1">
      <c r="A11" s="41">
        <v>4</v>
      </c>
      <c r="B11" s="33" t="s">
        <v>160</v>
      </c>
      <c r="C11" s="34">
        <f t="shared" ref="C11:C20" si="5">C10</f>
        <v>2023</v>
      </c>
      <c r="E11" s="62">
        <f t="shared" si="2"/>
        <v>0</v>
      </c>
      <c r="F11" s="62">
        <f t="shared" si="2"/>
        <v>474591196.24923599</v>
      </c>
      <c r="G11" s="62">
        <f t="shared" ref="G11:I11" si="6">G30-G51</f>
        <v>1708974449.1799998</v>
      </c>
      <c r="H11" s="62">
        <f t="shared" si="6"/>
        <v>123016731.37904763</v>
      </c>
      <c r="I11" s="62">
        <f t="shared" si="6"/>
        <v>104959624.55719309</v>
      </c>
      <c r="J11" s="306"/>
      <c r="K11" s="306">
        <f t="shared" si="1"/>
        <v>2411542001.3654771</v>
      </c>
    </row>
    <row r="12" spans="1:11" ht="20.100000000000001" customHeight="1">
      <c r="A12" s="41">
        <v>5</v>
      </c>
      <c r="B12" s="33" t="s">
        <v>161</v>
      </c>
      <c r="C12" s="34">
        <f t="shared" si="5"/>
        <v>2023</v>
      </c>
      <c r="E12" s="62">
        <f t="shared" si="2"/>
        <v>0</v>
      </c>
      <c r="F12" s="62">
        <f t="shared" si="2"/>
        <v>476821646.67327565</v>
      </c>
      <c r="G12" s="62">
        <f t="shared" ref="G12:I12" si="7">G31-G52</f>
        <v>1717341555.7999997</v>
      </c>
      <c r="H12" s="62">
        <f t="shared" si="7"/>
        <v>124422497.31630954</v>
      </c>
      <c r="I12" s="62">
        <f t="shared" si="7"/>
        <v>106071946.36373633</v>
      </c>
      <c r="J12" s="306"/>
      <c r="K12" s="306">
        <f t="shared" si="1"/>
        <v>2424657646.1533208</v>
      </c>
    </row>
    <row r="13" spans="1:11" ht="20.100000000000001" customHeight="1">
      <c r="A13" s="41">
        <v>6</v>
      </c>
      <c r="B13" s="33" t="s">
        <v>162</v>
      </c>
      <c r="C13" s="34">
        <f t="shared" si="5"/>
        <v>2023</v>
      </c>
      <c r="E13" s="62">
        <f t="shared" si="2"/>
        <v>0</v>
      </c>
      <c r="F13" s="62">
        <f t="shared" si="2"/>
        <v>479000046.13731533</v>
      </c>
      <c r="G13" s="62">
        <f t="shared" ref="G13:I13" si="8">G32-G53</f>
        <v>1724996026.0799997</v>
      </c>
      <c r="H13" s="62">
        <f t="shared" si="8"/>
        <v>125797560.79357144</v>
      </c>
      <c r="I13" s="62">
        <f t="shared" si="8"/>
        <v>107166217.66436291</v>
      </c>
      <c r="J13" s="306"/>
      <c r="K13" s="306">
        <f t="shared" si="1"/>
        <v>2436959850.6752496</v>
      </c>
    </row>
    <row r="14" spans="1:11" ht="20.100000000000001" customHeight="1">
      <c r="A14" s="41">
        <v>7</v>
      </c>
      <c r="B14" s="33" t="s">
        <v>173</v>
      </c>
      <c r="C14" s="34">
        <f t="shared" si="5"/>
        <v>2023</v>
      </c>
      <c r="E14" s="62">
        <f t="shared" si="2"/>
        <v>0</v>
      </c>
      <c r="F14" s="62">
        <f t="shared" si="2"/>
        <v>478853642.871355</v>
      </c>
      <c r="G14" s="62">
        <f t="shared" ref="G14:I14" si="9">G33-G54</f>
        <v>1728387641.3799996</v>
      </c>
      <c r="H14" s="62">
        <f t="shared" si="9"/>
        <v>127219311.18083334</v>
      </c>
      <c r="I14" s="62">
        <f t="shared" si="9"/>
        <v>108169680.49140038</v>
      </c>
      <c r="J14" s="306"/>
      <c r="K14" s="306">
        <f t="shared" si="1"/>
        <v>2442630275.9235883</v>
      </c>
    </row>
    <row r="15" spans="1:11" ht="20.100000000000001" customHeight="1">
      <c r="A15" s="41">
        <v>8</v>
      </c>
      <c r="B15" s="33" t="s">
        <v>163</v>
      </c>
      <c r="C15" s="34">
        <f t="shared" si="5"/>
        <v>2023</v>
      </c>
      <c r="E15" s="62">
        <f t="shared" si="2"/>
        <v>0</v>
      </c>
      <c r="F15" s="62">
        <f t="shared" si="2"/>
        <v>474673787.99539471</v>
      </c>
      <c r="G15" s="62">
        <f t="shared" ref="G15:I15" si="10">G34-G55</f>
        <v>1736067900.8899994</v>
      </c>
      <c r="H15" s="62">
        <f t="shared" si="10"/>
        <v>128617478.95809524</v>
      </c>
      <c r="I15" s="62">
        <f t="shared" si="10"/>
        <v>105431344.3146487</v>
      </c>
      <c r="J15" s="306"/>
      <c r="K15" s="306">
        <f t="shared" si="1"/>
        <v>2444790512.1581378</v>
      </c>
    </row>
    <row r="16" spans="1:11" ht="20.100000000000001" customHeight="1">
      <c r="A16" s="41">
        <v>9</v>
      </c>
      <c r="B16" s="33" t="s">
        <v>164</v>
      </c>
      <c r="C16" s="34">
        <f t="shared" si="5"/>
        <v>2023</v>
      </c>
      <c r="E16" s="62">
        <f t="shared" si="2"/>
        <v>0</v>
      </c>
      <c r="F16" s="62">
        <f t="shared" si="2"/>
        <v>476799657.55943435</v>
      </c>
      <c r="G16" s="62">
        <f t="shared" ref="G16:I16" si="11">G35-G56</f>
        <v>1740646115.1999993</v>
      </c>
      <c r="H16" s="62">
        <f t="shared" si="11"/>
        <v>129996042.83535714</v>
      </c>
      <c r="I16" s="62">
        <f t="shared" si="11"/>
        <v>106482445.6286637</v>
      </c>
      <c r="J16" s="306"/>
      <c r="K16" s="306">
        <f t="shared" si="1"/>
        <v>2453924261.2234545</v>
      </c>
    </row>
    <row r="17" spans="1:12" ht="20.100000000000001" customHeight="1">
      <c r="A17" s="41">
        <v>10</v>
      </c>
      <c r="B17" s="33" t="s">
        <v>165</v>
      </c>
      <c r="C17" s="34">
        <f t="shared" si="5"/>
        <v>2023</v>
      </c>
      <c r="E17" s="62">
        <f t="shared" si="2"/>
        <v>0</v>
      </c>
      <c r="F17" s="62">
        <f t="shared" si="2"/>
        <v>479009166.74347407</v>
      </c>
      <c r="G17" s="62">
        <f t="shared" ref="G17:I17" si="12">G36-G57</f>
        <v>1735788485.8199995</v>
      </c>
      <c r="H17" s="62">
        <f t="shared" si="12"/>
        <v>131422256.49261905</v>
      </c>
      <c r="I17" s="62">
        <f t="shared" si="12"/>
        <v>107484411.36493707</v>
      </c>
      <c r="J17" s="306"/>
      <c r="K17" s="306">
        <f t="shared" si="1"/>
        <v>2453704320.42103</v>
      </c>
    </row>
    <row r="18" spans="1:12" ht="20.100000000000001" customHeight="1">
      <c r="A18" s="41">
        <v>11</v>
      </c>
      <c r="B18" s="33" t="s">
        <v>167</v>
      </c>
      <c r="C18" s="34">
        <f t="shared" si="5"/>
        <v>2023</v>
      </c>
      <c r="E18" s="62">
        <f t="shared" si="2"/>
        <v>0</v>
      </c>
      <c r="F18" s="62">
        <f t="shared" si="2"/>
        <v>481813771.93109214</v>
      </c>
      <c r="G18" s="62">
        <f t="shared" ref="G18:I18" si="13">G37-G58</f>
        <v>1741502840.9399993</v>
      </c>
      <c r="H18" s="62">
        <f t="shared" si="13"/>
        <v>132931950.61988096</v>
      </c>
      <c r="I18" s="62">
        <f t="shared" si="13"/>
        <v>108511598.19028215</v>
      </c>
      <c r="J18" s="306"/>
      <c r="K18" s="306">
        <f t="shared" si="1"/>
        <v>2464760161.6812549</v>
      </c>
    </row>
    <row r="19" spans="1:12" ht="20.100000000000001" customHeight="1">
      <c r="A19" s="41">
        <v>12</v>
      </c>
      <c r="B19" s="33" t="s">
        <v>166</v>
      </c>
      <c r="C19" s="34">
        <f t="shared" si="5"/>
        <v>2023</v>
      </c>
      <c r="E19" s="62">
        <f t="shared" si="2"/>
        <v>0</v>
      </c>
      <c r="F19" s="62">
        <f t="shared" si="2"/>
        <v>482840120.30870086</v>
      </c>
      <c r="G19" s="62">
        <f t="shared" ref="G19:I19" si="14">G38-G59</f>
        <v>1745699463.3499994</v>
      </c>
      <c r="H19" s="62">
        <f t="shared" si="14"/>
        <v>134452258.13714287</v>
      </c>
      <c r="I19" s="62">
        <f t="shared" si="14"/>
        <v>109437710.46132056</v>
      </c>
      <c r="J19" s="306"/>
      <c r="K19" s="306">
        <f t="shared" si="1"/>
        <v>2472429552.2571635</v>
      </c>
    </row>
    <row r="20" spans="1:12" ht="20.100000000000001" customHeight="1">
      <c r="A20" s="41">
        <v>13</v>
      </c>
      <c r="B20" s="33" t="s">
        <v>157</v>
      </c>
      <c r="C20" s="34">
        <f t="shared" si="5"/>
        <v>2023</v>
      </c>
      <c r="E20" s="62">
        <f t="shared" si="2"/>
        <v>0</v>
      </c>
      <c r="F20" s="62">
        <f t="shared" si="2"/>
        <v>485832357.43773133</v>
      </c>
      <c r="G20" s="62">
        <f t="shared" ref="G20:I20" si="15">G39-G60</f>
        <v>1748368310.9799995</v>
      </c>
      <c r="H20" s="62">
        <f t="shared" si="15"/>
        <v>110282357.55440477</v>
      </c>
      <c r="I20" s="62">
        <f t="shared" si="15"/>
        <v>109138169.20766565</v>
      </c>
      <c r="J20" s="306"/>
      <c r="K20" s="306">
        <f t="shared" si="1"/>
        <v>2453621195.179801</v>
      </c>
    </row>
    <row r="21" spans="1:12" ht="20.100000000000001" customHeight="1">
      <c r="E21" s="62"/>
      <c r="F21" s="62"/>
      <c r="G21" s="62"/>
      <c r="H21" s="62"/>
      <c r="I21" s="62"/>
      <c r="J21" s="306"/>
      <c r="K21" s="306"/>
    </row>
    <row r="22" spans="1:12" s="42" customFormat="1" ht="20.100000000000001" customHeight="1">
      <c r="A22" s="139">
        <v>14</v>
      </c>
      <c r="B22" s="42" t="s">
        <v>181</v>
      </c>
      <c r="D22" s="304" t="s">
        <v>473</v>
      </c>
      <c r="E22" s="303">
        <f>SUM(E8:E20)/13</f>
        <v>0</v>
      </c>
      <c r="F22" s="303">
        <f t="shared" ref="F22" si="16">SUM(F8:F20)/13</f>
        <v>476807978.33060658</v>
      </c>
      <c r="G22" s="303">
        <f>SUM(G8:G20)/13</f>
        <v>1723948803.2499995</v>
      </c>
      <c r="H22" s="303">
        <f>SUM(H8:H20)/13</f>
        <v>125355380.46314102</v>
      </c>
      <c r="I22" s="303">
        <f>SUM(I8:I20)/13</f>
        <v>106254951.3702179</v>
      </c>
      <c r="J22" s="303"/>
      <c r="K22" s="303">
        <f t="shared" ref="K22" si="17">SUM(K8:K20)/13</f>
        <v>2432367113.4139647</v>
      </c>
    </row>
    <row r="23" spans="1:12" ht="20.100000000000001" customHeight="1">
      <c r="A23" s="40"/>
    </row>
    <row r="24" spans="1:12" ht="20.100000000000001" customHeight="1">
      <c r="E24" s="39" t="s">
        <v>174</v>
      </c>
      <c r="F24" s="39" t="s">
        <v>22</v>
      </c>
      <c r="G24" s="39" t="s">
        <v>175</v>
      </c>
      <c r="H24" s="39" t="s">
        <v>177</v>
      </c>
      <c r="I24" s="39" t="s">
        <v>176</v>
      </c>
      <c r="J24" s="33"/>
      <c r="K24" s="39" t="s">
        <v>9</v>
      </c>
    </row>
    <row r="25" spans="1:12" ht="20.100000000000001" customHeight="1">
      <c r="E25" s="39"/>
      <c r="F25" s="39"/>
      <c r="G25" s="39"/>
      <c r="H25" s="39"/>
      <c r="I25" s="39"/>
      <c r="J25" s="33"/>
    </row>
    <row r="26" spans="1:12" ht="20.100000000000001" customHeight="1">
      <c r="D26" s="36" t="s">
        <v>189</v>
      </c>
      <c r="E26" s="38" t="s">
        <v>36</v>
      </c>
      <c r="F26" s="38" t="s">
        <v>185</v>
      </c>
      <c r="G26" s="38" t="s">
        <v>37</v>
      </c>
      <c r="H26" s="38" t="s">
        <v>186</v>
      </c>
      <c r="I26" s="38" t="s">
        <v>187</v>
      </c>
      <c r="J26" s="33"/>
    </row>
    <row r="27" spans="1:12" ht="20.100000000000001" customHeight="1">
      <c r="A27" s="41">
        <v>15</v>
      </c>
      <c r="B27" s="33" t="s">
        <v>157</v>
      </c>
      <c r="C27" s="34">
        <f>C8</f>
        <v>2022</v>
      </c>
      <c r="E27" s="56"/>
      <c r="F27" s="56">
        <v>466849896.20376635</v>
      </c>
      <c r="G27" s="56">
        <v>1687830901.1999998</v>
      </c>
      <c r="H27" s="56">
        <v>119297675.04726191</v>
      </c>
      <c r="I27" s="56">
        <v>102606727.59893423</v>
      </c>
      <c r="J27" s="57"/>
      <c r="K27" s="57">
        <f t="shared" ref="K27:K39" si="18">SUM(E27:I27)</f>
        <v>2376585200.049962</v>
      </c>
    </row>
    <row r="28" spans="1:12" ht="20.100000000000001" customHeight="1">
      <c r="A28" s="41">
        <v>16</v>
      </c>
      <c r="B28" s="33" t="s">
        <v>158</v>
      </c>
      <c r="C28" s="34">
        <f>C27+1</f>
        <v>2023</v>
      </c>
      <c r="E28" s="56"/>
      <c r="F28" s="56">
        <v>469299394.141913</v>
      </c>
      <c r="G28" s="56">
        <v>1694466290.3599999</v>
      </c>
      <c r="H28" s="56">
        <v>120478654.04452382</v>
      </c>
      <c r="I28" s="56">
        <v>103699003.22712515</v>
      </c>
      <c r="J28" s="57"/>
      <c r="K28" s="57">
        <f t="shared" si="18"/>
        <v>2387943341.773562</v>
      </c>
      <c r="L28" s="56"/>
    </row>
    <row r="29" spans="1:12" ht="20.100000000000001" customHeight="1">
      <c r="A29" s="41">
        <v>17</v>
      </c>
      <c r="B29" s="33" t="s">
        <v>159</v>
      </c>
      <c r="C29" s="34">
        <f>C28</f>
        <v>2023</v>
      </c>
      <c r="E29" s="56"/>
      <c r="F29" s="56">
        <v>472124127.27519631</v>
      </c>
      <c r="G29" s="56">
        <v>1701356391.8199997</v>
      </c>
      <c r="H29" s="56">
        <v>121685171.66178572</v>
      </c>
      <c r="I29" s="56">
        <v>104801877.8325627</v>
      </c>
      <c r="J29" s="57"/>
      <c r="K29" s="57">
        <f t="shared" si="18"/>
        <v>2399967568.5895443</v>
      </c>
      <c r="L29" s="56"/>
    </row>
    <row r="30" spans="1:12" ht="20.100000000000001" customHeight="1">
      <c r="A30" s="41">
        <v>18</v>
      </c>
      <c r="B30" s="33" t="s">
        <v>160</v>
      </c>
      <c r="C30" s="34">
        <f t="shared" ref="C30:C39" si="19">C29</f>
        <v>2023</v>
      </c>
      <c r="E30" s="56"/>
      <c r="F30" s="56">
        <v>474592901.81923598</v>
      </c>
      <c r="G30" s="56">
        <v>1709005240.2099998</v>
      </c>
      <c r="H30" s="56">
        <v>123016731.37904763</v>
      </c>
      <c r="I30" s="56">
        <v>105855291.82719308</v>
      </c>
      <c r="J30" s="57"/>
      <c r="K30" s="57">
        <f t="shared" si="18"/>
        <v>2412470165.2354765</v>
      </c>
      <c r="L30" s="56"/>
    </row>
    <row r="31" spans="1:12" ht="20.100000000000001" customHeight="1">
      <c r="A31" s="41">
        <v>19</v>
      </c>
      <c r="B31" s="33" t="s">
        <v>161</v>
      </c>
      <c r="C31" s="34">
        <f t="shared" si="19"/>
        <v>2023</v>
      </c>
      <c r="E31" s="56"/>
      <c r="F31" s="56">
        <v>476823356.21327567</v>
      </c>
      <c r="G31" s="56">
        <v>1717372420.6099997</v>
      </c>
      <c r="H31" s="56">
        <v>124422497.31630954</v>
      </c>
      <c r="I31" s="56">
        <v>106974382.45373634</v>
      </c>
      <c r="J31" s="57"/>
      <c r="K31" s="57">
        <f t="shared" si="18"/>
        <v>2425592656.5933213</v>
      </c>
      <c r="L31" s="56"/>
    </row>
    <row r="32" spans="1:12" ht="20.100000000000001" customHeight="1">
      <c r="A32" s="41">
        <v>20</v>
      </c>
      <c r="B32" s="33" t="s">
        <v>162</v>
      </c>
      <c r="C32" s="34">
        <f t="shared" si="19"/>
        <v>2023</v>
      </c>
      <c r="E32" s="56"/>
      <c r="F32" s="56">
        <v>479001759.64731532</v>
      </c>
      <c r="G32" s="56">
        <v>1725026964.6599996</v>
      </c>
      <c r="H32" s="56">
        <v>125797560.79357144</v>
      </c>
      <c r="I32" s="56">
        <v>108075422.56436291</v>
      </c>
      <c r="J32" s="57"/>
      <c r="K32" s="57">
        <f t="shared" si="18"/>
        <v>2437901707.6652493</v>
      </c>
      <c r="L32" s="56"/>
    </row>
    <row r="33" spans="1:12" ht="20.100000000000001" customHeight="1">
      <c r="A33" s="41">
        <v>21</v>
      </c>
      <c r="B33" s="33" t="s">
        <v>173</v>
      </c>
      <c r="C33" s="34">
        <f t="shared" si="19"/>
        <v>2023</v>
      </c>
      <c r="E33" s="56"/>
      <c r="F33" s="56">
        <v>478855360.35135502</v>
      </c>
      <c r="G33" s="56">
        <v>1728418653.7399995</v>
      </c>
      <c r="H33" s="56">
        <v>127219311.18083334</v>
      </c>
      <c r="I33" s="56">
        <v>109085654.20140037</v>
      </c>
      <c r="J33" s="57"/>
      <c r="K33" s="57">
        <f t="shared" si="18"/>
        <v>2443578979.473588</v>
      </c>
      <c r="L33" s="56"/>
    </row>
    <row r="34" spans="1:12" ht="20.100000000000001" customHeight="1">
      <c r="A34" s="41">
        <v>22</v>
      </c>
      <c r="B34" s="33" t="s">
        <v>163</v>
      </c>
      <c r="C34" s="34">
        <f t="shared" si="19"/>
        <v>2023</v>
      </c>
      <c r="E34" s="56"/>
      <c r="F34" s="56">
        <v>474675509.44539469</v>
      </c>
      <c r="G34" s="56">
        <v>1736098987.0199995</v>
      </c>
      <c r="H34" s="56">
        <v>128617478.95809524</v>
      </c>
      <c r="I34" s="56">
        <v>106354086.8346487</v>
      </c>
      <c r="J34" s="57"/>
      <c r="K34" s="57">
        <f t="shared" si="18"/>
        <v>2445746062.2581377</v>
      </c>
      <c r="L34" s="56"/>
    </row>
    <row r="35" spans="1:12" ht="20.100000000000001" customHeight="1">
      <c r="A35" s="41">
        <v>23</v>
      </c>
      <c r="B35" s="33" t="s">
        <v>164</v>
      </c>
      <c r="C35" s="34">
        <f t="shared" si="19"/>
        <v>2023</v>
      </c>
      <c r="E35" s="56"/>
      <c r="F35" s="56">
        <v>476801382.97943437</v>
      </c>
      <c r="G35" s="56">
        <v>1740677275.1099994</v>
      </c>
      <c r="H35" s="56">
        <v>129996042.83535714</v>
      </c>
      <c r="I35" s="56">
        <v>107411956.9586637</v>
      </c>
      <c r="J35" s="57"/>
      <c r="K35" s="57">
        <f t="shared" si="18"/>
        <v>2454886657.8834543</v>
      </c>
      <c r="L35" s="56"/>
    </row>
    <row r="36" spans="1:12" ht="20.100000000000001" customHeight="1">
      <c r="A36" s="41">
        <v>24</v>
      </c>
      <c r="B36" s="33" t="s">
        <v>165</v>
      </c>
      <c r="C36" s="34">
        <f t="shared" si="19"/>
        <v>2023</v>
      </c>
      <c r="E36" s="56"/>
      <c r="F36" s="56">
        <v>479010896.13347405</v>
      </c>
      <c r="G36" s="56">
        <v>1735819719.5099995</v>
      </c>
      <c r="H36" s="56">
        <v>131422256.49261905</v>
      </c>
      <c r="I36" s="56">
        <v>108420691.51493707</v>
      </c>
      <c r="J36" s="57"/>
      <c r="K36" s="57">
        <f t="shared" si="18"/>
        <v>2454673563.6510296</v>
      </c>
      <c r="L36" s="56"/>
    </row>
    <row r="37" spans="1:12" ht="20.100000000000001" customHeight="1">
      <c r="A37" s="41">
        <v>25</v>
      </c>
      <c r="B37" s="33" t="s">
        <v>167</v>
      </c>
      <c r="C37" s="34">
        <f t="shared" si="19"/>
        <v>2023</v>
      </c>
      <c r="E37" s="56"/>
      <c r="F37" s="56">
        <v>481815505.29109216</v>
      </c>
      <c r="G37" s="56">
        <v>1741534148.3999994</v>
      </c>
      <c r="H37" s="56">
        <v>132931950.61988096</v>
      </c>
      <c r="I37" s="56">
        <v>109454647.16028215</v>
      </c>
      <c r="J37" s="57"/>
      <c r="K37" s="57">
        <f t="shared" si="18"/>
        <v>2465736251.4712548</v>
      </c>
      <c r="L37" s="56"/>
    </row>
    <row r="38" spans="1:12" ht="20.100000000000001" customHeight="1">
      <c r="A38" s="41">
        <v>26</v>
      </c>
      <c r="B38" s="33" t="s">
        <v>166</v>
      </c>
      <c r="C38" s="34">
        <f t="shared" si="19"/>
        <v>2023</v>
      </c>
      <c r="E38" s="56"/>
      <c r="F38" s="56">
        <v>482841857.63870084</v>
      </c>
      <c r="G38" s="56">
        <v>1745730844.5899994</v>
      </c>
      <c r="H38" s="56">
        <v>134452258.13714287</v>
      </c>
      <c r="I38" s="56">
        <v>110387528.24132057</v>
      </c>
      <c r="J38" s="57"/>
      <c r="K38" s="57">
        <f t="shared" si="18"/>
        <v>2473412488.6071634</v>
      </c>
      <c r="L38" s="56"/>
    </row>
    <row r="39" spans="1:12" ht="20.100000000000001" customHeight="1">
      <c r="A39" s="41">
        <v>27</v>
      </c>
      <c r="B39" s="33" t="s">
        <v>157</v>
      </c>
      <c r="C39" s="34">
        <f t="shared" si="19"/>
        <v>2023</v>
      </c>
      <c r="E39" s="56"/>
      <c r="F39" s="56">
        <v>485834098.73773134</v>
      </c>
      <c r="G39" s="56">
        <v>1748399765.9999995</v>
      </c>
      <c r="H39" s="56">
        <v>110282357.55440477</v>
      </c>
      <c r="I39" s="56">
        <v>110094755.80766565</v>
      </c>
      <c r="J39" s="57"/>
      <c r="K39" s="57">
        <f t="shared" si="18"/>
        <v>2454610978.0998015</v>
      </c>
      <c r="L39" s="56"/>
    </row>
    <row r="40" spans="1:12" ht="20.100000000000001" customHeight="1">
      <c r="E40" s="58"/>
      <c r="F40" s="58"/>
      <c r="G40" s="58"/>
      <c r="H40" s="58"/>
      <c r="I40" s="58"/>
      <c r="J40" s="57"/>
      <c r="K40" s="57"/>
    </row>
    <row r="41" spans="1:12" ht="20.100000000000001" customHeight="1">
      <c r="A41" s="41">
        <v>28</v>
      </c>
      <c r="B41" s="33" t="s">
        <v>181</v>
      </c>
      <c r="E41" s="58">
        <f>SUM(E27:E39)/13</f>
        <v>0</v>
      </c>
      <c r="F41" s="58">
        <f t="shared" ref="F41:K41" si="20">SUM(F27:F39)/13</f>
        <v>476809695.83676028</v>
      </c>
      <c r="G41" s="58">
        <f>SUM(G27:G39)/13</f>
        <v>1723979815.6330767</v>
      </c>
      <c r="H41" s="58">
        <f>SUM(H27:H39)/13</f>
        <v>125355380.46314102</v>
      </c>
      <c r="I41" s="58">
        <f t="shared" si="20"/>
        <v>107170925.09406406</v>
      </c>
      <c r="J41" s="58"/>
      <c r="K41" s="58">
        <f t="shared" si="20"/>
        <v>2433315817.0270419</v>
      </c>
    </row>
    <row r="44" spans="1:12" ht="20.100000000000001" customHeight="1">
      <c r="B44" s="45" t="s">
        <v>498</v>
      </c>
      <c r="C44" s="46"/>
      <c r="D44" s="46"/>
      <c r="E44" s="47"/>
      <c r="F44" s="47"/>
      <c r="G44" s="48"/>
      <c r="H44" s="291"/>
      <c r="I44" s="291"/>
      <c r="J44" s="53"/>
      <c r="K44" s="54"/>
      <c r="L44" s="54"/>
    </row>
    <row r="45" spans="1:12" ht="20.100000000000001" customHeight="1">
      <c r="B45" s="49"/>
      <c r="E45" s="39" t="s">
        <v>174</v>
      </c>
      <c r="F45" s="39" t="s">
        <v>22</v>
      </c>
      <c r="G45" s="39" t="s">
        <v>175</v>
      </c>
      <c r="H45" s="39" t="s">
        <v>177</v>
      </c>
      <c r="I45" s="39" t="s">
        <v>176</v>
      </c>
      <c r="J45" s="33"/>
    </row>
    <row r="46" spans="1:12" ht="20.100000000000001" customHeight="1">
      <c r="B46" s="49"/>
      <c r="E46" s="33"/>
      <c r="F46" s="39"/>
      <c r="G46" s="39"/>
      <c r="H46" s="33"/>
      <c r="I46" s="39"/>
      <c r="J46" s="33"/>
    </row>
    <row r="47" spans="1:12" ht="20.100000000000001" customHeight="1">
      <c r="B47" s="49"/>
      <c r="D47" s="36" t="s">
        <v>189</v>
      </c>
      <c r="E47" s="38" t="s">
        <v>485</v>
      </c>
      <c r="F47" s="38" t="s">
        <v>485</v>
      </c>
      <c r="G47" s="38" t="s">
        <v>485</v>
      </c>
      <c r="H47" s="38" t="s">
        <v>485</v>
      </c>
      <c r="I47" s="38" t="s">
        <v>485</v>
      </c>
      <c r="J47" s="33"/>
    </row>
    <row r="48" spans="1:12" ht="20.100000000000001" customHeight="1">
      <c r="A48" s="41">
        <v>29</v>
      </c>
      <c r="B48" s="49" t="s">
        <v>157</v>
      </c>
      <c r="C48" s="34">
        <f>C8</f>
        <v>2022</v>
      </c>
      <c r="E48" s="56"/>
      <c r="F48" s="56">
        <v>1694</v>
      </c>
      <c r="G48" s="56">
        <v>30570</v>
      </c>
      <c r="H48" s="296"/>
      <c r="I48" s="56">
        <v>875361</v>
      </c>
      <c r="J48" s="33"/>
    </row>
    <row r="49" spans="1:10" ht="20.100000000000001" customHeight="1">
      <c r="A49" s="41">
        <v>30</v>
      </c>
      <c r="B49" s="49" t="s">
        <v>158</v>
      </c>
      <c r="C49" s="34">
        <f>C48+1</f>
        <v>2023</v>
      </c>
      <c r="E49" s="56"/>
      <c r="F49" s="56">
        <v>1697.63</v>
      </c>
      <c r="G49" s="56">
        <v>30643.49</v>
      </c>
      <c r="H49" s="296"/>
      <c r="I49" s="56">
        <v>882129.64</v>
      </c>
      <c r="J49" s="33"/>
    </row>
    <row r="50" spans="1:10" ht="20.100000000000001" customHeight="1">
      <c r="A50" s="41">
        <v>31</v>
      </c>
      <c r="B50" s="49" t="s">
        <v>159</v>
      </c>
      <c r="C50" s="34">
        <f>C49</f>
        <v>2023</v>
      </c>
      <c r="E50" s="56"/>
      <c r="F50" s="56">
        <v>1701.6000000000001</v>
      </c>
      <c r="G50" s="56">
        <v>30717.260000000002</v>
      </c>
      <c r="H50" s="296"/>
      <c r="I50" s="56">
        <v>888898.45</v>
      </c>
      <c r="J50" s="33"/>
    </row>
    <row r="51" spans="1:10" ht="20.100000000000001" customHeight="1">
      <c r="A51" s="41">
        <v>32</v>
      </c>
      <c r="B51" s="49" t="s">
        <v>160</v>
      </c>
      <c r="C51" s="34">
        <f t="shared" ref="C51:C60" si="21">C50</f>
        <v>2023</v>
      </c>
      <c r="E51" s="56"/>
      <c r="F51" s="56">
        <v>1705.57</v>
      </c>
      <c r="G51" s="56">
        <v>30791.03</v>
      </c>
      <c r="H51" s="296"/>
      <c r="I51" s="56">
        <v>895667.27</v>
      </c>
      <c r="J51" s="33"/>
    </row>
    <row r="52" spans="1:10" ht="20.100000000000001" customHeight="1">
      <c r="A52" s="41">
        <v>33</v>
      </c>
      <c r="B52" s="49" t="s">
        <v>161</v>
      </c>
      <c r="C52" s="34">
        <f t="shared" si="21"/>
        <v>2023</v>
      </c>
      <c r="E52" s="56"/>
      <c r="F52" s="56">
        <v>1709.54</v>
      </c>
      <c r="G52" s="56">
        <v>30864.81</v>
      </c>
      <c r="H52" s="296"/>
      <c r="I52" s="56">
        <v>902436.09000000008</v>
      </c>
      <c r="J52" s="33"/>
    </row>
    <row r="53" spans="1:10" ht="20.100000000000001" customHeight="1">
      <c r="A53" s="41">
        <v>34</v>
      </c>
      <c r="B53" s="49" t="s">
        <v>162</v>
      </c>
      <c r="C53" s="34">
        <f t="shared" si="21"/>
        <v>2023</v>
      </c>
      <c r="E53" s="56"/>
      <c r="F53" s="56">
        <v>1713.51</v>
      </c>
      <c r="G53" s="56">
        <v>30938.58</v>
      </c>
      <c r="H53" s="296"/>
      <c r="I53" s="56">
        <v>909204.89999999991</v>
      </c>
      <c r="J53" s="33"/>
    </row>
    <row r="54" spans="1:10" ht="20.100000000000001" customHeight="1">
      <c r="A54" s="41">
        <v>35</v>
      </c>
      <c r="B54" s="49" t="s">
        <v>173</v>
      </c>
      <c r="C54" s="34">
        <f t="shared" si="21"/>
        <v>2023</v>
      </c>
      <c r="E54" s="56"/>
      <c r="F54" s="56">
        <v>1717.48</v>
      </c>
      <c r="G54" s="56">
        <v>31012.36</v>
      </c>
      <c r="H54" s="296"/>
      <c r="I54" s="56">
        <v>915973.71</v>
      </c>
      <c r="J54" s="33"/>
    </row>
    <row r="55" spans="1:10" ht="20.100000000000001" customHeight="1">
      <c r="A55" s="41">
        <v>36</v>
      </c>
      <c r="B55" s="49" t="s">
        <v>163</v>
      </c>
      <c r="C55" s="34">
        <f t="shared" si="21"/>
        <v>2023</v>
      </c>
      <c r="E55" s="56"/>
      <c r="F55" s="56">
        <v>1721.45</v>
      </c>
      <c r="G55" s="56">
        <v>31086.13</v>
      </c>
      <c r="H55" s="296"/>
      <c r="I55" s="56">
        <v>922742.52</v>
      </c>
      <c r="J55" s="33"/>
    </row>
    <row r="56" spans="1:10" ht="20.100000000000001" customHeight="1">
      <c r="A56" s="41">
        <v>37</v>
      </c>
      <c r="B56" s="49" t="s">
        <v>164</v>
      </c>
      <c r="C56" s="34">
        <f t="shared" si="21"/>
        <v>2023</v>
      </c>
      <c r="E56" s="56"/>
      <c r="F56" s="56">
        <v>1725.42</v>
      </c>
      <c r="G56" s="56">
        <v>31159.91</v>
      </c>
      <c r="H56" s="296"/>
      <c r="I56" s="56">
        <v>929511.33000000007</v>
      </c>
      <c r="J56" s="33"/>
    </row>
    <row r="57" spans="1:10" ht="20.100000000000001" customHeight="1">
      <c r="A57" s="41">
        <v>38</v>
      </c>
      <c r="B57" s="49" t="s">
        <v>165</v>
      </c>
      <c r="C57" s="34">
        <f t="shared" si="21"/>
        <v>2023</v>
      </c>
      <c r="E57" s="56"/>
      <c r="F57" s="56">
        <v>1729.39</v>
      </c>
      <c r="G57" s="56">
        <v>31233.690000000002</v>
      </c>
      <c r="H57" s="296"/>
      <c r="I57" s="56">
        <v>936280.15</v>
      </c>
      <c r="J57" s="33"/>
    </row>
    <row r="58" spans="1:10" ht="20.100000000000001" customHeight="1">
      <c r="A58" s="41">
        <v>39</v>
      </c>
      <c r="B58" s="49" t="s">
        <v>167</v>
      </c>
      <c r="C58" s="34">
        <f t="shared" si="21"/>
        <v>2023</v>
      </c>
      <c r="E58" s="56"/>
      <c r="F58" s="56">
        <v>1733.3600000000001</v>
      </c>
      <c r="G58" s="56">
        <v>31307.46</v>
      </c>
      <c r="H58" s="296"/>
      <c r="I58" s="56">
        <v>943048.97</v>
      </c>
      <c r="J58" s="33"/>
    </row>
    <row r="59" spans="1:10" ht="20.100000000000001" customHeight="1">
      <c r="A59" s="41">
        <v>40</v>
      </c>
      <c r="B59" s="49" t="s">
        <v>166</v>
      </c>
      <c r="C59" s="34">
        <f t="shared" si="21"/>
        <v>2023</v>
      </c>
      <c r="E59" s="56"/>
      <c r="F59" s="56">
        <v>1737.33</v>
      </c>
      <c r="G59" s="56">
        <v>31381.24</v>
      </c>
      <c r="H59" s="296"/>
      <c r="I59" s="56">
        <v>949817.78</v>
      </c>
      <c r="J59" s="33"/>
    </row>
    <row r="60" spans="1:10" ht="20.100000000000001" customHeight="1">
      <c r="A60" s="41">
        <v>41</v>
      </c>
      <c r="B60" s="49" t="s">
        <v>157</v>
      </c>
      <c r="C60" s="34">
        <f t="shared" si="21"/>
        <v>2023</v>
      </c>
      <c r="E60" s="56"/>
      <c r="F60" s="56">
        <v>1741.3</v>
      </c>
      <c r="G60" s="56">
        <v>31455.02</v>
      </c>
      <c r="H60" s="296"/>
      <c r="I60" s="56">
        <v>956586.60000000009</v>
      </c>
      <c r="J60" s="33"/>
    </row>
    <row r="61" spans="1:10" ht="20.100000000000001" customHeight="1">
      <c r="B61" s="49"/>
      <c r="E61" s="33"/>
      <c r="F61" s="60"/>
      <c r="G61" s="33"/>
      <c r="H61" s="33"/>
      <c r="I61" s="33"/>
      <c r="J61" s="33"/>
    </row>
    <row r="62" spans="1:10" ht="20.100000000000001" customHeight="1">
      <c r="A62" s="41">
        <v>42</v>
      </c>
      <c r="B62" s="50" t="s">
        <v>181</v>
      </c>
      <c r="C62" s="51"/>
      <c r="D62" s="51"/>
      <c r="E62" s="61">
        <f t="shared" ref="E62:I62" si="22">SUM(E48:E60)/13</f>
        <v>0</v>
      </c>
      <c r="F62" s="61">
        <f>SUM(F48:F60)/13</f>
        <v>1717.5061538461537</v>
      </c>
      <c r="G62" s="61">
        <f t="shared" si="22"/>
        <v>31012.383076923077</v>
      </c>
      <c r="H62" s="61">
        <f t="shared" si="22"/>
        <v>0</v>
      </c>
      <c r="I62" s="61">
        <f t="shared" si="22"/>
        <v>915973.72384615382</v>
      </c>
      <c r="J62" s="33"/>
    </row>
    <row r="64" spans="1:10" ht="20.100000000000001" customHeight="1">
      <c r="A64" s="33" t="s">
        <v>183</v>
      </c>
    </row>
    <row r="65" spans="1:2" ht="20.100000000000001" customHeight="1">
      <c r="A65" s="37" t="s">
        <v>182</v>
      </c>
      <c r="B65" s="33" t="s">
        <v>773</v>
      </c>
    </row>
    <row r="66" spans="1:2" ht="20.100000000000001" customHeight="1">
      <c r="A66" s="37" t="s">
        <v>189</v>
      </c>
      <c r="B66" s="33" t="s">
        <v>184</v>
      </c>
    </row>
    <row r="67" spans="1:2" ht="20.100000000000001" customHeight="1">
      <c r="A67" s="37" t="s">
        <v>221</v>
      </c>
      <c r="B67" s="33" t="s">
        <v>500</v>
      </c>
    </row>
    <row r="69" spans="1:2" ht="20.100000000000001" customHeight="1">
      <c r="A69" s="33"/>
    </row>
  </sheetData>
  <customSheetViews>
    <customSheetView guid="{E1861F40-EBD5-44AE-868B-FDE0ED504D72}" scale="85">
      <selection activeCell="E9" sqref="E9"/>
      <pageMargins left="0.7" right="0.7" top="0.75" bottom="0.75" header="0.3" footer="0.3"/>
      <pageSetup scale="55" fitToWidth="0" fitToHeight="0" orientation="portrait" r:id="rId1"/>
    </customSheetView>
  </customSheetViews>
  <pageMargins left="0.7" right="0.7" top="0.75" bottom="0.75" header="0.3" footer="0.3"/>
  <pageSetup scale="48" fitToWidth="0" fitToHeight="0"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7">
    <pageSetUpPr fitToPage="1"/>
  </sheetPr>
  <dimension ref="A1:BS117"/>
  <sheetViews>
    <sheetView zoomScale="70" zoomScaleNormal="70" zoomScalePageLayoutView="50" workbookViewId="0">
      <selection activeCell="C2" sqref="C2"/>
    </sheetView>
  </sheetViews>
  <sheetFormatPr defaultColWidth="5" defaultRowHeight="15.6"/>
  <cols>
    <col min="1" max="1" width="7.08984375" style="601" customWidth="1"/>
    <col min="2" max="2" width="2.7265625" style="601" bestFit="1" customWidth="1"/>
    <col min="3" max="3" width="89.08984375" style="600" bestFit="1" customWidth="1"/>
    <col min="4" max="4" width="0.7265625" style="600" customWidth="1"/>
    <col min="5" max="5" width="11.453125" style="737" customWidth="1"/>
    <col min="6" max="6" width="1.08984375" style="737" customWidth="1"/>
    <col min="7" max="7" width="10.08984375" style="602" bestFit="1" customWidth="1"/>
    <col min="8" max="8" width="1" style="737" customWidth="1"/>
    <col min="9" max="9" width="13.453125" style="602" customWidth="1"/>
    <col min="10" max="10" width="1.08984375" style="602" customWidth="1"/>
    <col min="11" max="11" width="0.7265625" style="600" customWidth="1"/>
    <col min="12" max="12" width="13.453125" style="602" customWidth="1"/>
    <col min="13" max="14" width="0.7265625" style="600" customWidth="1"/>
    <col min="15" max="15" width="13.453125" style="602" customWidth="1"/>
    <col min="16" max="17" width="0.7265625" style="600" customWidth="1"/>
    <col min="18" max="18" width="13.453125" style="602" customWidth="1"/>
    <col min="19" max="20" width="0.7265625" style="600" customWidth="1"/>
    <col min="21" max="21" width="13.453125" style="601" customWidth="1"/>
    <col min="22" max="22" width="0.54296875" style="600" customWidth="1"/>
    <col min="23" max="23" width="13.453125" style="601" customWidth="1"/>
    <col min="24" max="24" width="0.54296875" style="600" customWidth="1"/>
    <col min="25" max="25" width="15.7265625" style="601" customWidth="1"/>
    <col min="26" max="26" width="0.54296875" style="600" customWidth="1"/>
    <col min="27" max="28" width="5" style="600"/>
    <col min="29" max="29" width="12.08984375" style="600" customWidth="1"/>
    <col min="30" max="236" width="5" style="600"/>
    <col min="237" max="237" width="4.7265625" style="600" customWidth="1"/>
    <col min="238" max="238" width="2" style="600" customWidth="1"/>
    <col min="239" max="239" width="40.7265625" style="600" customWidth="1"/>
    <col min="240" max="240" width="3.54296875" style="600" customWidth="1"/>
    <col min="241" max="241" width="11.08984375" style="600" customWidth="1"/>
    <col min="242" max="242" width="2.7265625" style="600" customWidth="1"/>
    <col min="243" max="243" width="11.26953125" style="600" customWidth="1"/>
    <col min="244" max="244" width="2.7265625" style="600" customWidth="1"/>
    <col min="245" max="245" width="11.26953125" style="600" customWidth="1"/>
    <col min="246" max="246" width="2.7265625" style="600" customWidth="1"/>
    <col min="247" max="247" width="19.08984375" style="600" bestFit="1" customWidth="1"/>
    <col min="248" max="248" width="1.81640625" style="600" customWidth="1"/>
    <col min="249" max="249" width="6.7265625" style="600" customWidth="1"/>
    <col min="250" max="250" width="14.7265625" style="600" customWidth="1"/>
    <col min="251" max="251" width="9" style="600" bestFit="1" customWidth="1"/>
    <col min="252" max="492" width="5" style="600"/>
    <col min="493" max="493" width="4.7265625" style="600" customWidth="1"/>
    <col min="494" max="494" width="2" style="600" customWidth="1"/>
    <col min="495" max="495" width="40.7265625" style="600" customWidth="1"/>
    <col min="496" max="496" width="3.54296875" style="600" customWidth="1"/>
    <col min="497" max="497" width="11.08984375" style="600" customWidth="1"/>
    <col min="498" max="498" width="2.7265625" style="600" customWidth="1"/>
    <col min="499" max="499" width="11.26953125" style="600" customWidth="1"/>
    <col min="500" max="500" width="2.7265625" style="600" customWidth="1"/>
    <col min="501" max="501" width="11.26953125" style="600" customWidth="1"/>
    <col min="502" max="502" width="2.7265625" style="600" customWidth="1"/>
    <col min="503" max="503" width="19.08984375" style="600" bestFit="1" customWidth="1"/>
    <col min="504" max="504" width="1.81640625" style="600" customWidth="1"/>
    <col min="505" max="505" width="6.7265625" style="600" customWidth="1"/>
    <col min="506" max="506" width="14.7265625" style="600" customWidth="1"/>
    <col min="507" max="507" width="9" style="600" bestFit="1" customWidth="1"/>
    <col min="508" max="748" width="5" style="600"/>
    <col min="749" max="749" width="4.7265625" style="600" customWidth="1"/>
    <col min="750" max="750" width="2" style="600" customWidth="1"/>
    <col min="751" max="751" width="40.7265625" style="600" customWidth="1"/>
    <col min="752" max="752" width="3.54296875" style="600" customWidth="1"/>
    <col min="753" max="753" width="11.08984375" style="600" customWidth="1"/>
    <col min="754" max="754" width="2.7265625" style="600" customWidth="1"/>
    <col min="755" max="755" width="11.26953125" style="600" customWidth="1"/>
    <col min="756" max="756" width="2.7265625" style="600" customWidth="1"/>
    <col min="757" max="757" width="11.26953125" style="600" customWidth="1"/>
    <col min="758" max="758" width="2.7265625" style="600" customWidth="1"/>
    <col min="759" max="759" width="19.08984375" style="600" bestFit="1" customWidth="1"/>
    <col min="760" max="760" width="1.81640625" style="600" customWidth="1"/>
    <col min="761" max="761" width="6.7265625" style="600" customWidth="1"/>
    <col min="762" max="762" width="14.7265625" style="600" customWidth="1"/>
    <col min="763" max="763" width="9" style="600" bestFit="1" customWidth="1"/>
    <col min="764" max="1004" width="5" style="600"/>
    <col min="1005" max="1005" width="4.7265625" style="600" customWidth="1"/>
    <col min="1006" max="1006" width="2" style="600" customWidth="1"/>
    <col min="1007" max="1007" width="40.7265625" style="600" customWidth="1"/>
    <col min="1008" max="1008" width="3.54296875" style="600" customWidth="1"/>
    <col min="1009" max="1009" width="11.08984375" style="600" customWidth="1"/>
    <col min="1010" max="1010" width="2.7265625" style="600" customWidth="1"/>
    <col min="1011" max="1011" width="11.26953125" style="600" customWidth="1"/>
    <col min="1012" max="1012" width="2.7265625" style="600" customWidth="1"/>
    <col min="1013" max="1013" width="11.26953125" style="600" customWidth="1"/>
    <col min="1014" max="1014" width="2.7265625" style="600" customWidth="1"/>
    <col min="1015" max="1015" width="19.08984375" style="600" bestFit="1" customWidth="1"/>
    <col min="1016" max="1016" width="1.81640625" style="600" customWidth="1"/>
    <col min="1017" max="1017" width="6.7265625" style="600" customWidth="1"/>
    <col min="1018" max="1018" width="14.7265625" style="600" customWidth="1"/>
    <col min="1019" max="1019" width="9" style="600" bestFit="1" customWidth="1"/>
    <col min="1020" max="1260" width="5" style="600"/>
    <col min="1261" max="1261" width="4.7265625" style="600" customWidth="1"/>
    <col min="1262" max="1262" width="2" style="600" customWidth="1"/>
    <col min="1263" max="1263" width="40.7265625" style="600" customWidth="1"/>
    <col min="1264" max="1264" width="3.54296875" style="600" customWidth="1"/>
    <col min="1265" max="1265" width="11.08984375" style="600" customWidth="1"/>
    <col min="1266" max="1266" width="2.7265625" style="600" customWidth="1"/>
    <col min="1267" max="1267" width="11.26953125" style="600" customWidth="1"/>
    <col min="1268" max="1268" width="2.7265625" style="600" customWidth="1"/>
    <col min="1269" max="1269" width="11.26953125" style="600" customWidth="1"/>
    <col min="1270" max="1270" width="2.7265625" style="600" customWidth="1"/>
    <col min="1271" max="1271" width="19.08984375" style="600" bestFit="1" customWidth="1"/>
    <col min="1272" max="1272" width="1.81640625" style="600" customWidth="1"/>
    <col min="1273" max="1273" width="6.7265625" style="600" customWidth="1"/>
    <col min="1274" max="1274" width="14.7265625" style="600" customWidth="1"/>
    <col min="1275" max="1275" width="9" style="600" bestFit="1" customWidth="1"/>
    <col min="1276" max="1516" width="5" style="600"/>
    <col min="1517" max="1517" width="4.7265625" style="600" customWidth="1"/>
    <col min="1518" max="1518" width="2" style="600" customWidth="1"/>
    <col min="1519" max="1519" width="40.7265625" style="600" customWidth="1"/>
    <col min="1520" max="1520" width="3.54296875" style="600" customWidth="1"/>
    <col min="1521" max="1521" width="11.08984375" style="600" customWidth="1"/>
    <col min="1522" max="1522" width="2.7265625" style="600" customWidth="1"/>
    <col min="1523" max="1523" width="11.26953125" style="600" customWidth="1"/>
    <col min="1524" max="1524" width="2.7265625" style="600" customWidth="1"/>
    <col min="1525" max="1525" width="11.26953125" style="600" customWidth="1"/>
    <col min="1526" max="1526" width="2.7265625" style="600" customWidth="1"/>
    <col min="1527" max="1527" width="19.08984375" style="600" bestFit="1" customWidth="1"/>
    <col min="1528" max="1528" width="1.81640625" style="600" customWidth="1"/>
    <col min="1529" max="1529" width="6.7265625" style="600" customWidth="1"/>
    <col min="1530" max="1530" width="14.7265625" style="600" customWidth="1"/>
    <col min="1531" max="1531" width="9" style="600" bestFit="1" customWidth="1"/>
    <col min="1532" max="1772" width="5" style="600"/>
    <col min="1773" max="1773" width="4.7265625" style="600" customWidth="1"/>
    <col min="1774" max="1774" width="2" style="600" customWidth="1"/>
    <col min="1775" max="1775" width="40.7265625" style="600" customWidth="1"/>
    <col min="1776" max="1776" width="3.54296875" style="600" customWidth="1"/>
    <col min="1777" max="1777" width="11.08984375" style="600" customWidth="1"/>
    <col min="1778" max="1778" width="2.7265625" style="600" customWidth="1"/>
    <col min="1779" max="1779" width="11.26953125" style="600" customWidth="1"/>
    <col min="1780" max="1780" width="2.7265625" style="600" customWidth="1"/>
    <col min="1781" max="1781" width="11.26953125" style="600" customWidth="1"/>
    <col min="1782" max="1782" width="2.7265625" style="600" customWidth="1"/>
    <col min="1783" max="1783" width="19.08984375" style="600" bestFit="1" customWidth="1"/>
    <col min="1784" max="1784" width="1.81640625" style="600" customWidth="1"/>
    <col min="1785" max="1785" width="6.7265625" style="600" customWidth="1"/>
    <col min="1786" max="1786" width="14.7265625" style="600" customWidth="1"/>
    <col min="1787" max="1787" width="9" style="600" bestFit="1" customWidth="1"/>
    <col min="1788" max="2028" width="5" style="600"/>
    <col min="2029" max="2029" width="4.7265625" style="600" customWidth="1"/>
    <col min="2030" max="2030" width="2" style="600" customWidth="1"/>
    <col min="2031" max="2031" width="40.7265625" style="600" customWidth="1"/>
    <col min="2032" max="2032" width="3.54296875" style="600" customWidth="1"/>
    <col min="2033" max="2033" width="11.08984375" style="600" customWidth="1"/>
    <col min="2034" max="2034" width="2.7265625" style="600" customWidth="1"/>
    <col min="2035" max="2035" width="11.26953125" style="600" customWidth="1"/>
    <col min="2036" max="2036" width="2.7265625" style="600" customWidth="1"/>
    <col min="2037" max="2037" width="11.26953125" style="600" customWidth="1"/>
    <col min="2038" max="2038" width="2.7265625" style="600" customWidth="1"/>
    <col min="2039" max="2039" width="19.08984375" style="600" bestFit="1" customWidth="1"/>
    <col min="2040" max="2040" width="1.81640625" style="600" customWidth="1"/>
    <col min="2041" max="2041" width="6.7265625" style="600" customWidth="1"/>
    <col min="2042" max="2042" width="14.7265625" style="600" customWidth="1"/>
    <col min="2043" max="2043" width="9" style="600" bestFit="1" customWidth="1"/>
    <col min="2044" max="2284" width="5" style="600"/>
    <col min="2285" max="2285" width="4.7265625" style="600" customWidth="1"/>
    <col min="2286" max="2286" width="2" style="600" customWidth="1"/>
    <col min="2287" max="2287" width="40.7265625" style="600" customWidth="1"/>
    <col min="2288" max="2288" width="3.54296875" style="600" customWidth="1"/>
    <col min="2289" max="2289" width="11.08984375" style="600" customWidth="1"/>
    <col min="2290" max="2290" width="2.7265625" style="600" customWidth="1"/>
    <col min="2291" max="2291" width="11.26953125" style="600" customWidth="1"/>
    <col min="2292" max="2292" width="2.7265625" style="600" customWidth="1"/>
    <col min="2293" max="2293" width="11.26953125" style="600" customWidth="1"/>
    <col min="2294" max="2294" width="2.7265625" style="600" customWidth="1"/>
    <col min="2295" max="2295" width="19.08984375" style="600" bestFit="1" customWidth="1"/>
    <col min="2296" max="2296" width="1.81640625" style="600" customWidth="1"/>
    <col min="2297" max="2297" width="6.7265625" style="600" customWidth="1"/>
    <col min="2298" max="2298" width="14.7265625" style="600" customWidth="1"/>
    <col min="2299" max="2299" width="9" style="600" bestFit="1" customWidth="1"/>
    <col min="2300" max="2540" width="5" style="600"/>
    <col min="2541" max="2541" width="4.7265625" style="600" customWidth="1"/>
    <col min="2542" max="2542" width="2" style="600" customWidth="1"/>
    <col min="2543" max="2543" width="40.7265625" style="600" customWidth="1"/>
    <col min="2544" max="2544" width="3.54296875" style="600" customWidth="1"/>
    <col min="2545" max="2545" width="11.08984375" style="600" customWidth="1"/>
    <col min="2546" max="2546" width="2.7265625" style="600" customWidth="1"/>
    <col min="2547" max="2547" width="11.26953125" style="600" customWidth="1"/>
    <col min="2548" max="2548" width="2.7265625" style="600" customWidth="1"/>
    <col min="2549" max="2549" width="11.26953125" style="600" customWidth="1"/>
    <col min="2550" max="2550" width="2.7265625" style="600" customWidth="1"/>
    <col min="2551" max="2551" width="19.08984375" style="600" bestFit="1" customWidth="1"/>
    <col min="2552" max="2552" width="1.81640625" style="600" customWidth="1"/>
    <col min="2553" max="2553" width="6.7265625" style="600" customWidth="1"/>
    <col min="2554" max="2554" width="14.7265625" style="600" customWidth="1"/>
    <col min="2555" max="2555" width="9" style="600" bestFit="1" customWidth="1"/>
    <col min="2556" max="2796" width="5" style="600"/>
    <col min="2797" max="2797" width="4.7265625" style="600" customWidth="1"/>
    <col min="2798" max="2798" width="2" style="600" customWidth="1"/>
    <col min="2799" max="2799" width="40.7265625" style="600" customWidth="1"/>
    <col min="2800" max="2800" width="3.54296875" style="600" customWidth="1"/>
    <col min="2801" max="2801" width="11.08984375" style="600" customWidth="1"/>
    <col min="2802" max="2802" width="2.7265625" style="600" customWidth="1"/>
    <col min="2803" max="2803" width="11.26953125" style="600" customWidth="1"/>
    <col min="2804" max="2804" width="2.7265625" style="600" customWidth="1"/>
    <col min="2805" max="2805" width="11.26953125" style="600" customWidth="1"/>
    <col min="2806" max="2806" width="2.7265625" style="600" customWidth="1"/>
    <col min="2807" max="2807" width="19.08984375" style="600" bestFit="1" customWidth="1"/>
    <col min="2808" max="2808" width="1.81640625" style="600" customWidth="1"/>
    <col min="2809" max="2809" width="6.7265625" style="600" customWidth="1"/>
    <col min="2810" max="2810" width="14.7265625" style="600" customWidth="1"/>
    <col min="2811" max="2811" width="9" style="600" bestFit="1" customWidth="1"/>
    <col min="2812" max="3052" width="5" style="600"/>
    <col min="3053" max="3053" width="4.7265625" style="600" customWidth="1"/>
    <col min="3054" max="3054" width="2" style="600" customWidth="1"/>
    <col min="3055" max="3055" width="40.7265625" style="600" customWidth="1"/>
    <col min="3056" max="3056" width="3.54296875" style="600" customWidth="1"/>
    <col min="3057" max="3057" width="11.08984375" style="600" customWidth="1"/>
    <col min="3058" max="3058" width="2.7265625" style="600" customWidth="1"/>
    <col min="3059" max="3059" width="11.26953125" style="600" customWidth="1"/>
    <col min="3060" max="3060" width="2.7265625" style="600" customWidth="1"/>
    <col min="3061" max="3061" width="11.26953125" style="600" customWidth="1"/>
    <col min="3062" max="3062" width="2.7265625" style="600" customWidth="1"/>
    <col min="3063" max="3063" width="19.08984375" style="600" bestFit="1" customWidth="1"/>
    <col min="3064" max="3064" width="1.81640625" style="600" customWidth="1"/>
    <col min="3065" max="3065" width="6.7265625" style="600" customWidth="1"/>
    <col min="3066" max="3066" width="14.7265625" style="600" customWidth="1"/>
    <col min="3067" max="3067" width="9" style="600" bestFit="1" customWidth="1"/>
    <col min="3068" max="3308" width="5" style="600"/>
    <col min="3309" max="3309" width="4.7265625" style="600" customWidth="1"/>
    <col min="3310" max="3310" width="2" style="600" customWidth="1"/>
    <col min="3311" max="3311" width="40.7265625" style="600" customWidth="1"/>
    <col min="3312" max="3312" width="3.54296875" style="600" customWidth="1"/>
    <col min="3313" max="3313" width="11.08984375" style="600" customWidth="1"/>
    <col min="3314" max="3314" width="2.7265625" style="600" customWidth="1"/>
    <col min="3315" max="3315" width="11.26953125" style="600" customWidth="1"/>
    <col min="3316" max="3316" width="2.7265625" style="600" customWidth="1"/>
    <col min="3317" max="3317" width="11.26953125" style="600" customWidth="1"/>
    <col min="3318" max="3318" width="2.7265625" style="600" customWidth="1"/>
    <col min="3319" max="3319" width="19.08984375" style="600" bestFit="1" customWidth="1"/>
    <col min="3320" max="3320" width="1.81640625" style="600" customWidth="1"/>
    <col min="3321" max="3321" width="6.7265625" style="600" customWidth="1"/>
    <col min="3322" max="3322" width="14.7265625" style="600" customWidth="1"/>
    <col min="3323" max="3323" width="9" style="600" bestFit="1" customWidth="1"/>
    <col min="3324" max="3564" width="5" style="600"/>
    <col min="3565" max="3565" width="4.7265625" style="600" customWidth="1"/>
    <col min="3566" max="3566" width="2" style="600" customWidth="1"/>
    <col min="3567" max="3567" width="40.7265625" style="600" customWidth="1"/>
    <col min="3568" max="3568" width="3.54296875" style="600" customWidth="1"/>
    <col min="3569" max="3569" width="11.08984375" style="600" customWidth="1"/>
    <col min="3570" max="3570" width="2.7265625" style="600" customWidth="1"/>
    <col min="3571" max="3571" width="11.26953125" style="600" customWidth="1"/>
    <col min="3572" max="3572" width="2.7265625" style="600" customWidth="1"/>
    <col min="3573" max="3573" width="11.26953125" style="600" customWidth="1"/>
    <col min="3574" max="3574" width="2.7265625" style="600" customWidth="1"/>
    <col min="3575" max="3575" width="19.08984375" style="600" bestFit="1" customWidth="1"/>
    <col min="3576" max="3576" width="1.81640625" style="600" customWidth="1"/>
    <col min="3577" max="3577" width="6.7265625" style="600" customWidth="1"/>
    <col min="3578" max="3578" width="14.7265625" style="600" customWidth="1"/>
    <col min="3579" max="3579" width="9" style="600" bestFit="1" customWidth="1"/>
    <col min="3580" max="3820" width="5" style="600"/>
    <col min="3821" max="3821" width="4.7265625" style="600" customWidth="1"/>
    <col min="3822" max="3822" width="2" style="600" customWidth="1"/>
    <col min="3823" max="3823" width="40.7265625" style="600" customWidth="1"/>
    <col min="3824" max="3824" width="3.54296875" style="600" customWidth="1"/>
    <col min="3825" max="3825" width="11.08984375" style="600" customWidth="1"/>
    <col min="3826" max="3826" width="2.7265625" style="600" customWidth="1"/>
    <col min="3827" max="3827" width="11.26953125" style="600" customWidth="1"/>
    <col min="3828" max="3828" width="2.7265625" style="600" customWidth="1"/>
    <col min="3829" max="3829" width="11.26953125" style="600" customWidth="1"/>
    <col min="3830" max="3830" width="2.7265625" style="600" customWidth="1"/>
    <col min="3831" max="3831" width="19.08984375" style="600" bestFit="1" customWidth="1"/>
    <col min="3832" max="3832" width="1.81640625" style="600" customWidth="1"/>
    <col min="3833" max="3833" width="6.7265625" style="600" customWidth="1"/>
    <col min="3834" max="3834" width="14.7265625" style="600" customWidth="1"/>
    <col min="3835" max="3835" width="9" style="600" bestFit="1" customWidth="1"/>
    <col min="3836" max="4076" width="5" style="600"/>
    <col min="4077" max="4077" width="4.7265625" style="600" customWidth="1"/>
    <col min="4078" max="4078" width="2" style="600" customWidth="1"/>
    <col min="4079" max="4079" width="40.7265625" style="600" customWidth="1"/>
    <col min="4080" max="4080" width="3.54296875" style="600" customWidth="1"/>
    <col min="4081" max="4081" width="11.08984375" style="600" customWidth="1"/>
    <col min="4082" max="4082" width="2.7265625" style="600" customWidth="1"/>
    <col min="4083" max="4083" width="11.26953125" style="600" customWidth="1"/>
    <col min="4084" max="4084" width="2.7265625" style="600" customWidth="1"/>
    <col min="4085" max="4085" width="11.26953125" style="600" customWidth="1"/>
    <col min="4086" max="4086" width="2.7265625" style="600" customWidth="1"/>
    <col min="4087" max="4087" width="19.08984375" style="600" bestFit="1" customWidth="1"/>
    <col min="4088" max="4088" width="1.81640625" style="600" customWidth="1"/>
    <col min="4089" max="4089" width="6.7265625" style="600" customWidth="1"/>
    <col min="4090" max="4090" width="14.7265625" style="600" customWidth="1"/>
    <col min="4091" max="4091" width="9" style="600" bestFit="1" customWidth="1"/>
    <col min="4092" max="4332" width="5" style="600"/>
    <col min="4333" max="4333" width="4.7265625" style="600" customWidth="1"/>
    <col min="4334" max="4334" width="2" style="600" customWidth="1"/>
    <col min="4335" max="4335" width="40.7265625" style="600" customWidth="1"/>
    <col min="4336" max="4336" width="3.54296875" style="600" customWidth="1"/>
    <col min="4337" max="4337" width="11.08984375" style="600" customWidth="1"/>
    <col min="4338" max="4338" width="2.7265625" style="600" customWidth="1"/>
    <col min="4339" max="4339" width="11.26953125" style="600" customWidth="1"/>
    <col min="4340" max="4340" width="2.7265625" style="600" customWidth="1"/>
    <col min="4341" max="4341" width="11.26953125" style="600" customWidth="1"/>
    <col min="4342" max="4342" width="2.7265625" style="600" customWidth="1"/>
    <col min="4343" max="4343" width="19.08984375" style="600" bestFit="1" customWidth="1"/>
    <col min="4344" max="4344" width="1.81640625" style="600" customWidth="1"/>
    <col min="4345" max="4345" width="6.7265625" style="600" customWidth="1"/>
    <col min="4346" max="4346" width="14.7265625" style="600" customWidth="1"/>
    <col min="4347" max="4347" width="9" style="600" bestFit="1" customWidth="1"/>
    <col min="4348" max="4588" width="5" style="600"/>
    <col min="4589" max="4589" width="4.7265625" style="600" customWidth="1"/>
    <col min="4590" max="4590" width="2" style="600" customWidth="1"/>
    <col min="4591" max="4591" width="40.7265625" style="600" customWidth="1"/>
    <col min="4592" max="4592" width="3.54296875" style="600" customWidth="1"/>
    <col min="4593" max="4593" width="11.08984375" style="600" customWidth="1"/>
    <col min="4594" max="4594" width="2.7265625" style="600" customWidth="1"/>
    <col min="4595" max="4595" width="11.26953125" style="600" customWidth="1"/>
    <col min="4596" max="4596" width="2.7265625" style="600" customWidth="1"/>
    <col min="4597" max="4597" width="11.26953125" style="600" customWidth="1"/>
    <col min="4598" max="4598" width="2.7265625" style="600" customWidth="1"/>
    <col min="4599" max="4599" width="19.08984375" style="600" bestFit="1" customWidth="1"/>
    <col min="4600" max="4600" width="1.81640625" style="600" customWidth="1"/>
    <col min="4601" max="4601" width="6.7265625" style="600" customWidth="1"/>
    <col min="4602" max="4602" width="14.7265625" style="600" customWidth="1"/>
    <col min="4603" max="4603" width="9" style="600" bestFit="1" customWidth="1"/>
    <col min="4604" max="4844" width="5" style="600"/>
    <col min="4845" max="4845" width="4.7265625" style="600" customWidth="1"/>
    <col min="4846" max="4846" width="2" style="600" customWidth="1"/>
    <col min="4847" max="4847" width="40.7265625" style="600" customWidth="1"/>
    <col min="4848" max="4848" width="3.54296875" style="600" customWidth="1"/>
    <col min="4849" max="4849" width="11.08984375" style="600" customWidth="1"/>
    <col min="4850" max="4850" width="2.7265625" style="600" customWidth="1"/>
    <col min="4851" max="4851" width="11.26953125" style="600" customWidth="1"/>
    <col min="4852" max="4852" width="2.7265625" style="600" customWidth="1"/>
    <col min="4853" max="4853" width="11.26953125" style="600" customWidth="1"/>
    <col min="4854" max="4854" width="2.7265625" style="600" customWidth="1"/>
    <col min="4855" max="4855" width="19.08984375" style="600" bestFit="1" customWidth="1"/>
    <col min="4856" max="4856" width="1.81640625" style="600" customWidth="1"/>
    <col min="4857" max="4857" width="6.7265625" style="600" customWidth="1"/>
    <col min="4858" max="4858" width="14.7265625" style="600" customWidth="1"/>
    <col min="4859" max="4859" width="9" style="600" bestFit="1" customWidth="1"/>
    <col min="4860" max="5100" width="5" style="600"/>
    <col min="5101" max="5101" width="4.7265625" style="600" customWidth="1"/>
    <col min="5102" max="5102" width="2" style="600" customWidth="1"/>
    <col min="5103" max="5103" width="40.7265625" style="600" customWidth="1"/>
    <col min="5104" max="5104" width="3.54296875" style="600" customWidth="1"/>
    <col min="5105" max="5105" width="11.08984375" style="600" customWidth="1"/>
    <col min="5106" max="5106" width="2.7265625" style="600" customWidth="1"/>
    <col min="5107" max="5107" width="11.26953125" style="600" customWidth="1"/>
    <col min="5108" max="5108" width="2.7265625" style="600" customWidth="1"/>
    <col min="5109" max="5109" width="11.26953125" style="600" customWidth="1"/>
    <col min="5110" max="5110" width="2.7265625" style="600" customWidth="1"/>
    <col min="5111" max="5111" width="19.08984375" style="600" bestFit="1" customWidth="1"/>
    <col min="5112" max="5112" width="1.81640625" style="600" customWidth="1"/>
    <col min="5113" max="5113" width="6.7265625" style="600" customWidth="1"/>
    <col min="5114" max="5114" width="14.7265625" style="600" customWidth="1"/>
    <col min="5115" max="5115" width="9" style="600" bestFit="1" customWidth="1"/>
    <col min="5116" max="5356" width="5" style="600"/>
    <col min="5357" max="5357" width="4.7265625" style="600" customWidth="1"/>
    <col min="5358" max="5358" width="2" style="600" customWidth="1"/>
    <col min="5359" max="5359" width="40.7265625" style="600" customWidth="1"/>
    <col min="5360" max="5360" width="3.54296875" style="600" customWidth="1"/>
    <col min="5361" max="5361" width="11.08984375" style="600" customWidth="1"/>
    <col min="5362" max="5362" width="2.7265625" style="600" customWidth="1"/>
    <col min="5363" max="5363" width="11.26953125" style="600" customWidth="1"/>
    <col min="5364" max="5364" width="2.7265625" style="600" customWidth="1"/>
    <col min="5365" max="5365" width="11.26953125" style="600" customWidth="1"/>
    <col min="5366" max="5366" width="2.7265625" style="600" customWidth="1"/>
    <col min="5367" max="5367" width="19.08984375" style="600" bestFit="1" customWidth="1"/>
    <col min="5368" max="5368" width="1.81640625" style="600" customWidth="1"/>
    <col min="5369" max="5369" width="6.7265625" style="600" customWidth="1"/>
    <col min="5370" max="5370" width="14.7265625" style="600" customWidth="1"/>
    <col min="5371" max="5371" width="9" style="600" bestFit="1" customWidth="1"/>
    <col min="5372" max="5612" width="5" style="600"/>
    <col min="5613" max="5613" width="4.7265625" style="600" customWidth="1"/>
    <col min="5614" max="5614" width="2" style="600" customWidth="1"/>
    <col min="5615" max="5615" width="40.7265625" style="600" customWidth="1"/>
    <col min="5616" max="5616" width="3.54296875" style="600" customWidth="1"/>
    <col min="5617" max="5617" width="11.08984375" style="600" customWidth="1"/>
    <col min="5618" max="5618" width="2.7265625" style="600" customWidth="1"/>
    <col min="5619" max="5619" width="11.26953125" style="600" customWidth="1"/>
    <col min="5620" max="5620" width="2.7265625" style="600" customWidth="1"/>
    <col min="5621" max="5621" width="11.26953125" style="600" customWidth="1"/>
    <col min="5622" max="5622" width="2.7265625" style="600" customWidth="1"/>
    <col min="5623" max="5623" width="19.08984375" style="600" bestFit="1" customWidth="1"/>
    <col min="5624" max="5624" width="1.81640625" style="600" customWidth="1"/>
    <col min="5625" max="5625" width="6.7265625" style="600" customWidth="1"/>
    <col min="5626" max="5626" width="14.7265625" style="600" customWidth="1"/>
    <col min="5627" max="5627" width="9" style="600" bestFit="1" customWidth="1"/>
    <col min="5628" max="5868" width="5" style="600"/>
    <col min="5869" max="5869" width="4.7265625" style="600" customWidth="1"/>
    <col min="5870" max="5870" width="2" style="600" customWidth="1"/>
    <col min="5871" max="5871" width="40.7265625" style="600" customWidth="1"/>
    <col min="5872" max="5872" width="3.54296875" style="600" customWidth="1"/>
    <col min="5873" max="5873" width="11.08984375" style="600" customWidth="1"/>
    <col min="5874" max="5874" width="2.7265625" style="600" customWidth="1"/>
    <col min="5875" max="5875" width="11.26953125" style="600" customWidth="1"/>
    <col min="5876" max="5876" width="2.7265625" style="600" customWidth="1"/>
    <col min="5877" max="5877" width="11.26953125" style="600" customWidth="1"/>
    <col min="5878" max="5878" width="2.7265625" style="600" customWidth="1"/>
    <col min="5879" max="5879" width="19.08984375" style="600" bestFit="1" customWidth="1"/>
    <col min="5880" max="5880" width="1.81640625" style="600" customWidth="1"/>
    <col min="5881" max="5881" width="6.7265625" style="600" customWidth="1"/>
    <col min="5882" max="5882" width="14.7265625" style="600" customWidth="1"/>
    <col min="5883" max="5883" width="9" style="600" bestFit="1" customWidth="1"/>
    <col min="5884" max="6124" width="5" style="600"/>
    <col min="6125" max="6125" width="4.7265625" style="600" customWidth="1"/>
    <col min="6126" max="6126" width="2" style="600" customWidth="1"/>
    <col min="6127" max="6127" width="40.7265625" style="600" customWidth="1"/>
    <col min="6128" max="6128" width="3.54296875" style="600" customWidth="1"/>
    <col min="6129" max="6129" width="11.08984375" style="600" customWidth="1"/>
    <col min="6130" max="6130" width="2.7265625" style="600" customWidth="1"/>
    <col min="6131" max="6131" width="11.26953125" style="600" customWidth="1"/>
    <col min="6132" max="6132" width="2.7265625" style="600" customWidth="1"/>
    <col min="6133" max="6133" width="11.26953125" style="600" customWidth="1"/>
    <col min="6134" max="6134" width="2.7265625" style="600" customWidth="1"/>
    <col min="6135" max="6135" width="19.08984375" style="600" bestFit="1" customWidth="1"/>
    <col min="6136" max="6136" width="1.81640625" style="600" customWidth="1"/>
    <col min="6137" max="6137" width="6.7265625" style="600" customWidth="1"/>
    <col min="6138" max="6138" width="14.7265625" style="600" customWidth="1"/>
    <col min="6139" max="6139" width="9" style="600" bestFit="1" customWidth="1"/>
    <col min="6140" max="6380" width="5" style="600"/>
    <col min="6381" max="6381" width="4.7265625" style="600" customWidth="1"/>
    <col min="6382" max="6382" width="2" style="600" customWidth="1"/>
    <col min="6383" max="6383" width="40.7265625" style="600" customWidth="1"/>
    <col min="6384" max="6384" width="3.54296875" style="600" customWidth="1"/>
    <col min="6385" max="6385" width="11.08984375" style="600" customWidth="1"/>
    <col min="6386" max="6386" width="2.7265625" style="600" customWidth="1"/>
    <col min="6387" max="6387" width="11.26953125" style="600" customWidth="1"/>
    <col min="6388" max="6388" width="2.7265625" style="600" customWidth="1"/>
    <col min="6389" max="6389" width="11.26953125" style="600" customWidth="1"/>
    <col min="6390" max="6390" width="2.7265625" style="600" customWidth="1"/>
    <col min="6391" max="6391" width="19.08984375" style="600" bestFit="1" customWidth="1"/>
    <col min="6392" max="6392" width="1.81640625" style="600" customWidth="1"/>
    <col min="6393" max="6393" width="6.7265625" style="600" customWidth="1"/>
    <col min="6394" max="6394" width="14.7265625" style="600" customWidth="1"/>
    <col min="6395" max="6395" width="9" style="600" bestFit="1" customWidth="1"/>
    <col min="6396" max="6636" width="5" style="600"/>
    <col min="6637" max="6637" width="4.7265625" style="600" customWidth="1"/>
    <col min="6638" max="6638" width="2" style="600" customWidth="1"/>
    <col min="6639" max="6639" width="40.7265625" style="600" customWidth="1"/>
    <col min="6640" max="6640" width="3.54296875" style="600" customWidth="1"/>
    <col min="6641" max="6641" width="11.08984375" style="600" customWidth="1"/>
    <col min="6642" max="6642" width="2.7265625" style="600" customWidth="1"/>
    <col min="6643" max="6643" width="11.26953125" style="600" customWidth="1"/>
    <col min="6644" max="6644" width="2.7265625" style="600" customWidth="1"/>
    <col min="6645" max="6645" width="11.26953125" style="600" customWidth="1"/>
    <col min="6646" max="6646" width="2.7265625" style="600" customWidth="1"/>
    <col min="6647" max="6647" width="19.08984375" style="600" bestFit="1" customWidth="1"/>
    <col min="6648" max="6648" width="1.81640625" style="600" customWidth="1"/>
    <col min="6649" max="6649" width="6.7265625" style="600" customWidth="1"/>
    <col min="6650" max="6650" width="14.7265625" style="600" customWidth="1"/>
    <col min="6651" max="6651" width="9" style="600" bestFit="1" customWidth="1"/>
    <col min="6652" max="6892" width="5" style="600"/>
    <col min="6893" max="6893" width="4.7265625" style="600" customWidth="1"/>
    <col min="6894" max="6894" width="2" style="600" customWidth="1"/>
    <col min="6895" max="6895" width="40.7265625" style="600" customWidth="1"/>
    <col min="6896" max="6896" width="3.54296875" style="600" customWidth="1"/>
    <col min="6897" max="6897" width="11.08984375" style="600" customWidth="1"/>
    <col min="6898" max="6898" width="2.7265625" style="600" customWidth="1"/>
    <col min="6899" max="6899" width="11.26953125" style="600" customWidth="1"/>
    <col min="6900" max="6900" width="2.7265625" style="600" customWidth="1"/>
    <col min="6901" max="6901" width="11.26953125" style="600" customWidth="1"/>
    <col min="6902" max="6902" width="2.7265625" style="600" customWidth="1"/>
    <col min="6903" max="6903" width="19.08984375" style="600" bestFit="1" customWidth="1"/>
    <col min="6904" max="6904" width="1.81640625" style="600" customWidth="1"/>
    <col min="6905" max="6905" width="6.7265625" style="600" customWidth="1"/>
    <col min="6906" max="6906" width="14.7265625" style="600" customWidth="1"/>
    <col min="6907" max="6907" width="9" style="600" bestFit="1" customWidth="1"/>
    <col min="6908" max="7148" width="5" style="600"/>
    <col min="7149" max="7149" width="4.7265625" style="600" customWidth="1"/>
    <col min="7150" max="7150" width="2" style="600" customWidth="1"/>
    <col min="7151" max="7151" width="40.7265625" style="600" customWidth="1"/>
    <col min="7152" max="7152" width="3.54296875" style="600" customWidth="1"/>
    <col min="7153" max="7153" width="11.08984375" style="600" customWidth="1"/>
    <col min="7154" max="7154" width="2.7265625" style="600" customWidth="1"/>
    <col min="7155" max="7155" width="11.26953125" style="600" customWidth="1"/>
    <col min="7156" max="7156" width="2.7265625" style="600" customWidth="1"/>
    <col min="7157" max="7157" width="11.26953125" style="600" customWidth="1"/>
    <col min="7158" max="7158" width="2.7265625" style="600" customWidth="1"/>
    <col min="7159" max="7159" width="19.08984375" style="600" bestFit="1" customWidth="1"/>
    <col min="7160" max="7160" width="1.81640625" style="600" customWidth="1"/>
    <col min="7161" max="7161" width="6.7265625" style="600" customWidth="1"/>
    <col min="7162" max="7162" width="14.7265625" style="600" customWidth="1"/>
    <col min="7163" max="7163" width="9" style="600" bestFit="1" customWidth="1"/>
    <col min="7164" max="7404" width="5" style="600"/>
    <col min="7405" max="7405" width="4.7265625" style="600" customWidth="1"/>
    <col min="7406" max="7406" width="2" style="600" customWidth="1"/>
    <col min="7407" max="7407" width="40.7265625" style="600" customWidth="1"/>
    <col min="7408" max="7408" width="3.54296875" style="600" customWidth="1"/>
    <col min="7409" max="7409" width="11.08984375" style="600" customWidth="1"/>
    <col min="7410" max="7410" width="2.7265625" style="600" customWidth="1"/>
    <col min="7411" max="7411" width="11.26953125" style="600" customWidth="1"/>
    <col min="7412" max="7412" width="2.7265625" style="600" customWidth="1"/>
    <col min="7413" max="7413" width="11.26953125" style="600" customWidth="1"/>
    <col min="7414" max="7414" width="2.7265625" style="600" customWidth="1"/>
    <col min="7415" max="7415" width="19.08984375" style="600" bestFit="1" customWidth="1"/>
    <col min="7416" max="7416" width="1.81640625" style="600" customWidth="1"/>
    <col min="7417" max="7417" width="6.7265625" style="600" customWidth="1"/>
    <col min="7418" max="7418" width="14.7265625" style="600" customWidth="1"/>
    <col min="7419" max="7419" width="9" style="600" bestFit="1" customWidth="1"/>
    <col min="7420" max="7660" width="5" style="600"/>
    <col min="7661" max="7661" width="4.7265625" style="600" customWidth="1"/>
    <col min="7662" max="7662" width="2" style="600" customWidth="1"/>
    <col min="7663" max="7663" width="40.7265625" style="600" customWidth="1"/>
    <col min="7664" max="7664" width="3.54296875" style="600" customWidth="1"/>
    <col min="7665" max="7665" width="11.08984375" style="600" customWidth="1"/>
    <col min="7666" max="7666" width="2.7265625" style="600" customWidth="1"/>
    <col min="7667" max="7667" width="11.26953125" style="600" customWidth="1"/>
    <col min="7668" max="7668" width="2.7265625" style="600" customWidth="1"/>
    <col min="7669" max="7669" width="11.26953125" style="600" customWidth="1"/>
    <col min="7670" max="7670" width="2.7265625" style="600" customWidth="1"/>
    <col min="7671" max="7671" width="19.08984375" style="600" bestFit="1" customWidth="1"/>
    <col min="7672" max="7672" width="1.81640625" style="600" customWidth="1"/>
    <col min="7673" max="7673" width="6.7265625" style="600" customWidth="1"/>
    <col min="7674" max="7674" width="14.7265625" style="600" customWidth="1"/>
    <col min="7675" max="7675" width="9" style="600" bestFit="1" customWidth="1"/>
    <col min="7676" max="7916" width="5" style="600"/>
    <col min="7917" max="7917" width="4.7265625" style="600" customWidth="1"/>
    <col min="7918" max="7918" width="2" style="600" customWidth="1"/>
    <col min="7919" max="7919" width="40.7265625" style="600" customWidth="1"/>
    <col min="7920" max="7920" width="3.54296875" style="600" customWidth="1"/>
    <col min="7921" max="7921" width="11.08984375" style="600" customWidth="1"/>
    <col min="7922" max="7922" width="2.7265625" style="600" customWidth="1"/>
    <col min="7923" max="7923" width="11.26953125" style="600" customWidth="1"/>
    <col min="7924" max="7924" width="2.7265625" style="600" customWidth="1"/>
    <col min="7925" max="7925" width="11.26953125" style="600" customWidth="1"/>
    <col min="7926" max="7926" width="2.7265625" style="600" customWidth="1"/>
    <col min="7927" max="7927" width="19.08984375" style="600" bestFit="1" customWidth="1"/>
    <col min="7928" max="7928" width="1.81640625" style="600" customWidth="1"/>
    <col min="7929" max="7929" width="6.7265625" style="600" customWidth="1"/>
    <col min="7930" max="7930" width="14.7265625" style="600" customWidth="1"/>
    <col min="7931" max="7931" width="9" style="600" bestFit="1" customWidth="1"/>
    <col min="7932" max="8172" width="5" style="600"/>
    <col min="8173" max="8173" width="4.7265625" style="600" customWidth="1"/>
    <col min="8174" max="8174" width="2" style="600" customWidth="1"/>
    <col min="8175" max="8175" width="40.7265625" style="600" customWidth="1"/>
    <col min="8176" max="8176" width="3.54296875" style="600" customWidth="1"/>
    <col min="8177" max="8177" width="11.08984375" style="600" customWidth="1"/>
    <col min="8178" max="8178" width="2.7265625" style="600" customWidth="1"/>
    <col min="8179" max="8179" width="11.26953125" style="600" customWidth="1"/>
    <col min="8180" max="8180" width="2.7265625" style="600" customWidth="1"/>
    <col min="8181" max="8181" width="11.26953125" style="600" customWidth="1"/>
    <col min="8182" max="8182" width="2.7265625" style="600" customWidth="1"/>
    <col min="8183" max="8183" width="19.08984375" style="600" bestFit="1" customWidth="1"/>
    <col min="8184" max="8184" width="1.81640625" style="600" customWidth="1"/>
    <col min="8185" max="8185" width="6.7265625" style="600" customWidth="1"/>
    <col min="8186" max="8186" width="14.7265625" style="600" customWidth="1"/>
    <col min="8187" max="8187" width="9" style="600" bestFit="1" customWidth="1"/>
    <col min="8188" max="8428" width="5" style="600"/>
    <col min="8429" max="8429" width="4.7265625" style="600" customWidth="1"/>
    <col min="8430" max="8430" width="2" style="600" customWidth="1"/>
    <col min="8431" max="8431" width="40.7265625" style="600" customWidth="1"/>
    <col min="8432" max="8432" width="3.54296875" style="600" customWidth="1"/>
    <col min="8433" max="8433" width="11.08984375" style="600" customWidth="1"/>
    <col min="8434" max="8434" width="2.7265625" style="600" customWidth="1"/>
    <col min="8435" max="8435" width="11.26953125" style="600" customWidth="1"/>
    <col min="8436" max="8436" width="2.7265625" style="600" customWidth="1"/>
    <col min="8437" max="8437" width="11.26953125" style="600" customWidth="1"/>
    <col min="8438" max="8438" width="2.7265625" style="600" customWidth="1"/>
    <col min="8439" max="8439" width="19.08984375" style="600" bestFit="1" customWidth="1"/>
    <col min="8440" max="8440" width="1.81640625" style="600" customWidth="1"/>
    <col min="8441" max="8441" width="6.7265625" style="600" customWidth="1"/>
    <col min="8442" max="8442" width="14.7265625" style="600" customWidth="1"/>
    <col min="8443" max="8443" width="9" style="600" bestFit="1" customWidth="1"/>
    <col min="8444" max="8684" width="5" style="600"/>
    <col min="8685" max="8685" width="4.7265625" style="600" customWidth="1"/>
    <col min="8686" max="8686" width="2" style="600" customWidth="1"/>
    <col min="8687" max="8687" width="40.7265625" style="600" customWidth="1"/>
    <col min="8688" max="8688" width="3.54296875" style="600" customWidth="1"/>
    <col min="8689" max="8689" width="11.08984375" style="600" customWidth="1"/>
    <col min="8690" max="8690" width="2.7265625" style="600" customWidth="1"/>
    <col min="8691" max="8691" width="11.26953125" style="600" customWidth="1"/>
    <col min="8692" max="8692" width="2.7265625" style="600" customWidth="1"/>
    <col min="8693" max="8693" width="11.26953125" style="600" customWidth="1"/>
    <col min="8694" max="8694" width="2.7265625" style="600" customWidth="1"/>
    <col min="8695" max="8695" width="19.08984375" style="600" bestFit="1" customWidth="1"/>
    <col min="8696" max="8696" width="1.81640625" style="600" customWidth="1"/>
    <col min="8697" max="8697" width="6.7265625" style="600" customWidth="1"/>
    <col min="8698" max="8698" width="14.7265625" style="600" customWidth="1"/>
    <col min="8699" max="8699" width="9" style="600" bestFit="1" customWidth="1"/>
    <col min="8700" max="8940" width="5" style="600"/>
    <col min="8941" max="8941" width="4.7265625" style="600" customWidth="1"/>
    <col min="8942" max="8942" width="2" style="600" customWidth="1"/>
    <col min="8943" max="8943" width="40.7265625" style="600" customWidth="1"/>
    <col min="8944" max="8944" width="3.54296875" style="600" customWidth="1"/>
    <col min="8945" max="8945" width="11.08984375" style="600" customWidth="1"/>
    <col min="8946" max="8946" width="2.7265625" style="600" customWidth="1"/>
    <col min="8947" max="8947" width="11.26953125" style="600" customWidth="1"/>
    <col min="8948" max="8948" width="2.7265625" style="600" customWidth="1"/>
    <col min="8949" max="8949" width="11.26953125" style="600" customWidth="1"/>
    <col min="8950" max="8950" width="2.7265625" style="600" customWidth="1"/>
    <col min="8951" max="8951" width="19.08984375" style="600" bestFit="1" customWidth="1"/>
    <col min="8952" max="8952" width="1.81640625" style="600" customWidth="1"/>
    <col min="8953" max="8953" width="6.7265625" style="600" customWidth="1"/>
    <col min="8954" max="8954" width="14.7265625" style="600" customWidth="1"/>
    <col min="8955" max="8955" width="9" style="600" bestFit="1" customWidth="1"/>
    <col min="8956" max="9196" width="5" style="600"/>
    <col min="9197" max="9197" width="4.7265625" style="600" customWidth="1"/>
    <col min="9198" max="9198" width="2" style="600" customWidth="1"/>
    <col min="9199" max="9199" width="40.7265625" style="600" customWidth="1"/>
    <col min="9200" max="9200" width="3.54296875" style="600" customWidth="1"/>
    <col min="9201" max="9201" width="11.08984375" style="600" customWidth="1"/>
    <col min="9202" max="9202" width="2.7265625" style="600" customWidth="1"/>
    <col min="9203" max="9203" width="11.26953125" style="600" customWidth="1"/>
    <col min="9204" max="9204" width="2.7265625" style="600" customWidth="1"/>
    <col min="9205" max="9205" width="11.26953125" style="600" customWidth="1"/>
    <col min="9206" max="9206" width="2.7265625" style="600" customWidth="1"/>
    <col min="9207" max="9207" width="19.08984375" style="600" bestFit="1" customWidth="1"/>
    <col min="9208" max="9208" width="1.81640625" style="600" customWidth="1"/>
    <col min="9209" max="9209" width="6.7265625" style="600" customWidth="1"/>
    <col min="9210" max="9210" width="14.7265625" style="600" customWidth="1"/>
    <col min="9211" max="9211" width="9" style="600" bestFit="1" customWidth="1"/>
    <col min="9212" max="9452" width="5" style="600"/>
    <col min="9453" max="9453" width="4.7265625" style="600" customWidth="1"/>
    <col min="9454" max="9454" width="2" style="600" customWidth="1"/>
    <col min="9455" max="9455" width="40.7265625" style="600" customWidth="1"/>
    <col min="9456" max="9456" width="3.54296875" style="600" customWidth="1"/>
    <col min="9457" max="9457" width="11.08984375" style="600" customWidth="1"/>
    <col min="9458" max="9458" width="2.7265625" style="600" customWidth="1"/>
    <col min="9459" max="9459" width="11.26953125" style="600" customWidth="1"/>
    <col min="9460" max="9460" width="2.7265625" style="600" customWidth="1"/>
    <col min="9461" max="9461" width="11.26953125" style="600" customWidth="1"/>
    <col min="9462" max="9462" width="2.7265625" style="600" customWidth="1"/>
    <col min="9463" max="9463" width="19.08984375" style="600" bestFit="1" customWidth="1"/>
    <col min="9464" max="9464" width="1.81640625" style="600" customWidth="1"/>
    <col min="9465" max="9465" width="6.7265625" style="600" customWidth="1"/>
    <col min="9466" max="9466" width="14.7265625" style="600" customWidth="1"/>
    <col min="9467" max="9467" width="9" style="600" bestFit="1" customWidth="1"/>
    <col min="9468" max="9708" width="5" style="600"/>
    <col min="9709" max="9709" width="4.7265625" style="600" customWidth="1"/>
    <col min="9710" max="9710" width="2" style="600" customWidth="1"/>
    <col min="9711" max="9711" width="40.7265625" style="600" customWidth="1"/>
    <col min="9712" max="9712" width="3.54296875" style="600" customWidth="1"/>
    <col min="9713" max="9713" width="11.08984375" style="600" customWidth="1"/>
    <col min="9714" max="9714" width="2.7265625" style="600" customWidth="1"/>
    <col min="9715" max="9715" width="11.26953125" style="600" customWidth="1"/>
    <col min="9716" max="9716" width="2.7265625" style="600" customWidth="1"/>
    <col min="9717" max="9717" width="11.26953125" style="600" customWidth="1"/>
    <col min="9718" max="9718" width="2.7265625" style="600" customWidth="1"/>
    <col min="9719" max="9719" width="19.08984375" style="600" bestFit="1" customWidth="1"/>
    <col min="9720" max="9720" width="1.81640625" style="600" customWidth="1"/>
    <col min="9721" max="9721" width="6.7265625" style="600" customWidth="1"/>
    <col min="9722" max="9722" width="14.7265625" style="600" customWidth="1"/>
    <col min="9723" max="9723" width="9" style="600" bestFit="1" customWidth="1"/>
    <col min="9724" max="9964" width="5" style="600"/>
    <col min="9965" max="9965" width="4.7265625" style="600" customWidth="1"/>
    <col min="9966" max="9966" width="2" style="600" customWidth="1"/>
    <col min="9967" max="9967" width="40.7265625" style="600" customWidth="1"/>
    <col min="9968" max="9968" width="3.54296875" style="600" customWidth="1"/>
    <col min="9969" max="9969" width="11.08984375" style="600" customWidth="1"/>
    <col min="9970" max="9970" width="2.7265625" style="600" customWidth="1"/>
    <col min="9971" max="9971" width="11.26953125" style="600" customWidth="1"/>
    <col min="9972" max="9972" width="2.7265625" style="600" customWidth="1"/>
    <col min="9973" max="9973" width="11.26953125" style="600" customWidth="1"/>
    <col min="9974" max="9974" width="2.7265625" style="600" customWidth="1"/>
    <col min="9975" max="9975" width="19.08984375" style="600" bestFit="1" customWidth="1"/>
    <col min="9976" max="9976" width="1.81640625" style="600" customWidth="1"/>
    <col min="9977" max="9977" width="6.7265625" style="600" customWidth="1"/>
    <col min="9978" max="9978" width="14.7265625" style="600" customWidth="1"/>
    <col min="9979" max="9979" width="9" style="600" bestFit="1" customWidth="1"/>
    <col min="9980" max="10220" width="5" style="600"/>
    <col min="10221" max="10221" width="4.7265625" style="600" customWidth="1"/>
    <col min="10222" max="10222" width="2" style="600" customWidth="1"/>
    <col min="10223" max="10223" width="40.7265625" style="600" customWidth="1"/>
    <col min="10224" max="10224" width="3.54296875" style="600" customWidth="1"/>
    <col min="10225" max="10225" width="11.08984375" style="600" customWidth="1"/>
    <col min="10226" max="10226" width="2.7265625" style="600" customWidth="1"/>
    <col min="10227" max="10227" width="11.26953125" style="600" customWidth="1"/>
    <col min="10228" max="10228" width="2.7265625" style="600" customWidth="1"/>
    <col min="10229" max="10229" width="11.26953125" style="600" customWidth="1"/>
    <col min="10230" max="10230" width="2.7265625" style="600" customWidth="1"/>
    <col min="10231" max="10231" width="19.08984375" style="600" bestFit="1" customWidth="1"/>
    <col min="10232" max="10232" width="1.81640625" style="600" customWidth="1"/>
    <col min="10233" max="10233" width="6.7265625" style="600" customWidth="1"/>
    <col min="10234" max="10234" width="14.7265625" style="600" customWidth="1"/>
    <col min="10235" max="10235" width="9" style="600" bestFit="1" customWidth="1"/>
    <col min="10236" max="10476" width="5" style="600"/>
    <col min="10477" max="10477" width="4.7265625" style="600" customWidth="1"/>
    <col min="10478" max="10478" width="2" style="600" customWidth="1"/>
    <col min="10479" max="10479" width="40.7265625" style="600" customWidth="1"/>
    <col min="10480" max="10480" width="3.54296875" style="600" customWidth="1"/>
    <col min="10481" max="10481" width="11.08984375" style="600" customWidth="1"/>
    <col min="10482" max="10482" width="2.7265625" style="600" customWidth="1"/>
    <col min="10483" max="10483" width="11.26953125" style="600" customWidth="1"/>
    <col min="10484" max="10484" width="2.7265625" style="600" customWidth="1"/>
    <col min="10485" max="10485" width="11.26953125" style="600" customWidth="1"/>
    <col min="10486" max="10486" width="2.7265625" style="600" customWidth="1"/>
    <col min="10487" max="10487" width="19.08984375" style="600" bestFit="1" customWidth="1"/>
    <col min="10488" max="10488" width="1.81640625" style="600" customWidth="1"/>
    <col min="10489" max="10489" width="6.7265625" style="600" customWidth="1"/>
    <col min="10490" max="10490" width="14.7265625" style="600" customWidth="1"/>
    <col min="10491" max="10491" width="9" style="600" bestFit="1" customWidth="1"/>
    <col min="10492" max="10732" width="5" style="600"/>
    <col min="10733" max="10733" width="4.7265625" style="600" customWidth="1"/>
    <col min="10734" max="10734" width="2" style="600" customWidth="1"/>
    <col min="10735" max="10735" width="40.7265625" style="600" customWidth="1"/>
    <col min="10736" max="10736" width="3.54296875" style="600" customWidth="1"/>
    <col min="10737" max="10737" width="11.08984375" style="600" customWidth="1"/>
    <col min="10738" max="10738" width="2.7265625" style="600" customWidth="1"/>
    <col min="10739" max="10739" width="11.26953125" style="600" customWidth="1"/>
    <col min="10740" max="10740" width="2.7265625" style="600" customWidth="1"/>
    <col min="10741" max="10741" width="11.26953125" style="600" customWidth="1"/>
    <col min="10742" max="10742" width="2.7265625" style="600" customWidth="1"/>
    <col min="10743" max="10743" width="19.08984375" style="600" bestFit="1" customWidth="1"/>
    <col min="10744" max="10744" width="1.81640625" style="600" customWidth="1"/>
    <col min="10745" max="10745" width="6.7265625" style="600" customWidth="1"/>
    <col min="10746" max="10746" width="14.7265625" style="600" customWidth="1"/>
    <col min="10747" max="10747" width="9" style="600" bestFit="1" customWidth="1"/>
    <col min="10748" max="10988" width="5" style="600"/>
    <col min="10989" max="10989" width="4.7265625" style="600" customWidth="1"/>
    <col min="10990" max="10990" width="2" style="600" customWidth="1"/>
    <col min="10991" max="10991" width="40.7265625" style="600" customWidth="1"/>
    <col min="10992" max="10992" width="3.54296875" style="600" customWidth="1"/>
    <col min="10993" max="10993" width="11.08984375" style="600" customWidth="1"/>
    <col min="10994" max="10994" width="2.7265625" style="600" customWidth="1"/>
    <col min="10995" max="10995" width="11.26953125" style="600" customWidth="1"/>
    <col min="10996" max="10996" width="2.7265625" style="600" customWidth="1"/>
    <col min="10997" max="10997" width="11.26953125" style="600" customWidth="1"/>
    <col min="10998" max="10998" width="2.7265625" style="600" customWidth="1"/>
    <col min="10999" max="10999" width="19.08984375" style="600" bestFit="1" customWidth="1"/>
    <col min="11000" max="11000" width="1.81640625" style="600" customWidth="1"/>
    <col min="11001" max="11001" width="6.7265625" style="600" customWidth="1"/>
    <col min="11002" max="11002" width="14.7265625" style="600" customWidth="1"/>
    <col min="11003" max="11003" width="9" style="600" bestFit="1" customWidth="1"/>
    <col min="11004" max="11244" width="5" style="600"/>
    <col min="11245" max="11245" width="4.7265625" style="600" customWidth="1"/>
    <col min="11246" max="11246" width="2" style="600" customWidth="1"/>
    <col min="11247" max="11247" width="40.7265625" style="600" customWidth="1"/>
    <col min="11248" max="11248" width="3.54296875" style="600" customWidth="1"/>
    <col min="11249" max="11249" width="11.08984375" style="600" customWidth="1"/>
    <col min="11250" max="11250" width="2.7265625" style="600" customWidth="1"/>
    <col min="11251" max="11251" width="11.26953125" style="600" customWidth="1"/>
    <col min="11252" max="11252" width="2.7265625" style="600" customWidth="1"/>
    <col min="11253" max="11253" width="11.26953125" style="600" customWidth="1"/>
    <col min="11254" max="11254" width="2.7265625" style="600" customWidth="1"/>
    <col min="11255" max="11255" width="19.08984375" style="600" bestFit="1" customWidth="1"/>
    <col min="11256" max="11256" width="1.81640625" style="600" customWidth="1"/>
    <col min="11257" max="11257" width="6.7265625" style="600" customWidth="1"/>
    <col min="11258" max="11258" width="14.7265625" style="600" customWidth="1"/>
    <col min="11259" max="11259" width="9" style="600" bestFit="1" customWidth="1"/>
    <col min="11260" max="11500" width="5" style="600"/>
    <col min="11501" max="11501" width="4.7265625" style="600" customWidth="1"/>
    <col min="11502" max="11502" width="2" style="600" customWidth="1"/>
    <col min="11503" max="11503" width="40.7265625" style="600" customWidth="1"/>
    <col min="11504" max="11504" width="3.54296875" style="600" customWidth="1"/>
    <col min="11505" max="11505" width="11.08984375" style="600" customWidth="1"/>
    <col min="11506" max="11506" width="2.7265625" style="600" customWidth="1"/>
    <col min="11507" max="11507" width="11.26953125" style="600" customWidth="1"/>
    <col min="11508" max="11508" width="2.7265625" style="600" customWidth="1"/>
    <col min="11509" max="11509" width="11.26953125" style="600" customWidth="1"/>
    <col min="11510" max="11510" width="2.7265625" style="600" customWidth="1"/>
    <col min="11511" max="11511" width="19.08984375" style="600" bestFit="1" customWidth="1"/>
    <col min="11512" max="11512" width="1.81640625" style="600" customWidth="1"/>
    <col min="11513" max="11513" width="6.7265625" style="600" customWidth="1"/>
    <col min="11514" max="11514" width="14.7265625" style="600" customWidth="1"/>
    <col min="11515" max="11515" width="9" style="600" bestFit="1" customWidth="1"/>
    <col min="11516" max="11756" width="5" style="600"/>
    <col min="11757" max="11757" width="4.7265625" style="600" customWidth="1"/>
    <col min="11758" max="11758" width="2" style="600" customWidth="1"/>
    <col min="11759" max="11759" width="40.7265625" style="600" customWidth="1"/>
    <col min="11760" max="11760" width="3.54296875" style="600" customWidth="1"/>
    <col min="11761" max="11761" width="11.08984375" style="600" customWidth="1"/>
    <col min="11762" max="11762" width="2.7265625" style="600" customWidth="1"/>
    <col min="11763" max="11763" width="11.26953125" style="600" customWidth="1"/>
    <col min="11764" max="11764" width="2.7265625" style="600" customWidth="1"/>
    <col min="11765" max="11765" width="11.26953125" style="600" customWidth="1"/>
    <col min="11766" max="11766" width="2.7265625" style="600" customWidth="1"/>
    <col min="11767" max="11767" width="19.08984375" style="600" bestFit="1" customWidth="1"/>
    <col min="11768" max="11768" width="1.81640625" style="600" customWidth="1"/>
    <col min="11769" max="11769" width="6.7265625" style="600" customWidth="1"/>
    <col min="11770" max="11770" width="14.7265625" style="600" customWidth="1"/>
    <col min="11771" max="11771" width="9" style="600" bestFit="1" customWidth="1"/>
    <col min="11772" max="12012" width="5" style="600"/>
    <col min="12013" max="12013" width="4.7265625" style="600" customWidth="1"/>
    <col min="12014" max="12014" width="2" style="600" customWidth="1"/>
    <col min="12015" max="12015" width="40.7265625" style="600" customWidth="1"/>
    <col min="12016" max="12016" width="3.54296875" style="600" customWidth="1"/>
    <col min="12017" max="12017" width="11.08984375" style="600" customWidth="1"/>
    <col min="12018" max="12018" width="2.7265625" style="600" customWidth="1"/>
    <col min="12019" max="12019" width="11.26953125" style="600" customWidth="1"/>
    <col min="12020" max="12020" width="2.7265625" style="600" customWidth="1"/>
    <col min="12021" max="12021" width="11.26953125" style="600" customWidth="1"/>
    <col min="12022" max="12022" width="2.7265625" style="600" customWidth="1"/>
    <col min="12023" max="12023" width="19.08984375" style="600" bestFit="1" customWidth="1"/>
    <col min="12024" max="12024" width="1.81640625" style="600" customWidth="1"/>
    <col min="12025" max="12025" width="6.7265625" style="600" customWidth="1"/>
    <col min="12026" max="12026" width="14.7265625" style="600" customWidth="1"/>
    <col min="12027" max="12027" width="9" style="600" bestFit="1" customWidth="1"/>
    <col min="12028" max="12268" width="5" style="600"/>
    <col min="12269" max="12269" width="4.7265625" style="600" customWidth="1"/>
    <col min="12270" max="12270" width="2" style="600" customWidth="1"/>
    <col min="12271" max="12271" width="40.7265625" style="600" customWidth="1"/>
    <col min="12272" max="12272" width="3.54296875" style="600" customWidth="1"/>
    <col min="12273" max="12273" width="11.08984375" style="600" customWidth="1"/>
    <col min="12274" max="12274" width="2.7265625" style="600" customWidth="1"/>
    <col min="12275" max="12275" width="11.26953125" style="600" customWidth="1"/>
    <col min="12276" max="12276" width="2.7265625" style="600" customWidth="1"/>
    <col min="12277" max="12277" width="11.26953125" style="600" customWidth="1"/>
    <col min="12278" max="12278" width="2.7265625" style="600" customWidth="1"/>
    <col min="12279" max="12279" width="19.08984375" style="600" bestFit="1" customWidth="1"/>
    <col min="12280" max="12280" width="1.81640625" style="600" customWidth="1"/>
    <col min="12281" max="12281" width="6.7265625" style="600" customWidth="1"/>
    <col min="12282" max="12282" width="14.7265625" style="600" customWidth="1"/>
    <col min="12283" max="12283" width="9" style="600" bestFit="1" customWidth="1"/>
    <col min="12284" max="12524" width="5" style="600"/>
    <col min="12525" max="12525" width="4.7265625" style="600" customWidth="1"/>
    <col min="12526" max="12526" width="2" style="600" customWidth="1"/>
    <col min="12527" max="12527" width="40.7265625" style="600" customWidth="1"/>
    <col min="12528" max="12528" width="3.54296875" style="600" customWidth="1"/>
    <col min="12529" max="12529" width="11.08984375" style="600" customWidth="1"/>
    <col min="12530" max="12530" width="2.7265625" style="600" customWidth="1"/>
    <col min="12531" max="12531" width="11.26953125" style="600" customWidth="1"/>
    <col min="12532" max="12532" width="2.7265625" style="600" customWidth="1"/>
    <col min="12533" max="12533" width="11.26953125" style="600" customWidth="1"/>
    <col min="12534" max="12534" width="2.7265625" style="600" customWidth="1"/>
    <col min="12535" max="12535" width="19.08984375" style="600" bestFit="1" customWidth="1"/>
    <col min="12536" max="12536" width="1.81640625" style="600" customWidth="1"/>
    <col min="12537" max="12537" width="6.7265625" style="600" customWidth="1"/>
    <col min="12538" max="12538" width="14.7265625" style="600" customWidth="1"/>
    <col min="12539" max="12539" width="9" style="600" bestFit="1" customWidth="1"/>
    <col min="12540" max="12780" width="5" style="600"/>
    <col min="12781" max="12781" width="4.7265625" style="600" customWidth="1"/>
    <col min="12782" max="12782" width="2" style="600" customWidth="1"/>
    <col min="12783" max="12783" width="40.7265625" style="600" customWidth="1"/>
    <col min="12784" max="12784" width="3.54296875" style="600" customWidth="1"/>
    <col min="12785" max="12785" width="11.08984375" style="600" customWidth="1"/>
    <col min="12786" max="12786" width="2.7265625" style="600" customWidth="1"/>
    <col min="12787" max="12787" width="11.26953125" style="600" customWidth="1"/>
    <col min="12788" max="12788" width="2.7265625" style="600" customWidth="1"/>
    <col min="12789" max="12789" width="11.26953125" style="600" customWidth="1"/>
    <col min="12790" max="12790" width="2.7265625" style="600" customWidth="1"/>
    <col min="12791" max="12791" width="19.08984375" style="600" bestFit="1" customWidth="1"/>
    <col min="12792" max="12792" width="1.81640625" style="600" customWidth="1"/>
    <col min="12793" max="12793" width="6.7265625" style="600" customWidth="1"/>
    <col min="12794" max="12794" width="14.7265625" style="600" customWidth="1"/>
    <col min="12795" max="12795" width="9" style="600" bestFit="1" customWidth="1"/>
    <col min="12796" max="13036" width="5" style="600"/>
    <col min="13037" max="13037" width="4.7265625" style="600" customWidth="1"/>
    <col min="13038" max="13038" width="2" style="600" customWidth="1"/>
    <col min="13039" max="13039" width="40.7265625" style="600" customWidth="1"/>
    <col min="13040" max="13040" width="3.54296875" style="600" customWidth="1"/>
    <col min="13041" max="13041" width="11.08984375" style="600" customWidth="1"/>
    <col min="13042" max="13042" width="2.7265625" style="600" customWidth="1"/>
    <col min="13043" max="13043" width="11.26953125" style="600" customWidth="1"/>
    <col min="13044" max="13044" width="2.7265625" style="600" customWidth="1"/>
    <col min="13045" max="13045" width="11.26953125" style="600" customWidth="1"/>
    <col min="13046" max="13046" width="2.7265625" style="600" customWidth="1"/>
    <col min="13047" max="13047" width="19.08984375" style="600" bestFit="1" customWidth="1"/>
    <col min="13048" max="13048" width="1.81640625" style="600" customWidth="1"/>
    <col min="13049" max="13049" width="6.7265625" style="600" customWidth="1"/>
    <col min="13050" max="13050" width="14.7265625" style="600" customWidth="1"/>
    <col min="13051" max="13051" width="9" style="600" bestFit="1" customWidth="1"/>
    <col min="13052" max="13292" width="5" style="600"/>
    <col min="13293" max="13293" width="4.7265625" style="600" customWidth="1"/>
    <col min="13294" max="13294" width="2" style="600" customWidth="1"/>
    <col min="13295" max="13295" width="40.7265625" style="600" customWidth="1"/>
    <col min="13296" max="13296" width="3.54296875" style="600" customWidth="1"/>
    <col min="13297" max="13297" width="11.08984375" style="600" customWidth="1"/>
    <col min="13298" max="13298" width="2.7265625" style="600" customWidth="1"/>
    <col min="13299" max="13299" width="11.26953125" style="600" customWidth="1"/>
    <col min="13300" max="13300" width="2.7265625" style="600" customWidth="1"/>
    <col min="13301" max="13301" width="11.26953125" style="600" customWidth="1"/>
    <col min="13302" max="13302" width="2.7265625" style="600" customWidth="1"/>
    <col min="13303" max="13303" width="19.08984375" style="600" bestFit="1" customWidth="1"/>
    <col min="13304" max="13304" width="1.81640625" style="600" customWidth="1"/>
    <col min="13305" max="13305" width="6.7265625" style="600" customWidth="1"/>
    <col min="13306" max="13306" width="14.7265625" style="600" customWidth="1"/>
    <col min="13307" max="13307" width="9" style="600" bestFit="1" customWidth="1"/>
    <col min="13308" max="13548" width="5" style="600"/>
    <col min="13549" max="13549" width="4.7265625" style="600" customWidth="1"/>
    <col min="13550" max="13550" width="2" style="600" customWidth="1"/>
    <col min="13551" max="13551" width="40.7265625" style="600" customWidth="1"/>
    <col min="13552" max="13552" width="3.54296875" style="600" customWidth="1"/>
    <col min="13553" max="13553" width="11.08984375" style="600" customWidth="1"/>
    <col min="13554" max="13554" width="2.7265625" style="600" customWidth="1"/>
    <col min="13555" max="13555" width="11.26953125" style="600" customWidth="1"/>
    <col min="13556" max="13556" width="2.7265625" style="600" customWidth="1"/>
    <col min="13557" max="13557" width="11.26953125" style="600" customWidth="1"/>
    <col min="13558" max="13558" width="2.7265625" style="600" customWidth="1"/>
    <col min="13559" max="13559" width="19.08984375" style="600" bestFit="1" customWidth="1"/>
    <col min="13560" max="13560" width="1.81640625" style="600" customWidth="1"/>
    <col min="13561" max="13561" width="6.7265625" style="600" customWidth="1"/>
    <col min="13562" max="13562" width="14.7265625" style="600" customWidth="1"/>
    <col min="13563" max="13563" width="9" style="600" bestFit="1" customWidth="1"/>
    <col min="13564" max="13804" width="5" style="600"/>
    <col min="13805" max="13805" width="4.7265625" style="600" customWidth="1"/>
    <col min="13806" max="13806" width="2" style="600" customWidth="1"/>
    <col min="13807" max="13807" width="40.7265625" style="600" customWidth="1"/>
    <col min="13808" max="13808" width="3.54296875" style="600" customWidth="1"/>
    <col min="13809" max="13809" width="11.08984375" style="600" customWidth="1"/>
    <col min="13810" max="13810" width="2.7265625" style="600" customWidth="1"/>
    <col min="13811" max="13811" width="11.26953125" style="600" customWidth="1"/>
    <col min="13812" max="13812" width="2.7265625" style="600" customWidth="1"/>
    <col min="13813" max="13813" width="11.26953125" style="600" customWidth="1"/>
    <col min="13814" max="13814" width="2.7265625" style="600" customWidth="1"/>
    <col min="13815" max="13815" width="19.08984375" style="600" bestFit="1" customWidth="1"/>
    <col min="13816" max="13816" width="1.81640625" style="600" customWidth="1"/>
    <col min="13817" max="13817" width="6.7265625" style="600" customWidth="1"/>
    <col min="13818" max="13818" width="14.7265625" style="600" customWidth="1"/>
    <col min="13819" max="13819" width="9" style="600" bestFit="1" customWidth="1"/>
    <col min="13820" max="14060" width="5" style="600"/>
    <col min="14061" max="14061" width="4.7265625" style="600" customWidth="1"/>
    <col min="14062" max="14062" width="2" style="600" customWidth="1"/>
    <col min="14063" max="14063" width="40.7265625" style="600" customWidth="1"/>
    <col min="14064" max="14064" width="3.54296875" style="600" customWidth="1"/>
    <col min="14065" max="14065" width="11.08984375" style="600" customWidth="1"/>
    <col min="14066" max="14066" width="2.7265625" style="600" customWidth="1"/>
    <col min="14067" max="14067" width="11.26953125" style="600" customWidth="1"/>
    <col min="14068" max="14068" width="2.7265625" style="600" customWidth="1"/>
    <col min="14069" max="14069" width="11.26953125" style="600" customWidth="1"/>
    <col min="14070" max="14070" width="2.7265625" style="600" customWidth="1"/>
    <col min="14071" max="14071" width="19.08984375" style="600" bestFit="1" customWidth="1"/>
    <col min="14072" max="14072" width="1.81640625" style="600" customWidth="1"/>
    <col min="14073" max="14073" width="6.7265625" style="600" customWidth="1"/>
    <col min="14074" max="14074" width="14.7265625" style="600" customWidth="1"/>
    <col min="14075" max="14075" width="9" style="600" bestFit="1" customWidth="1"/>
    <col min="14076" max="14316" width="5" style="600"/>
    <col min="14317" max="14317" width="4.7265625" style="600" customWidth="1"/>
    <col min="14318" max="14318" width="2" style="600" customWidth="1"/>
    <col min="14319" max="14319" width="40.7265625" style="600" customWidth="1"/>
    <col min="14320" max="14320" width="3.54296875" style="600" customWidth="1"/>
    <col min="14321" max="14321" width="11.08984375" style="600" customWidth="1"/>
    <col min="14322" max="14322" width="2.7265625" style="600" customWidth="1"/>
    <col min="14323" max="14323" width="11.26953125" style="600" customWidth="1"/>
    <col min="14324" max="14324" width="2.7265625" style="600" customWidth="1"/>
    <col min="14325" max="14325" width="11.26953125" style="600" customWidth="1"/>
    <col min="14326" max="14326" width="2.7265625" style="600" customWidth="1"/>
    <col min="14327" max="14327" width="19.08984375" style="600" bestFit="1" customWidth="1"/>
    <col min="14328" max="14328" width="1.81640625" style="600" customWidth="1"/>
    <col min="14329" max="14329" width="6.7265625" style="600" customWidth="1"/>
    <col min="14330" max="14330" width="14.7265625" style="600" customWidth="1"/>
    <col min="14331" max="14331" width="9" style="600" bestFit="1" customWidth="1"/>
    <col min="14332" max="14572" width="5" style="600"/>
    <col min="14573" max="14573" width="4.7265625" style="600" customWidth="1"/>
    <col min="14574" max="14574" width="2" style="600" customWidth="1"/>
    <col min="14575" max="14575" width="40.7265625" style="600" customWidth="1"/>
    <col min="14576" max="14576" width="3.54296875" style="600" customWidth="1"/>
    <col min="14577" max="14577" width="11.08984375" style="600" customWidth="1"/>
    <col min="14578" max="14578" width="2.7265625" style="600" customWidth="1"/>
    <col min="14579" max="14579" width="11.26953125" style="600" customWidth="1"/>
    <col min="14580" max="14580" width="2.7265625" style="600" customWidth="1"/>
    <col min="14581" max="14581" width="11.26953125" style="600" customWidth="1"/>
    <col min="14582" max="14582" width="2.7265625" style="600" customWidth="1"/>
    <col min="14583" max="14583" width="19.08984375" style="600" bestFit="1" customWidth="1"/>
    <col min="14584" max="14584" width="1.81640625" style="600" customWidth="1"/>
    <col min="14585" max="14585" width="6.7265625" style="600" customWidth="1"/>
    <col min="14586" max="14586" width="14.7265625" style="600" customWidth="1"/>
    <col min="14587" max="14587" width="9" style="600" bestFit="1" customWidth="1"/>
    <col min="14588" max="14828" width="5" style="600"/>
    <col min="14829" max="14829" width="4.7265625" style="600" customWidth="1"/>
    <col min="14830" max="14830" width="2" style="600" customWidth="1"/>
    <col min="14831" max="14831" width="40.7265625" style="600" customWidth="1"/>
    <col min="14832" max="14832" width="3.54296875" style="600" customWidth="1"/>
    <col min="14833" max="14833" width="11.08984375" style="600" customWidth="1"/>
    <col min="14834" max="14834" width="2.7265625" style="600" customWidth="1"/>
    <col min="14835" max="14835" width="11.26953125" style="600" customWidth="1"/>
    <col min="14836" max="14836" width="2.7265625" style="600" customWidth="1"/>
    <col min="14837" max="14837" width="11.26953125" style="600" customWidth="1"/>
    <col min="14838" max="14838" width="2.7265625" style="600" customWidth="1"/>
    <col min="14839" max="14839" width="19.08984375" style="600" bestFit="1" customWidth="1"/>
    <col min="14840" max="14840" width="1.81640625" style="600" customWidth="1"/>
    <col min="14841" max="14841" width="6.7265625" style="600" customWidth="1"/>
    <col min="14842" max="14842" width="14.7265625" style="600" customWidth="1"/>
    <col min="14843" max="14843" width="9" style="600" bestFit="1" customWidth="1"/>
    <col min="14844" max="15084" width="5" style="600"/>
    <col min="15085" max="15085" width="4.7265625" style="600" customWidth="1"/>
    <col min="15086" max="15086" width="2" style="600" customWidth="1"/>
    <col min="15087" max="15087" width="40.7265625" style="600" customWidth="1"/>
    <col min="15088" max="15088" width="3.54296875" style="600" customWidth="1"/>
    <col min="15089" max="15089" width="11.08984375" style="600" customWidth="1"/>
    <col min="15090" max="15090" width="2.7265625" style="600" customWidth="1"/>
    <col min="15091" max="15091" width="11.26953125" style="600" customWidth="1"/>
    <col min="15092" max="15092" width="2.7265625" style="600" customWidth="1"/>
    <col min="15093" max="15093" width="11.26953125" style="600" customWidth="1"/>
    <col min="15094" max="15094" width="2.7265625" style="600" customWidth="1"/>
    <col min="15095" max="15095" width="19.08984375" style="600" bestFit="1" customWidth="1"/>
    <col min="15096" max="15096" width="1.81640625" style="600" customWidth="1"/>
    <col min="15097" max="15097" width="6.7265625" style="600" customWidth="1"/>
    <col min="15098" max="15098" width="14.7265625" style="600" customWidth="1"/>
    <col min="15099" max="15099" width="9" style="600" bestFit="1" customWidth="1"/>
    <col min="15100" max="15340" width="5" style="600"/>
    <col min="15341" max="15341" width="4.7265625" style="600" customWidth="1"/>
    <col min="15342" max="15342" width="2" style="600" customWidth="1"/>
    <col min="15343" max="15343" width="40.7265625" style="600" customWidth="1"/>
    <col min="15344" max="15344" width="3.54296875" style="600" customWidth="1"/>
    <col min="15345" max="15345" width="11.08984375" style="600" customWidth="1"/>
    <col min="15346" max="15346" width="2.7265625" style="600" customWidth="1"/>
    <col min="15347" max="15347" width="11.26953125" style="600" customWidth="1"/>
    <col min="15348" max="15348" width="2.7265625" style="600" customWidth="1"/>
    <col min="15349" max="15349" width="11.26953125" style="600" customWidth="1"/>
    <col min="15350" max="15350" width="2.7265625" style="600" customWidth="1"/>
    <col min="15351" max="15351" width="19.08984375" style="600" bestFit="1" customWidth="1"/>
    <col min="15352" max="15352" width="1.81640625" style="600" customWidth="1"/>
    <col min="15353" max="15353" width="6.7265625" style="600" customWidth="1"/>
    <col min="15354" max="15354" width="14.7265625" style="600" customWidth="1"/>
    <col min="15355" max="15355" width="9" style="600" bestFit="1" customWidth="1"/>
    <col min="15356" max="15596" width="5" style="600"/>
    <col min="15597" max="15597" width="4.7265625" style="600" customWidth="1"/>
    <col min="15598" max="15598" width="2" style="600" customWidth="1"/>
    <col min="15599" max="15599" width="40.7265625" style="600" customWidth="1"/>
    <col min="15600" max="15600" width="3.54296875" style="600" customWidth="1"/>
    <col min="15601" max="15601" width="11.08984375" style="600" customWidth="1"/>
    <col min="15602" max="15602" width="2.7265625" style="600" customWidth="1"/>
    <col min="15603" max="15603" width="11.26953125" style="600" customWidth="1"/>
    <col min="15604" max="15604" width="2.7265625" style="600" customWidth="1"/>
    <col min="15605" max="15605" width="11.26953125" style="600" customWidth="1"/>
    <col min="15606" max="15606" width="2.7265625" style="600" customWidth="1"/>
    <col min="15607" max="15607" width="19.08984375" style="600" bestFit="1" customWidth="1"/>
    <col min="15608" max="15608" width="1.81640625" style="600" customWidth="1"/>
    <col min="15609" max="15609" width="6.7265625" style="600" customWidth="1"/>
    <col min="15610" max="15610" width="14.7265625" style="600" customWidth="1"/>
    <col min="15611" max="15611" width="9" style="600" bestFit="1" customWidth="1"/>
    <col min="15612" max="15852" width="5" style="600"/>
    <col min="15853" max="15853" width="4.7265625" style="600" customWidth="1"/>
    <col min="15854" max="15854" width="2" style="600" customWidth="1"/>
    <col min="15855" max="15855" width="40.7265625" style="600" customWidth="1"/>
    <col min="15856" max="15856" width="3.54296875" style="600" customWidth="1"/>
    <col min="15857" max="15857" width="11.08984375" style="600" customWidth="1"/>
    <col min="15858" max="15858" width="2.7265625" style="600" customWidth="1"/>
    <col min="15859" max="15859" width="11.26953125" style="600" customWidth="1"/>
    <col min="15860" max="15860" width="2.7265625" style="600" customWidth="1"/>
    <col min="15861" max="15861" width="11.26953125" style="600" customWidth="1"/>
    <col min="15862" max="15862" width="2.7265625" style="600" customWidth="1"/>
    <col min="15863" max="15863" width="19.08984375" style="600" bestFit="1" customWidth="1"/>
    <col min="15864" max="15864" width="1.81640625" style="600" customWidth="1"/>
    <col min="15865" max="15865" width="6.7265625" style="600" customWidth="1"/>
    <col min="15866" max="15866" width="14.7265625" style="600" customWidth="1"/>
    <col min="15867" max="15867" width="9" style="600" bestFit="1" customWidth="1"/>
    <col min="15868" max="16108" width="5" style="600"/>
    <col min="16109" max="16109" width="4.7265625" style="600" customWidth="1"/>
    <col min="16110" max="16110" width="2" style="600" customWidth="1"/>
    <col min="16111" max="16111" width="40.7265625" style="600" customWidth="1"/>
    <col min="16112" max="16112" width="3.54296875" style="600" customWidth="1"/>
    <col min="16113" max="16113" width="11.08984375" style="600" customWidth="1"/>
    <col min="16114" max="16114" width="2.7265625" style="600" customWidth="1"/>
    <col min="16115" max="16115" width="11.26953125" style="600" customWidth="1"/>
    <col min="16116" max="16116" width="2.7265625" style="600" customWidth="1"/>
    <col min="16117" max="16117" width="11.26953125" style="600" customWidth="1"/>
    <col min="16118" max="16118" width="2.7265625" style="600" customWidth="1"/>
    <col min="16119" max="16119" width="19.08984375" style="600" bestFit="1" customWidth="1"/>
    <col min="16120" max="16120" width="1.81640625" style="600" customWidth="1"/>
    <col min="16121" max="16121" width="6.7265625" style="600" customWidth="1"/>
    <col min="16122" max="16122" width="14.7265625" style="600" customWidth="1"/>
    <col min="16123" max="16123" width="9" style="600" bestFit="1" customWidth="1"/>
    <col min="16124" max="16384" width="5" style="600"/>
  </cols>
  <sheetData>
    <row r="1" spans="1:37">
      <c r="C1" s="1045"/>
      <c r="G1" s="967"/>
      <c r="H1" s="967"/>
      <c r="I1" s="967"/>
      <c r="J1" s="967"/>
      <c r="K1" s="1046"/>
      <c r="L1" s="967"/>
      <c r="M1" s="1047"/>
      <c r="N1" s="1047"/>
      <c r="O1" s="737"/>
      <c r="W1" s="37"/>
      <c r="X1" s="37"/>
      <c r="Y1" s="3" t="s">
        <v>994</v>
      </c>
    </row>
    <row r="2" spans="1:37">
      <c r="C2" s="1045"/>
      <c r="G2" s="967"/>
      <c r="H2" s="967"/>
      <c r="I2" s="967"/>
      <c r="J2" s="967"/>
      <c r="K2" s="1046"/>
      <c r="L2" s="967"/>
      <c r="M2" s="1047"/>
      <c r="N2" s="1047"/>
      <c r="O2" s="737"/>
      <c r="W2" s="37"/>
      <c r="X2" s="37"/>
      <c r="Y2" s="3" t="s">
        <v>144</v>
      </c>
    </row>
    <row r="3" spans="1:37">
      <c r="C3" s="1045"/>
      <c r="G3" s="967"/>
      <c r="H3" s="967"/>
      <c r="I3" s="967"/>
      <c r="J3" s="967"/>
      <c r="K3" s="1046"/>
      <c r="L3" s="967"/>
      <c r="M3" s="1046"/>
      <c r="N3" s="1046"/>
      <c r="O3" s="967"/>
      <c r="W3" s="37"/>
      <c r="X3" s="37"/>
      <c r="Y3" s="3" t="str">
        <f>'Attachment 4 - Accum Depr'!K3</f>
        <v>For the 12 months ended 12/31/2023</v>
      </c>
    </row>
    <row r="5" spans="1:37">
      <c r="B5" s="600"/>
      <c r="C5" s="744" t="s">
        <v>627</v>
      </c>
      <c r="E5" s="744" t="str">
        <f>"("&amp;CHAR(CODE(MID(C5,2,1))+1)&amp;")"</f>
        <v>(B)</v>
      </c>
      <c r="F5" s="744"/>
      <c r="G5" s="744" t="str">
        <f t="shared" ref="G5" si="0">"("&amp;CHAR(CODE(MID(E5,2,1))+1)&amp;")"</f>
        <v>(C)</v>
      </c>
      <c r="H5" s="744"/>
      <c r="I5" s="744" t="str">
        <f t="shared" ref="I5" si="1">"("&amp;CHAR(CODE(MID(G5,2,1))+1)&amp;")"</f>
        <v>(D)</v>
      </c>
      <c r="J5" s="600"/>
      <c r="L5" s="744" t="str">
        <f>"("&amp;CHAR(CODE(MID(I5,2,1))+1)&amp;")"</f>
        <v>(E)</v>
      </c>
      <c r="M5" s="744"/>
      <c r="N5" s="744"/>
      <c r="O5" s="744" t="str">
        <f t="shared" ref="O5:U5" si="2">"("&amp;CHAR(CODE(MID(L5,2,1))+1)&amp;")"</f>
        <v>(F)</v>
      </c>
      <c r="P5" s="744"/>
      <c r="Q5" s="744"/>
      <c r="R5" s="744" t="str">
        <f t="shared" si="2"/>
        <v>(G)</v>
      </c>
      <c r="S5" s="744"/>
      <c r="T5" s="744"/>
      <c r="U5" s="744" t="str">
        <f t="shared" si="2"/>
        <v>(H)</v>
      </c>
      <c r="V5" s="744"/>
      <c r="W5" s="744" t="str">
        <f>"("&amp;CHAR(CODE(MID(U5,2,1))+1)&amp;")"</f>
        <v>(I)</v>
      </c>
      <c r="X5" s="744"/>
      <c r="Y5" s="744" t="str">
        <f t="shared" ref="Y5" si="3">"("&amp;CHAR(CODE(MID(W5,2,1))+1)&amp;")"</f>
        <v>(J)</v>
      </c>
    </row>
    <row r="6" spans="1:37">
      <c r="B6" s="600"/>
      <c r="E6" s="744"/>
      <c r="F6" s="744"/>
      <c r="G6" s="620"/>
      <c r="H6" s="744"/>
      <c r="I6" s="620"/>
      <c r="J6" s="620"/>
      <c r="L6" s="620"/>
      <c r="O6" s="620"/>
      <c r="R6" s="620"/>
      <c r="T6" s="601"/>
      <c r="V6" s="601"/>
      <c r="X6" s="601"/>
      <c r="Z6" s="601"/>
    </row>
    <row r="7" spans="1:37">
      <c r="B7" s="600"/>
      <c r="E7" s="600"/>
      <c r="F7" s="600"/>
      <c r="G7" s="600"/>
      <c r="H7" s="600"/>
      <c r="I7" s="619">
        <f>'Attachment 4 - Accum Depr'!C8</f>
        <v>2022</v>
      </c>
      <c r="J7" s="600"/>
      <c r="L7" s="619">
        <f>$I$7+1</f>
        <v>2023</v>
      </c>
      <c r="O7" s="619">
        <f>$I$7+1</f>
        <v>2023</v>
      </c>
      <c r="R7" s="619">
        <f>$I$7+1</f>
        <v>2023</v>
      </c>
      <c r="U7" s="619">
        <f>$I$7+1</f>
        <v>2023</v>
      </c>
      <c r="V7" s="601"/>
      <c r="X7" s="601"/>
      <c r="Y7" s="600"/>
    </row>
    <row r="8" spans="1:37" s="611" customFormat="1" ht="31.2">
      <c r="A8" s="618" t="s">
        <v>630</v>
      </c>
      <c r="B8" s="626"/>
      <c r="C8" s="740" t="s">
        <v>625</v>
      </c>
      <c r="D8" s="748"/>
      <c r="E8" s="627" t="s">
        <v>10</v>
      </c>
      <c r="F8" s="748"/>
      <c r="G8" s="627" t="s">
        <v>727</v>
      </c>
      <c r="H8" s="747"/>
      <c r="I8" s="615" t="s">
        <v>728</v>
      </c>
      <c r="J8" s="626"/>
      <c r="K8" s="626"/>
      <c r="L8" s="888" t="s">
        <v>799</v>
      </c>
      <c r="M8" s="626"/>
      <c r="N8" s="626"/>
      <c r="O8" s="888" t="s">
        <v>800</v>
      </c>
      <c r="P8" s="626"/>
      <c r="Q8" s="626"/>
      <c r="R8" s="888" t="s">
        <v>801</v>
      </c>
      <c r="S8" s="626"/>
      <c r="T8" s="626"/>
      <c r="U8" s="888" t="s">
        <v>729</v>
      </c>
      <c r="V8" s="625"/>
      <c r="W8" s="888" t="s">
        <v>911</v>
      </c>
      <c r="X8" s="608"/>
      <c r="Y8" s="888" t="s">
        <v>1026</v>
      </c>
    </row>
    <row r="9" spans="1:37">
      <c r="A9" s="611">
        <v>1</v>
      </c>
      <c r="B9" s="609"/>
      <c r="C9" s="754" t="s">
        <v>832</v>
      </c>
      <c r="D9" s="609"/>
      <c r="E9" s="609"/>
      <c r="F9" s="609"/>
      <c r="G9" s="609"/>
      <c r="H9" s="609"/>
      <c r="I9" s="609"/>
      <c r="J9" s="609"/>
      <c r="K9" s="609"/>
      <c r="L9" s="608"/>
      <c r="M9" s="609"/>
      <c r="N9" s="609"/>
      <c r="O9" s="608"/>
      <c r="P9" s="609"/>
      <c r="Q9" s="609"/>
      <c r="R9" s="608"/>
      <c r="S9" s="609"/>
      <c r="T9" s="609"/>
      <c r="U9" s="608"/>
      <c r="V9" s="609"/>
      <c r="W9" s="608"/>
      <c r="X9" s="607"/>
      <c r="Y9" s="608"/>
      <c r="Z9" s="608"/>
    </row>
    <row r="10" spans="1:37">
      <c r="C10" s="601"/>
      <c r="D10" s="601"/>
      <c r="E10" s="601"/>
      <c r="F10" s="601"/>
      <c r="G10" s="601"/>
      <c r="H10" s="601"/>
      <c r="I10" s="601"/>
      <c r="J10" s="601"/>
      <c r="K10" s="601"/>
      <c r="L10" s="631"/>
      <c r="M10" s="601"/>
      <c r="N10" s="601"/>
      <c r="O10" s="631"/>
      <c r="P10" s="601"/>
      <c r="Q10" s="601"/>
      <c r="R10" s="601"/>
      <c r="S10" s="601"/>
      <c r="T10" s="601"/>
      <c r="V10" s="601"/>
      <c r="X10" s="601"/>
      <c r="Z10" s="601"/>
    </row>
    <row r="11" spans="1:37">
      <c r="A11" s="735">
        <f>A9+0.01</f>
        <v>1.01</v>
      </c>
      <c r="B11" s="600"/>
      <c r="C11" s="659" t="s">
        <v>1089</v>
      </c>
      <c r="D11" s="630"/>
      <c r="E11" s="723" t="s">
        <v>1070</v>
      </c>
      <c r="F11" s="17"/>
      <c r="G11" s="632">
        <f ca="1">IFERROR(INDIRECT(E11),0)</f>
        <v>8.0618739267835124E-2</v>
      </c>
      <c r="H11" s="749"/>
      <c r="I11" s="641">
        <v>255497</v>
      </c>
      <c r="J11" s="600"/>
      <c r="L11" s="641">
        <v>265992</v>
      </c>
      <c r="O11" s="641">
        <v>254664.23</v>
      </c>
      <c r="R11" s="641">
        <v>239481.49</v>
      </c>
      <c r="U11" s="641">
        <v>233269</v>
      </c>
      <c r="W11" s="737">
        <f ca="1">U11*G11</f>
        <v>18805.852690268632</v>
      </c>
      <c r="Y11" s="1047"/>
    </row>
    <row r="12" spans="1:37">
      <c r="A12" s="735">
        <f>A11+0.01</f>
        <v>1.02</v>
      </c>
      <c r="B12" s="600"/>
      <c r="C12" s="659" t="s">
        <v>1091</v>
      </c>
      <c r="D12" s="630"/>
      <c r="E12" s="723" t="s">
        <v>1070</v>
      </c>
      <c r="F12" s="17"/>
      <c r="G12" s="632">
        <f t="shared" ref="G12:G28" ca="1" si="4">IFERROR(INDIRECT(E12),0)</f>
        <v>8.0618739267835124E-2</v>
      </c>
      <c r="H12" s="749"/>
      <c r="I12" s="641">
        <v>5622</v>
      </c>
      <c r="J12" s="600"/>
      <c r="L12" s="641">
        <v>37105.199999999997</v>
      </c>
      <c r="O12" s="641">
        <v>2283937.5</v>
      </c>
      <c r="R12" s="641">
        <v>37667.4</v>
      </c>
      <c r="U12" s="641">
        <v>35138</v>
      </c>
      <c r="W12" s="737">
        <f ca="1">U12*G12</f>
        <v>2832.7812603931907</v>
      </c>
      <c r="Y12" s="1046"/>
      <c r="Z12" s="662"/>
      <c r="AA12" s="662"/>
      <c r="AB12" s="662"/>
      <c r="AC12" s="662"/>
      <c r="AD12" s="662"/>
      <c r="AE12" s="662"/>
      <c r="AF12" s="662"/>
      <c r="AG12" s="662"/>
      <c r="AH12" s="662"/>
      <c r="AI12" s="662"/>
      <c r="AJ12" s="662"/>
    </row>
    <row r="13" spans="1:37">
      <c r="A13" s="735">
        <f t="shared" ref="A13:A18" si="5">A12+0.01</f>
        <v>1.03</v>
      </c>
      <c r="B13" s="600"/>
      <c r="C13" s="659" t="s">
        <v>1092</v>
      </c>
      <c r="D13" s="630"/>
      <c r="E13" s="723" t="s">
        <v>1070</v>
      </c>
      <c r="F13" s="17"/>
      <c r="G13" s="632">
        <f t="shared" ca="1" si="4"/>
        <v>8.0618739267835124E-2</v>
      </c>
      <c r="H13" s="749"/>
      <c r="I13" s="641">
        <v>953059</v>
      </c>
      <c r="J13" s="600"/>
      <c r="L13" s="641">
        <v>793608.68</v>
      </c>
      <c r="O13" s="641">
        <v>879288.82</v>
      </c>
      <c r="R13" s="641">
        <v>854656.92</v>
      </c>
      <c r="U13" s="641">
        <v>893470</v>
      </c>
      <c r="W13" s="737">
        <f t="shared" ref="W13:W16" ca="1" si="6">U13*G13</f>
        <v>72030.424973632646</v>
      </c>
      <c r="Y13" s="1046"/>
      <c r="Z13" s="662"/>
      <c r="AA13" s="662"/>
      <c r="AB13" s="662"/>
      <c r="AC13" s="662"/>
      <c r="AD13" s="662"/>
      <c r="AE13" s="662"/>
      <c r="AF13" s="662"/>
      <c r="AG13" s="662"/>
      <c r="AH13" s="662"/>
      <c r="AI13" s="662"/>
      <c r="AJ13" s="662"/>
      <c r="AK13" s="662"/>
    </row>
    <row r="14" spans="1:37">
      <c r="A14" s="735">
        <f>A13+0.01</f>
        <v>1.04</v>
      </c>
      <c r="B14" s="600"/>
      <c r="C14" s="659" t="s">
        <v>1094</v>
      </c>
      <c r="D14" s="630"/>
      <c r="E14" s="723" t="s">
        <v>1070</v>
      </c>
      <c r="F14" s="17"/>
      <c r="G14" s="632">
        <f t="shared" ca="1" si="4"/>
        <v>8.0618739267835124E-2</v>
      </c>
      <c r="H14" s="749"/>
      <c r="I14" s="641">
        <v>2901199</v>
      </c>
      <c r="J14" s="600"/>
      <c r="L14" s="641">
        <v>2897224.37</v>
      </c>
      <c r="O14" s="641">
        <v>2897224.37</v>
      </c>
      <c r="R14" s="641">
        <v>2897224.37</v>
      </c>
      <c r="U14" s="641">
        <v>3409954</v>
      </c>
      <c r="W14" s="737">
        <f t="shared" ca="1" si="6"/>
        <v>274906.19244131143</v>
      </c>
      <c r="Y14" s="1047"/>
    </row>
    <row r="15" spans="1:37">
      <c r="A15" s="735">
        <f t="shared" si="5"/>
        <v>1.05</v>
      </c>
      <c r="B15" s="600"/>
      <c r="C15" s="659" t="s">
        <v>1095</v>
      </c>
      <c r="D15" s="630"/>
      <c r="E15" s="723" t="s">
        <v>1070</v>
      </c>
      <c r="F15" s="17"/>
      <c r="G15" s="632">
        <f t="shared" ca="1" si="4"/>
        <v>8.0618739267835124E-2</v>
      </c>
      <c r="H15" s="749"/>
      <c r="I15" s="641">
        <v>102974</v>
      </c>
      <c r="J15" s="600"/>
      <c r="L15" s="641">
        <v>76314.710000000006</v>
      </c>
      <c r="O15" s="641">
        <v>87324.84</v>
      </c>
      <c r="R15" s="641">
        <v>88994.85</v>
      </c>
      <c r="U15" s="641">
        <v>108431</v>
      </c>
      <c r="W15" s="737">
        <f t="shared" ca="1" si="6"/>
        <v>8741.57051755063</v>
      </c>
      <c r="Y15" s="1047"/>
    </row>
    <row r="16" spans="1:37">
      <c r="A16" s="735">
        <f>A15+0.01</f>
        <v>1.06</v>
      </c>
      <c r="B16" s="600"/>
      <c r="C16" s="659" t="s">
        <v>1096</v>
      </c>
      <c r="D16" s="630"/>
      <c r="E16" s="723" t="s">
        <v>1070</v>
      </c>
      <c r="F16" s="17"/>
      <c r="G16" s="632">
        <f ca="1">IFERROR(INDIRECT(E16),0)</f>
        <v>8.0618739267835124E-2</v>
      </c>
      <c r="H16" s="749"/>
      <c r="I16" s="641">
        <v>300414</v>
      </c>
      <c r="J16" s="600"/>
      <c r="L16" s="641">
        <v>180676.94</v>
      </c>
      <c r="O16" s="641">
        <v>203459.89</v>
      </c>
      <c r="R16" s="641">
        <v>228281.94</v>
      </c>
      <c r="U16" s="641">
        <v>253615</v>
      </c>
      <c r="W16" s="737">
        <f t="shared" ca="1" si="6"/>
        <v>20446.121559412004</v>
      </c>
      <c r="Y16" s="1047"/>
    </row>
    <row r="17" spans="1:48">
      <c r="A17" s="735">
        <f t="shared" si="5"/>
        <v>1.07</v>
      </c>
      <c r="B17" s="600"/>
      <c r="C17" s="659" t="s">
        <v>1097</v>
      </c>
      <c r="D17" s="630"/>
      <c r="E17" s="723" t="s">
        <v>250</v>
      </c>
      <c r="F17" s="17"/>
      <c r="G17" s="632">
        <f t="shared" ca="1" si="4"/>
        <v>1</v>
      </c>
      <c r="H17" s="749"/>
      <c r="I17" s="641">
        <v>4153561.5458547059</v>
      </c>
      <c r="J17" s="600"/>
      <c r="L17" s="641">
        <v>4153561.5458547059</v>
      </c>
      <c r="O17" s="641">
        <v>4153561.5458547059</v>
      </c>
      <c r="R17" s="641">
        <v>4153561.5458547059</v>
      </c>
      <c r="U17" s="641">
        <v>5448135.4759708373</v>
      </c>
      <c r="W17" s="737">
        <f t="shared" ref="W17:W22" ca="1" si="7">U17*G17</f>
        <v>5448135.4759708373</v>
      </c>
      <c r="Y17" s="1047"/>
    </row>
    <row r="18" spans="1:48">
      <c r="A18" s="735">
        <f t="shared" si="5"/>
        <v>1.08</v>
      </c>
      <c r="B18" s="600"/>
      <c r="C18" s="659" t="s">
        <v>1098</v>
      </c>
      <c r="D18" s="630"/>
      <c r="E18" s="723" t="s">
        <v>250</v>
      </c>
      <c r="F18" s="17"/>
      <c r="G18" s="632">
        <f t="shared" ca="1" si="4"/>
        <v>1</v>
      </c>
      <c r="H18" s="749"/>
      <c r="I18" s="641">
        <v>6579155.6268964726</v>
      </c>
      <c r="J18" s="600"/>
      <c r="L18" s="641">
        <v>6579155.6268964726</v>
      </c>
      <c r="O18" s="641">
        <v>6579155.6268964726</v>
      </c>
      <c r="R18" s="641">
        <v>6579155.6268964726</v>
      </c>
      <c r="U18" s="641">
        <v>8629733.9709822312</v>
      </c>
      <c r="W18" s="737">
        <f t="shared" ca="1" si="7"/>
        <v>8629733.9709822312</v>
      </c>
      <c r="Y18" s="1048"/>
    </row>
    <row r="19" spans="1:48">
      <c r="A19" s="735">
        <f>A18+0.01</f>
        <v>1.0900000000000001</v>
      </c>
      <c r="B19" s="600"/>
      <c r="C19" s="659" t="s">
        <v>1100</v>
      </c>
      <c r="D19" s="630"/>
      <c r="E19" s="723" t="s">
        <v>250</v>
      </c>
      <c r="F19" s="17"/>
      <c r="G19" s="632">
        <f t="shared" ca="1" si="4"/>
        <v>1</v>
      </c>
      <c r="H19" s="749"/>
      <c r="I19" s="641">
        <v>493206</v>
      </c>
      <c r="J19" s="600"/>
      <c r="L19" s="641">
        <v>480381.19</v>
      </c>
      <c r="O19" s="641">
        <v>467556.04</v>
      </c>
      <c r="R19" s="641">
        <v>454730.87</v>
      </c>
      <c r="U19" s="641">
        <v>441906</v>
      </c>
      <c r="W19" s="737">
        <f t="shared" ca="1" si="7"/>
        <v>441906</v>
      </c>
      <c r="Y19" s="1047"/>
    </row>
    <row r="20" spans="1:48">
      <c r="A20" s="735">
        <f t="shared" ref="A20:A28" si="8">A19+0.01</f>
        <v>1.1000000000000001</v>
      </c>
      <c r="B20" s="600"/>
      <c r="C20" s="659" t="s">
        <v>1101</v>
      </c>
      <c r="D20" s="630"/>
      <c r="E20" s="723" t="s">
        <v>762</v>
      </c>
      <c r="F20" s="17"/>
      <c r="G20" s="632">
        <f t="shared" ca="1" si="4"/>
        <v>0.24928026689675703</v>
      </c>
      <c r="H20" s="749"/>
      <c r="I20" s="641">
        <v>49107154.678258672</v>
      </c>
      <c r="J20" s="600"/>
      <c r="L20" s="641">
        <v>49107154.678258672</v>
      </c>
      <c r="O20" s="641">
        <v>49107154.678258672</v>
      </c>
      <c r="R20" s="641">
        <v>49107154.678258672</v>
      </c>
      <c r="U20" s="641">
        <v>67836989.710858673</v>
      </c>
      <c r="W20" s="737">
        <f t="shared" ca="1" si="7"/>
        <v>16910422.900595412</v>
      </c>
      <c r="Y20" s="1047"/>
    </row>
    <row r="21" spans="1:48">
      <c r="A21" s="735">
        <f>A20+0.01</f>
        <v>1.1100000000000001</v>
      </c>
      <c r="B21" s="600"/>
      <c r="C21" s="659" t="s">
        <v>1151</v>
      </c>
      <c r="D21" s="630"/>
      <c r="E21" s="723" t="s">
        <v>250</v>
      </c>
      <c r="F21" s="17"/>
      <c r="G21" s="632">
        <f t="shared" ca="1" si="4"/>
        <v>1</v>
      </c>
      <c r="H21" s="749"/>
      <c r="I21" s="641">
        <v>4881561.2418216495</v>
      </c>
      <c r="J21" s="600"/>
      <c r="L21" s="641">
        <v>3676319.78496867</v>
      </c>
      <c r="O21" s="641">
        <v>2461035.00290159</v>
      </c>
      <c r="R21" s="641">
        <v>1235623.2041901399</v>
      </c>
      <c r="U21" s="641">
        <v>0</v>
      </c>
      <c r="W21" s="737">
        <f t="shared" ca="1" si="7"/>
        <v>0</v>
      </c>
      <c r="Y21" s="1047"/>
    </row>
    <row r="22" spans="1:48">
      <c r="A22" s="735">
        <f t="shared" si="8"/>
        <v>1.1200000000000001</v>
      </c>
      <c r="B22" s="600"/>
      <c r="C22" s="659" t="s">
        <v>1103</v>
      </c>
      <c r="D22" s="630"/>
      <c r="E22" s="723" t="s">
        <v>1070</v>
      </c>
      <c r="F22" s="17"/>
      <c r="G22" s="632">
        <f t="shared" ca="1" si="4"/>
        <v>8.0618739267835124E-2</v>
      </c>
      <c r="H22" s="749"/>
      <c r="I22" s="641">
        <v>-2279165</v>
      </c>
      <c r="J22" s="600"/>
      <c r="L22" s="641">
        <v>3000069.16</v>
      </c>
      <c r="O22" s="641">
        <v>3712404.95</v>
      </c>
      <c r="R22" s="641">
        <v>4428260.57</v>
      </c>
      <c r="U22" s="641">
        <v>10456252</v>
      </c>
      <c r="W22" s="737">
        <f t="shared" ca="1" si="7"/>
        <v>842969.85370677954</v>
      </c>
      <c r="Y22" s="1048"/>
    </row>
    <row r="23" spans="1:48">
      <c r="A23" s="735">
        <f t="shared" si="8"/>
        <v>1.1300000000000001</v>
      </c>
      <c r="B23" s="600"/>
      <c r="C23" s="659" t="s">
        <v>1104</v>
      </c>
      <c r="D23" s="630"/>
      <c r="E23" s="723" t="s">
        <v>1070</v>
      </c>
      <c r="F23" s="17"/>
      <c r="G23" s="632">
        <f t="shared" ca="1" si="4"/>
        <v>8.0618739267835124E-2</v>
      </c>
      <c r="H23" s="749"/>
      <c r="I23" s="641">
        <v>2857550</v>
      </c>
      <c r="J23" s="600"/>
      <c r="L23" s="641">
        <v>2994747.92</v>
      </c>
      <c r="O23" s="641">
        <v>2846670.26</v>
      </c>
      <c r="R23" s="641">
        <v>2582948.54</v>
      </c>
      <c r="U23" s="641">
        <v>2501736</v>
      </c>
      <c r="W23" s="737">
        <f ca="1">U23*G23</f>
        <v>201686.80230095677</v>
      </c>
      <c r="Y23" s="1047"/>
    </row>
    <row r="24" spans="1:48">
      <c r="A24" s="735">
        <f t="shared" si="8"/>
        <v>1.1400000000000001</v>
      </c>
      <c r="B24" s="600"/>
      <c r="C24" s="659" t="s">
        <v>1114</v>
      </c>
      <c r="D24" s="630"/>
      <c r="E24" s="723" t="s">
        <v>1070</v>
      </c>
      <c r="F24" s="17"/>
      <c r="G24" s="632">
        <f t="shared" ca="1" si="4"/>
        <v>8.0618739267835124E-2</v>
      </c>
      <c r="H24" s="749"/>
      <c r="I24" s="641">
        <v>137613</v>
      </c>
      <c r="J24" s="600"/>
      <c r="L24" s="641">
        <v>137612.53</v>
      </c>
      <c r="O24" s="641">
        <v>137612.53</v>
      </c>
      <c r="R24" s="641">
        <v>0</v>
      </c>
      <c r="U24" s="641">
        <v>28354</v>
      </c>
      <c r="W24" s="737">
        <f ca="1">U24*G24</f>
        <v>2285.8637332001972</v>
      </c>
      <c r="Y24" s="1047"/>
    </row>
    <row r="25" spans="1:48">
      <c r="A25" s="735">
        <f t="shared" si="8"/>
        <v>1.1500000000000001</v>
      </c>
      <c r="B25" s="600"/>
      <c r="C25" s="659" t="s">
        <v>1131</v>
      </c>
      <c r="D25" s="630"/>
      <c r="E25" s="723" t="s">
        <v>250</v>
      </c>
      <c r="F25" s="17"/>
      <c r="G25" s="632">
        <f t="shared" ca="1" si="4"/>
        <v>1</v>
      </c>
      <c r="H25" s="749"/>
      <c r="I25" s="641">
        <v>8019128.1945854044</v>
      </c>
      <c r="J25" s="600"/>
      <c r="L25" s="641">
        <v>7938272.4544009538</v>
      </c>
      <c r="O25" s="641">
        <v>7857416.7142165033</v>
      </c>
      <c r="R25" s="641">
        <v>7776560.9740320528</v>
      </c>
      <c r="U25" s="641">
        <v>7695705.2338476023</v>
      </c>
      <c r="W25" s="737">
        <f t="shared" ref="W25:W28" ca="1" si="9">U25*G25</f>
        <v>7695705.2338476023</v>
      </c>
      <c r="Y25" s="1047"/>
    </row>
    <row r="26" spans="1:48">
      <c r="A26" s="735">
        <f t="shared" si="8"/>
        <v>1.1600000000000001</v>
      </c>
      <c r="B26" s="600"/>
      <c r="C26" s="659" t="s">
        <v>1132</v>
      </c>
      <c r="D26" s="630"/>
      <c r="E26" s="723" t="s">
        <v>250</v>
      </c>
      <c r="F26" s="17"/>
      <c r="G26" s="632">
        <f t="shared" ca="1" si="4"/>
        <v>1</v>
      </c>
      <c r="H26" s="749"/>
      <c r="I26" s="641">
        <v>10569375.831777306</v>
      </c>
      <c r="J26" s="600"/>
      <c r="L26" s="641">
        <v>10924196.71856463</v>
      </c>
      <c r="O26" s="641">
        <v>11279017.605351955</v>
      </c>
      <c r="R26" s="641">
        <v>11633838.49213928</v>
      </c>
      <c r="U26" s="641">
        <v>11988659.378926603</v>
      </c>
      <c r="W26" s="737">
        <f t="shared" ca="1" si="9"/>
        <v>11988659.378926603</v>
      </c>
      <c r="Y26" s="1047"/>
    </row>
    <row r="27" spans="1:48">
      <c r="A27" s="735">
        <f t="shared" si="8"/>
        <v>1.1700000000000002</v>
      </c>
      <c r="B27" s="600"/>
      <c r="C27" s="659" t="s">
        <v>1154</v>
      </c>
      <c r="D27" s="630"/>
      <c r="E27" s="723" t="s">
        <v>250</v>
      </c>
      <c r="F27" s="17"/>
      <c r="G27" s="632">
        <f t="shared" ca="1" si="4"/>
        <v>1</v>
      </c>
      <c r="H27" s="749"/>
      <c r="I27" s="641">
        <v>15569178.539999999</v>
      </c>
      <c r="J27" s="600"/>
      <c r="L27" s="641">
        <v>15241441.7875</v>
      </c>
      <c r="O27" s="641">
        <v>14913705.035</v>
      </c>
      <c r="R27" s="641">
        <v>14585968.282500001</v>
      </c>
      <c r="U27" s="641">
        <v>14258231.529999999</v>
      </c>
      <c r="W27" s="737">
        <f t="shared" ca="1" si="9"/>
        <v>14258231.529999999</v>
      </c>
      <c r="Y27" s="1046"/>
      <c r="Z27" s="662"/>
      <c r="AA27" s="662"/>
      <c r="AB27" s="662"/>
      <c r="AC27" s="662"/>
      <c r="AD27" s="662"/>
      <c r="AE27" s="662"/>
      <c r="AF27" s="662"/>
      <c r="AG27" s="662"/>
      <c r="AH27" s="662"/>
      <c r="AI27" s="662"/>
      <c r="AJ27" s="662"/>
      <c r="AK27" s="662"/>
      <c r="AL27" s="662"/>
      <c r="AM27" s="662"/>
      <c r="AN27" s="662"/>
      <c r="AO27" s="662"/>
      <c r="AP27" s="662"/>
      <c r="AQ27" s="662"/>
      <c r="AR27" s="662"/>
      <c r="AS27" s="662"/>
      <c r="AT27" s="662"/>
      <c r="AU27" s="662"/>
      <c r="AV27" s="662"/>
    </row>
    <row r="28" spans="1:48">
      <c r="A28" s="735">
        <f t="shared" si="8"/>
        <v>1.1800000000000002</v>
      </c>
      <c r="B28" s="600"/>
      <c r="C28" s="659" t="s">
        <v>1133</v>
      </c>
      <c r="D28" s="630"/>
      <c r="E28" s="723" t="s">
        <v>250</v>
      </c>
      <c r="F28" s="17"/>
      <c r="G28" s="632">
        <f t="shared" ca="1" si="4"/>
        <v>1</v>
      </c>
      <c r="H28" s="749"/>
      <c r="I28" s="641">
        <v>-4278749.3603289947</v>
      </c>
      <c r="J28" s="600"/>
      <c r="L28" s="641">
        <v>-4089503.5022918745</v>
      </c>
      <c r="O28" s="641">
        <v>-3900257.6442547543</v>
      </c>
      <c r="R28" s="641">
        <v>-3711011.7862176341</v>
      </c>
      <c r="U28" s="641">
        <v>-3521765.9281805139</v>
      </c>
      <c r="W28" s="737">
        <f t="shared" ca="1" si="9"/>
        <v>-3521765.9281805139</v>
      </c>
      <c r="Y28" s="1047"/>
    </row>
    <row r="29" spans="1:48">
      <c r="A29" s="601">
        <f>A9+1</f>
        <v>2</v>
      </c>
      <c r="B29" s="600"/>
      <c r="C29" s="600" t="str">
        <f ca="1">"Sum of Lines "&amp;A11&amp;" through "&amp;OFFSET(A29,-1,0)</f>
        <v>Sum of Lines 1.01 through 1.18</v>
      </c>
      <c r="E29" s="606"/>
      <c r="F29" s="606"/>
      <c r="G29" s="632"/>
      <c r="H29" s="601"/>
      <c r="I29" s="605">
        <f>SUM(I11:I28)</f>
        <v>100328335.2988652</v>
      </c>
      <c r="J29" s="600"/>
      <c r="L29" s="605">
        <f>SUM(L11:L28)</f>
        <v>104394331.79415223</v>
      </c>
      <c r="O29" s="605">
        <f>SUM(O11:O28)</f>
        <v>106220931.99422514</v>
      </c>
      <c r="R29" s="605">
        <f>SUM(R11:R28)</f>
        <v>103173097.96765371</v>
      </c>
      <c r="U29" s="605">
        <f>SUM(U11:U28)</f>
        <v>130697814.37240544</v>
      </c>
      <c r="W29" s="834">
        <f ca="1">SUM(W11:W28)</f>
        <v>63295734.025325678</v>
      </c>
      <c r="Y29" s="1047"/>
    </row>
    <row r="30" spans="1:48">
      <c r="B30" s="600"/>
      <c r="E30" s="600"/>
      <c r="F30" s="600"/>
      <c r="G30" s="642"/>
      <c r="H30" s="600"/>
      <c r="I30" s="692"/>
      <c r="J30" s="600"/>
      <c r="L30" s="737"/>
      <c r="O30" s="737"/>
      <c r="R30" s="737"/>
      <c r="U30" s="692"/>
      <c r="W30" s="602"/>
      <c r="Y30" s="600"/>
    </row>
    <row r="31" spans="1:48">
      <c r="B31" s="600"/>
      <c r="E31" s="600"/>
      <c r="F31" s="600"/>
      <c r="G31" s="785"/>
      <c r="H31" s="600"/>
      <c r="I31" s="692"/>
      <c r="J31" s="600"/>
      <c r="L31" s="737"/>
      <c r="O31" s="737"/>
      <c r="R31" s="737"/>
      <c r="U31" s="692"/>
      <c r="W31" s="737"/>
      <c r="Y31" s="600"/>
    </row>
    <row r="32" spans="1:48">
      <c r="A32" s="601">
        <f>A29+1</f>
        <v>3</v>
      </c>
      <c r="B32" s="600"/>
      <c r="C32" s="754" t="s">
        <v>833</v>
      </c>
      <c r="D32" s="609"/>
      <c r="E32" s="609"/>
      <c r="F32" s="609"/>
      <c r="G32" s="609"/>
      <c r="H32" s="609"/>
      <c r="I32" s="609"/>
      <c r="J32" s="609"/>
      <c r="K32" s="609"/>
      <c r="L32" s="608"/>
      <c r="M32" s="609"/>
      <c r="N32" s="609"/>
      <c r="O32" s="608"/>
      <c r="P32" s="609"/>
      <c r="Q32" s="609"/>
      <c r="R32" s="608"/>
      <c r="S32" s="609"/>
      <c r="T32" s="609"/>
      <c r="U32" s="608"/>
      <c r="V32" s="609"/>
      <c r="W32" s="608"/>
      <c r="Y32" s="600"/>
    </row>
    <row r="33" spans="1:33">
      <c r="B33" s="600"/>
      <c r="C33" s="601"/>
      <c r="D33" s="601"/>
      <c r="E33" s="601"/>
      <c r="F33" s="601"/>
      <c r="G33" s="601"/>
      <c r="H33" s="601"/>
      <c r="I33" s="601"/>
      <c r="J33" s="601"/>
      <c r="K33" s="601"/>
      <c r="L33" s="601"/>
      <c r="M33" s="601"/>
      <c r="N33" s="601"/>
      <c r="O33" s="601"/>
      <c r="P33" s="601"/>
      <c r="Q33" s="601"/>
      <c r="R33" s="601"/>
      <c r="S33" s="601"/>
      <c r="T33" s="601"/>
      <c r="V33" s="601"/>
      <c r="Y33" s="606"/>
    </row>
    <row r="34" spans="1:33">
      <c r="A34" s="735">
        <f>A32+0.01</f>
        <v>3.01</v>
      </c>
      <c r="B34" s="600"/>
      <c r="C34" s="659" t="s">
        <v>1105</v>
      </c>
      <c r="D34" s="601"/>
      <c r="E34" s="723" t="s">
        <v>250</v>
      </c>
      <c r="F34" s="601"/>
      <c r="G34" s="632">
        <f t="shared" ref="G34:G36" ca="1" si="10">IFERROR(INDIRECT(E34),0)</f>
        <v>1</v>
      </c>
      <c r="H34" s="601"/>
      <c r="I34" s="641">
        <v>-11311065.508011501</v>
      </c>
      <c r="J34" s="600"/>
      <c r="L34" s="641">
        <v>-10925420.550458426</v>
      </c>
      <c r="O34" s="641">
        <v>-10539775.59290535</v>
      </c>
      <c r="R34" s="641">
        <v>-10154130.635352276</v>
      </c>
      <c r="U34" s="641">
        <v>-9768485.6777991988</v>
      </c>
      <c r="W34" s="737">
        <f ca="1">U34*G34</f>
        <v>-9768485.6777991988</v>
      </c>
      <c r="Y34" s="1046"/>
      <c r="Z34" s="1046"/>
      <c r="AA34" s="1046"/>
      <c r="AB34" s="1046"/>
      <c r="AC34" s="1047"/>
      <c r="AD34" s="1047"/>
      <c r="AE34" s="1047"/>
      <c r="AF34" s="1047"/>
      <c r="AG34" s="1047"/>
    </row>
    <row r="35" spans="1:33">
      <c r="A35" s="735">
        <f t="shared" ref="A35:A36" si="11">A34+0.01</f>
        <v>3.0199999999999996</v>
      </c>
      <c r="B35" s="600"/>
      <c r="C35" s="659" t="s">
        <v>1133</v>
      </c>
      <c r="D35" s="601"/>
      <c r="E35" s="723" t="s">
        <v>250</v>
      </c>
      <c r="F35" s="601"/>
      <c r="G35" s="632">
        <f ca="1">IFERROR(INDIRECT(E35),0)</f>
        <v>1</v>
      </c>
      <c r="H35" s="601"/>
      <c r="I35" s="641">
        <v>-4278749.3603289947</v>
      </c>
      <c r="J35" s="600"/>
      <c r="L35" s="641">
        <v>-4089503.5022918745</v>
      </c>
      <c r="O35" s="641">
        <v>-3900257.6442547543</v>
      </c>
      <c r="R35" s="641">
        <v>-3711011.7862176341</v>
      </c>
      <c r="U35" s="641">
        <v>-3521765.9281805139</v>
      </c>
      <c r="W35" s="737">
        <f t="shared" ref="W35:W36" ca="1" si="12">U35*G35</f>
        <v>-3521765.9281805139</v>
      </c>
      <c r="Y35" s="1047"/>
      <c r="Z35" s="1047"/>
      <c r="AA35" s="1047"/>
      <c r="AB35" s="1047"/>
      <c r="AC35" s="1047"/>
      <c r="AD35" s="1047"/>
      <c r="AE35" s="1047"/>
      <c r="AF35" s="1047"/>
      <c r="AG35" s="1047"/>
    </row>
    <row r="36" spans="1:33">
      <c r="A36" s="735">
        <f t="shared" si="11"/>
        <v>3.0299999999999994</v>
      </c>
      <c r="B36" s="600"/>
      <c r="C36" s="659" t="s">
        <v>1100</v>
      </c>
      <c r="D36" s="601"/>
      <c r="E36" s="723" t="s">
        <v>250</v>
      </c>
      <c r="F36" s="601"/>
      <c r="G36" s="632">
        <f t="shared" ca="1" si="10"/>
        <v>1</v>
      </c>
      <c r="H36" s="601"/>
      <c r="I36" s="641">
        <v>493206</v>
      </c>
      <c r="J36" s="600"/>
      <c r="L36" s="641">
        <v>480381.19</v>
      </c>
      <c r="O36" s="641">
        <v>467556.04</v>
      </c>
      <c r="R36" s="641">
        <v>454730.87</v>
      </c>
      <c r="U36" s="641">
        <v>441906</v>
      </c>
      <c r="W36" s="737">
        <f t="shared" ca="1" si="12"/>
        <v>441906</v>
      </c>
      <c r="Y36" s="1047"/>
      <c r="Z36" s="1047"/>
      <c r="AA36" s="1047"/>
      <c r="AB36" s="1047"/>
      <c r="AC36" s="1047"/>
      <c r="AD36" s="1047"/>
      <c r="AE36" s="1047"/>
      <c r="AF36" s="1047"/>
      <c r="AG36" s="1047"/>
    </row>
    <row r="37" spans="1:33">
      <c r="A37" s="735">
        <f>A36+0.01</f>
        <v>3.0399999999999991</v>
      </c>
      <c r="B37" s="600"/>
      <c r="C37" s="659" t="s">
        <v>1132</v>
      </c>
      <c r="D37" s="630"/>
      <c r="E37" s="723" t="s">
        <v>250</v>
      </c>
      <c r="F37" s="17"/>
      <c r="G37" s="632">
        <f ca="1">IFERROR(INDIRECT(E37),0)</f>
        <v>1</v>
      </c>
      <c r="H37" s="749"/>
      <c r="I37" s="641">
        <v>10569375.831777306</v>
      </c>
      <c r="J37" s="600"/>
      <c r="L37" s="641">
        <v>10924196.71856463</v>
      </c>
      <c r="O37" s="641">
        <v>11279017.605351955</v>
      </c>
      <c r="R37" s="641">
        <v>11633838.49213928</v>
      </c>
      <c r="U37" s="641">
        <v>11988659.378926603</v>
      </c>
      <c r="W37" s="737">
        <f ca="1">U37*G37</f>
        <v>11988659.378926603</v>
      </c>
      <c r="Y37" s="1047"/>
      <c r="Z37" s="1047"/>
      <c r="AA37" s="1047"/>
      <c r="AB37" s="1047"/>
      <c r="AC37" s="1047"/>
      <c r="AD37" s="1047"/>
      <c r="AE37" s="1047"/>
      <c r="AF37" s="1047"/>
      <c r="AG37" s="1047"/>
    </row>
    <row r="38" spans="1:33">
      <c r="A38" s="735">
        <f t="shared" ref="A38:A39" si="13">A37+0.01</f>
        <v>3.0499999999999989</v>
      </c>
      <c r="B38" s="600"/>
      <c r="C38" s="659" t="s">
        <v>1103</v>
      </c>
      <c r="D38" s="630"/>
      <c r="E38" s="723" t="s">
        <v>1070</v>
      </c>
      <c r="F38" s="17"/>
      <c r="G38" s="632">
        <f ca="1">IFERROR(INDIRECT(E38),0)</f>
        <v>8.0618739267835124E-2</v>
      </c>
      <c r="H38" s="749"/>
      <c r="I38" s="641">
        <v>-2279165</v>
      </c>
      <c r="J38" s="600"/>
      <c r="L38" s="641">
        <v>3000069.16</v>
      </c>
      <c r="O38" s="641">
        <v>3712404.95</v>
      </c>
      <c r="R38" s="641">
        <v>4428260.57</v>
      </c>
      <c r="U38" s="641">
        <v>10456252</v>
      </c>
      <c r="W38" s="737">
        <f ca="1">U38*G38</f>
        <v>842969.85370677954</v>
      </c>
      <c r="Y38" s="1047"/>
      <c r="Z38" s="1047"/>
      <c r="AA38" s="1047"/>
      <c r="AB38" s="1047"/>
      <c r="AC38" s="1047"/>
      <c r="AD38" s="1047"/>
      <c r="AE38" s="1047"/>
      <c r="AF38" s="1047"/>
      <c r="AG38" s="1047"/>
    </row>
    <row r="39" spans="1:33">
      <c r="A39" s="735">
        <f t="shared" si="13"/>
        <v>3.0599999999999987</v>
      </c>
      <c r="B39" s="600"/>
      <c r="C39" s="659" t="s">
        <v>846</v>
      </c>
      <c r="D39" s="630"/>
      <c r="E39" s="600"/>
      <c r="F39" s="17"/>
      <c r="G39" s="753"/>
      <c r="H39" s="749"/>
      <c r="I39" s="737"/>
      <c r="J39" s="600"/>
      <c r="L39" s="737"/>
      <c r="O39" s="737"/>
      <c r="R39" s="737"/>
      <c r="U39" s="641">
        <v>-9570924.0910919718</v>
      </c>
      <c r="W39" s="737">
        <f>U39</f>
        <v>-9570924.0910919718</v>
      </c>
      <c r="Y39" s="1048"/>
      <c r="Z39" s="1047"/>
      <c r="AA39" s="1047"/>
      <c r="AB39" s="1047"/>
      <c r="AC39" s="1048"/>
      <c r="AD39" s="1047"/>
      <c r="AE39" s="1047"/>
      <c r="AF39" s="1047"/>
      <c r="AG39" s="1047"/>
    </row>
    <row r="40" spans="1:33">
      <c r="A40" s="601">
        <f>A32+1</f>
        <v>4</v>
      </c>
      <c r="B40" s="600"/>
      <c r="C40" s="630" t="str">
        <f ca="1">"Sum of Lines "&amp;A34&amp;" through "&amp;OFFSET(A40,-1,0)</f>
        <v>Sum of Lines 3.01 through 3.06</v>
      </c>
      <c r="E40" s="606"/>
      <c r="F40" s="606"/>
      <c r="G40" s="632"/>
      <c r="H40" s="601"/>
      <c r="I40" s="834">
        <f t="shared" ref="I40:V40" si="14">SUM(I34:I39)</f>
        <v>-6806398.0365631897</v>
      </c>
      <c r="J40" s="605">
        <f t="shared" si="14"/>
        <v>0</v>
      </c>
      <c r="K40" s="605">
        <f t="shared" si="14"/>
        <v>0</v>
      </c>
      <c r="L40" s="834">
        <f t="shared" si="14"/>
        <v>-610276.98418567143</v>
      </c>
      <c r="M40" s="834">
        <f t="shared" si="14"/>
        <v>0</v>
      </c>
      <c r="N40" s="834">
        <f t="shared" si="14"/>
        <v>0</v>
      </c>
      <c r="O40" s="834">
        <f t="shared" si="14"/>
        <v>1018945.3581918487</v>
      </c>
      <c r="P40" s="834">
        <f t="shared" si="14"/>
        <v>0</v>
      </c>
      <c r="Q40" s="834">
        <f t="shared" si="14"/>
        <v>0</v>
      </c>
      <c r="R40" s="834">
        <f t="shared" si="14"/>
        <v>2651687.5105693694</v>
      </c>
      <c r="S40" s="834">
        <f t="shared" si="14"/>
        <v>0</v>
      </c>
      <c r="T40" s="834">
        <f t="shared" si="14"/>
        <v>0</v>
      </c>
      <c r="U40" s="834">
        <f t="shared" si="14"/>
        <v>25641.681854918599</v>
      </c>
      <c r="V40" s="605">
        <f t="shared" si="14"/>
        <v>0</v>
      </c>
      <c r="W40" s="834">
        <f ca="1">SUM(W34:W39)</f>
        <v>-9587640.4644383024</v>
      </c>
      <c r="Y40" s="1048"/>
      <c r="Z40" s="1047"/>
      <c r="AA40" s="1047"/>
      <c r="AB40" s="1047"/>
      <c r="AC40" s="1047"/>
      <c r="AD40" s="1047"/>
      <c r="AE40" s="1047"/>
      <c r="AF40" s="1047"/>
      <c r="AG40" s="1047"/>
    </row>
    <row r="41" spans="1:33">
      <c r="B41" s="600"/>
      <c r="E41" s="600"/>
      <c r="F41" s="600"/>
      <c r="G41" s="785"/>
      <c r="H41" s="600"/>
      <c r="I41" s="692"/>
      <c r="J41" s="600"/>
      <c r="L41" s="737"/>
      <c r="O41" s="737"/>
      <c r="R41" s="737"/>
      <c r="U41" s="692"/>
      <c r="W41" s="737"/>
      <c r="Y41" s="600"/>
    </row>
    <row r="42" spans="1:33">
      <c r="A42" s="611">
        <f>A40+1</f>
        <v>5</v>
      </c>
      <c r="B42" s="609"/>
      <c r="C42" s="610" t="s">
        <v>726</v>
      </c>
      <c r="I42" s="642"/>
      <c r="K42" s="602"/>
      <c r="M42" s="602"/>
      <c r="N42" s="602"/>
      <c r="P42" s="602"/>
      <c r="Q42" s="602"/>
      <c r="S42" s="602"/>
      <c r="T42" s="602"/>
    </row>
    <row r="43" spans="1:33">
      <c r="C43" s="601"/>
      <c r="I43" s="642"/>
      <c r="K43" s="602"/>
      <c r="M43" s="602"/>
      <c r="N43" s="602"/>
      <c r="P43" s="602"/>
      <c r="Q43" s="602"/>
      <c r="S43" s="602"/>
      <c r="T43" s="602"/>
    </row>
    <row r="44" spans="1:33">
      <c r="A44" s="735">
        <f>A42+0.01</f>
        <v>5.01</v>
      </c>
      <c r="B44" s="600"/>
      <c r="C44" s="659"/>
      <c r="D44" s="630"/>
      <c r="E44" s="723"/>
      <c r="F44" s="630"/>
      <c r="G44" s="632">
        <f ca="1">IFERROR(INDIRECT(E44),0)</f>
        <v>0</v>
      </c>
      <c r="H44" s="749"/>
      <c r="I44" s="641"/>
      <c r="J44" s="600"/>
      <c r="L44" s="641"/>
      <c r="O44" s="641"/>
      <c r="R44" s="641"/>
      <c r="U44" s="641"/>
      <c r="W44" s="737">
        <f ca="1">U44*G44</f>
        <v>0</v>
      </c>
      <c r="Y44" s="600"/>
    </row>
    <row r="45" spans="1:33">
      <c r="A45" s="601">
        <f>A42+1</f>
        <v>6</v>
      </c>
      <c r="B45" s="600"/>
      <c r="C45" s="630" t="str">
        <f ca="1">"Sum of Lines "&amp;A44&amp;" through "&amp;OFFSET(A45,-1,0)</f>
        <v>Sum of Lines 5.01 through 5.01</v>
      </c>
      <c r="E45" s="606"/>
      <c r="F45" s="606"/>
      <c r="G45" s="759"/>
      <c r="H45" s="606"/>
      <c r="I45" s="605">
        <f>SUM(I44:I44)</f>
        <v>0</v>
      </c>
      <c r="J45" s="600"/>
      <c r="L45" s="605">
        <f>SUM(L44:L44)</f>
        <v>0</v>
      </c>
      <c r="O45" s="605">
        <f>SUM(O44:O44)</f>
        <v>0</v>
      </c>
      <c r="R45" s="605">
        <f>SUM(R44:R44)</f>
        <v>0</v>
      </c>
      <c r="U45" s="834">
        <f>SUM(U44:U44)</f>
        <v>0</v>
      </c>
      <c r="W45" s="834">
        <f ca="1">SUM(W44:W44)</f>
        <v>0</v>
      </c>
      <c r="Y45" s="600"/>
    </row>
    <row r="46" spans="1:33">
      <c r="B46" s="600"/>
      <c r="E46" s="600"/>
      <c r="F46" s="600"/>
      <c r="G46" s="642"/>
      <c r="H46" s="600"/>
      <c r="I46" s="692"/>
      <c r="J46" s="600"/>
      <c r="K46" s="737"/>
      <c r="L46" s="737"/>
      <c r="M46" s="737"/>
      <c r="N46" s="737"/>
      <c r="O46" s="737"/>
      <c r="P46" s="737"/>
      <c r="Q46" s="737"/>
      <c r="R46" s="737"/>
      <c r="S46" s="737"/>
      <c r="T46" s="737"/>
      <c r="U46" s="692"/>
      <c r="W46" s="737"/>
      <c r="Y46" s="600"/>
    </row>
    <row r="47" spans="1:33">
      <c r="B47" s="600"/>
      <c r="E47" s="600"/>
      <c r="F47" s="600"/>
      <c r="G47" s="642"/>
      <c r="H47" s="600"/>
      <c r="I47" s="692"/>
      <c r="J47" s="600"/>
      <c r="K47" s="737"/>
      <c r="L47" s="737"/>
      <c r="M47" s="737"/>
      <c r="N47" s="737"/>
      <c r="O47" s="737"/>
      <c r="P47" s="737"/>
      <c r="Q47" s="737"/>
      <c r="R47" s="737"/>
      <c r="S47" s="737"/>
      <c r="T47" s="737"/>
      <c r="U47" s="692"/>
      <c r="W47" s="737"/>
      <c r="Y47" s="600"/>
    </row>
    <row r="48" spans="1:33">
      <c r="A48" s="601">
        <f>A45+1</f>
        <v>7</v>
      </c>
      <c r="B48" s="600"/>
      <c r="C48" s="754" t="s">
        <v>779</v>
      </c>
      <c r="I48" s="642"/>
      <c r="K48" s="602"/>
      <c r="M48" s="602"/>
      <c r="N48" s="602"/>
      <c r="P48" s="602"/>
      <c r="Q48" s="602"/>
      <c r="S48" s="602"/>
      <c r="T48" s="602"/>
      <c r="Y48" s="600"/>
    </row>
    <row r="49" spans="1:71">
      <c r="B49" s="600"/>
      <c r="C49" s="601"/>
      <c r="I49" s="642"/>
      <c r="K49" s="602"/>
      <c r="M49" s="602"/>
      <c r="N49" s="602"/>
      <c r="P49" s="602"/>
      <c r="Q49" s="602"/>
      <c r="S49" s="602"/>
      <c r="T49" s="602"/>
      <c r="Y49" s="600"/>
    </row>
    <row r="50" spans="1:71">
      <c r="A50" s="735">
        <f>A48+0.01</f>
        <v>7.01</v>
      </c>
      <c r="B50" s="600"/>
      <c r="C50" s="659"/>
      <c r="D50" s="630"/>
      <c r="E50" s="723"/>
      <c r="F50" s="630"/>
      <c r="G50" s="632">
        <f ca="1">IFERROR(INDIRECT(E50),0)</f>
        <v>0</v>
      </c>
      <c r="H50" s="749"/>
      <c r="I50" s="641"/>
      <c r="J50" s="600"/>
      <c r="L50" s="641"/>
      <c r="O50" s="641"/>
      <c r="R50" s="641"/>
      <c r="U50" s="641"/>
      <c r="W50" s="737">
        <f ca="1">U50*G50</f>
        <v>0</v>
      </c>
      <c r="Y50" s="600"/>
    </row>
    <row r="51" spans="1:71">
      <c r="A51" s="601">
        <f>A48+1</f>
        <v>8</v>
      </c>
      <c r="C51" s="630" t="str">
        <f ca="1">"Sum of Lines "&amp;A50&amp;" through "&amp;OFFSET(A51,-1,0)</f>
        <v>Sum of Lines 7.01 through 7.01</v>
      </c>
      <c r="E51" s="606"/>
      <c r="F51" s="606"/>
      <c r="G51" s="759"/>
      <c r="H51" s="606"/>
      <c r="I51" s="605">
        <f>SUM(I50:I50)</f>
        <v>0</v>
      </c>
      <c r="J51" s="600"/>
      <c r="L51" s="605">
        <f>SUM(L50:L50)</f>
        <v>0</v>
      </c>
      <c r="O51" s="605">
        <f>SUM(O50:O50)</f>
        <v>0</v>
      </c>
      <c r="R51" s="605">
        <f>SUM(R50:R50)</f>
        <v>0</v>
      </c>
      <c r="U51" s="605">
        <f>SUM(U50:U50)</f>
        <v>0</v>
      </c>
      <c r="W51" s="834">
        <f ca="1">SUM(W50:W50)</f>
        <v>0</v>
      </c>
    </row>
    <row r="52" spans="1:71">
      <c r="E52" s="606"/>
      <c r="F52" s="606"/>
      <c r="G52" s="759"/>
      <c r="H52" s="606"/>
      <c r="I52" s="643"/>
      <c r="J52" s="600"/>
      <c r="L52" s="643"/>
      <c r="O52" s="643"/>
      <c r="R52" s="643"/>
      <c r="U52" s="643"/>
      <c r="W52" s="643"/>
    </row>
    <row r="53" spans="1:71">
      <c r="A53" s="611">
        <f>A51+1</f>
        <v>9</v>
      </c>
      <c r="B53" s="609"/>
      <c r="C53" s="754" t="s">
        <v>834</v>
      </c>
      <c r="I53" s="642"/>
    </row>
    <row r="54" spans="1:71">
      <c r="C54" s="601"/>
      <c r="I54" s="642"/>
    </row>
    <row r="55" spans="1:71">
      <c r="A55" s="735">
        <f>A53+0.01</f>
        <v>9.01</v>
      </c>
      <c r="B55" s="600"/>
      <c r="C55" s="659" t="s">
        <v>1134</v>
      </c>
      <c r="D55" s="630"/>
      <c r="E55" s="723" t="s">
        <v>250</v>
      </c>
      <c r="F55" s="630"/>
      <c r="G55" s="632">
        <f t="shared" ref="G55:G66" ca="1" si="15">IFERROR(INDIRECT(E55),0)</f>
        <v>1</v>
      </c>
      <c r="H55" s="749"/>
      <c r="I55" s="641">
        <v>82076988.440395892</v>
      </c>
      <c r="J55" s="600"/>
      <c r="L55" s="641">
        <v>84602410.419271961</v>
      </c>
      <c r="O55" s="641">
        <v>87127832.39814803</v>
      </c>
      <c r="R55" s="641">
        <v>89653254.377024099</v>
      </c>
      <c r="U55" s="641">
        <v>92178676.355900154</v>
      </c>
      <c r="W55" s="737">
        <f t="shared" ref="W55:W66" ca="1" si="16">U55*G55</f>
        <v>92178676.355900154</v>
      </c>
      <c r="Y55" s="1049"/>
      <c r="Z55" s="1047"/>
      <c r="AA55" s="1047"/>
      <c r="AB55" s="1047"/>
      <c r="AC55" s="1047"/>
      <c r="AD55" s="1047"/>
      <c r="AE55" s="1047"/>
      <c r="AF55" s="1047"/>
      <c r="AG55" s="1047"/>
      <c r="AH55" s="1047"/>
      <c r="AI55" s="1047"/>
      <c r="AJ55" s="1047"/>
      <c r="AK55" s="1047"/>
      <c r="AL55" s="1047"/>
      <c r="AM55" s="1047"/>
      <c r="AN55" s="1047"/>
      <c r="AO55" s="1047"/>
      <c r="AP55" s="1047"/>
      <c r="AQ55" s="1047"/>
      <c r="AR55" s="1047"/>
      <c r="AS55" s="1047"/>
      <c r="AT55" s="1047"/>
      <c r="AU55" s="1047"/>
      <c r="AV55" s="1047"/>
      <c r="AW55" s="1047"/>
      <c r="AX55" s="1047"/>
      <c r="AY55" s="1047"/>
      <c r="AZ55" s="1047"/>
      <c r="BA55" s="1047"/>
      <c r="BB55" s="1047"/>
      <c r="BC55" s="1047"/>
      <c r="BD55" s="1047"/>
      <c r="BE55" s="1047"/>
      <c r="BF55" s="1047"/>
      <c r="BG55" s="1047"/>
      <c r="BH55" s="1047"/>
      <c r="BI55" s="1047"/>
      <c r="BJ55" s="1047"/>
      <c r="BK55" s="1047"/>
      <c r="BL55" s="1047"/>
      <c r="BM55" s="1047"/>
      <c r="BN55" s="1047"/>
      <c r="BO55" s="1047"/>
      <c r="BP55" s="1047"/>
      <c r="BQ55" s="1047"/>
      <c r="BR55" s="1047"/>
      <c r="BS55" s="1047"/>
    </row>
    <row r="56" spans="1:71">
      <c r="A56" s="735">
        <f t="shared" ref="A56:A66" si="17">A55+0.01</f>
        <v>9.02</v>
      </c>
      <c r="B56" s="600"/>
      <c r="C56" s="659" t="s">
        <v>1135</v>
      </c>
      <c r="D56" s="630"/>
      <c r="E56" s="723" t="s">
        <v>250</v>
      </c>
      <c r="F56" s="630"/>
      <c r="G56" s="632">
        <f t="shared" ca="1" si="15"/>
        <v>1</v>
      </c>
      <c r="H56" s="749"/>
      <c r="I56" s="641">
        <v>297577686.16671795</v>
      </c>
      <c r="J56" s="600"/>
      <c r="L56" s="641">
        <v>299208796.33308113</v>
      </c>
      <c r="O56" s="641">
        <v>300839906.49944425</v>
      </c>
      <c r="R56" s="641">
        <v>302471016.66580737</v>
      </c>
      <c r="U56" s="641">
        <v>304102126.83217055</v>
      </c>
      <c r="W56" s="737">
        <f t="shared" ca="1" si="16"/>
        <v>304102126.83217055</v>
      </c>
      <c r="Y56" s="1049"/>
      <c r="Z56" s="1047"/>
      <c r="AA56" s="1047"/>
      <c r="AB56" s="1047"/>
      <c r="AC56" s="1047"/>
      <c r="AD56" s="1047"/>
      <c r="AE56" s="1047"/>
      <c r="AF56" s="1047"/>
      <c r="AG56" s="1047"/>
      <c r="AH56" s="1047"/>
      <c r="AI56" s="1047"/>
      <c r="AJ56" s="1047"/>
      <c r="AK56" s="1047"/>
      <c r="AL56" s="1047"/>
      <c r="AM56" s="1047"/>
      <c r="AN56" s="1047"/>
      <c r="AO56" s="1047"/>
      <c r="AP56" s="1047"/>
      <c r="AQ56" s="1047"/>
      <c r="AR56" s="1047"/>
      <c r="AS56" s="1047"/>
      <c r="AT56" s="1047"/>
      <c r="AU56" s="1047"/>
      <c r="AV56" s="1047"/>
      <c r="AW56" s="1047"/>
      <c r="AX56" s="1047"/>
      <c r="AY56" s="1047"/>
      <c r="AZ56" s="1047"/>
      <c r="BA56" s="1047"/>
      <c r="BB56" s="1047"/>
      <c r="BC56" s="1047"/>
      <c r="BD56" s="1047"/>
      <c r="BE56" s="1047"/>
      <c r="BF56" s="1047"/>
      <c r="BG56" s="1047"/>
      <c r="BH56" s="1047"/>
      <c r="BI56" s="1047"/>
      <c r="BJ56" s="1047"/>
      <c r="BK56" s="1047"/>
      <c r="BL56" s="1047"/>
      <c r="BM56" s="1047"/>
      <c r="BN56" s="1047"/>
      <c r="BO56" s="1047"/>
      <c r="BP56" s="1047"/>
      <c r="BQ56" s="1047"/>
      <c r="BR56" s="1047"/>
      <c r="BS56" s="1047"/>
    </row>
    <row r="57" spans="1:71">
      <c r="A57" s="735">
        <f t="shared" si="17"/>
        <v>9.0299999999999994</v>
      </c>
      <c r="B57" s="600"/>
      <c r="C57" s="659" t="s">
        <v>1136</v>
      </c>
      <c r="D57" s="630"/>
      <c r="E57" s="723" t="s">
        <v>250</v>
      </c>
      <c r="F57" s="630"/>
      <c r="G57" s="632">
        <f t="shared" ca="1" si="15"/>
        <v>1</v>
      </c>
      <c r="H57" s="749"/>
      <c r="I57" s="641">
        <v>7646960.1745195072</v>
      </c>
      <c r="J57" s="600"/>
      <c r="L57" s="641">
        <v>7698817.1973465811</v>
      </c>
      <c r="O57" s="641">
        <v>7750674.2201736551</v>
      </c>
      <c r="R57" s="641">
        <v>7802531.243000729</v>
      </c>
      <c r="U57" s="641">
        <v>7854388.2658278039</v>
      </c>
      <c r="W57" s="737">
        <f t="shared" ca="1" si="16"/>
        <v>7854388.2658278039</v>
      </c>
      <c r="Y57" s="1049"/>
      <c r="Z57" s="1047"/>
      <c r="AA57" s="1047"/>
      <c r="AB57" s="1047"/>
      <c r="AC57" s="1047"/>
      <c r="AD57" s="1047"/>
      <c r="AE57" s="1047"/>
      <c r="AF57" s="1047"/>
      <c r="AG57" s="1047"/>
      <c r="AH57" s="1047"/>
      <c r="AI57" s="1047"/>
      <c r="AJ57" s="1047"/>
      <c r="AK57" s="1047"/>
      <c r="AL57" s="1047"/>
      <c r="AM57" s="1047"/>
      <c r="AN57" s="1047"/>
      <c r="AO57" s="1047"/>
      <c r="AP57" s="1047"/>
      <c r="AQ57" s="1047"/>
      <c r="AR57" s="1047"/>
      <c r="AS57" s="1047"/>
      <c r="AT57" s="1047"/>
      <c r="AU57" s="1047"/>
      <c r="AV57" s="1047"/>
      <c r="AW57" s="1047"/>
      <c r="AX57" s="1047"/>
      <c r="AY57" s="1047"/>
      <c r="AZ57" s="1047"/>
      <c r="BA57" s="1047"/>
      <c r="BB57" s="1047"/>
      <c r="BC57" s="1047"/>
      <c r="BD57" s="1047"/>
      <c r="BE57" s="1047"/>
      <c r="BF57" s="1047"/>
      <c r="BG57" s="1047"/>
      <c r="BH57" s="1047"/>
      <c r="BI57" s="1047"/>
      <c r="BJ57" s="1047"/>
      <c r="BK57" s="1047"/>
      <c r="BL57" s="1047"/>
      <c r="BM57" s="1047"/>
      <c r="BN57" s="1047"/>
      <c r="BO57" s="1047"/>
      <c r="BP57" s="1047"/>
      <c r="BQ57" s="1047"/>
      <c r="BR57" s="1047"/>
      <c r="BS57" s="1047"/>
    </row>
    <row r="58" spans="1:71">
      <c r="A58" s="735">
        <f t="shared" si="17"/>
        <v>9.0399999999999991</v>
      </c>
      <c r="B58" s="600"/>
      <c r="C58" s="659" t="s">
        <v>1137</v>
      </c>
      <c r="D58" s="630"/>
      <c r="E58" s="723" t="s">
        <v>250</v>
      </c>
      <c r="F58" s="630"/>
      <c r="G58" s="632">
        <f t="shared" ca="1" si="15"/>
        <v>1</v>
      </c>
      <c r="H58" s="749"/>
      <c r="I58" s="641">
        <v>3947198.2236577715</v>
      </c>
      <c r="J58" s="600"/>
      <c r="L58" s="641">
        <v>3953946.7786265141</v>
      </c>
      <c r="O58" s="641">
        <v>3960695.3335952568</v>
      </c>
      <c r="R58" s="641">
        <v>3967443.8885639994</v>
      </c>
      <c r="U58" s="641">
        <v>3974192.4435327421</v>
      </c>
      <c r="W58" s="737">
        <f t="shared" ca="1" si="16"/>
        <v>3974192.4435327421</v>
      </c>
      <c r="Y58" s="1049"/>
      <c r="Z58" s="1047"/>
      <c r="AA58" s="1047"/>
      <c r="AB58" s="1047"/>
      <c r="AC58" s="1047"/>
      <c r="AD58" s="1047"/>
      <c r="AE58" s="1047"/>
      <c r="AF58" s="1047"/>
      <c r="AG58" s="1047"/>
      <c r="AH58" s="1047"/>
      <c r="AI58" s="1047"/>
      <c r="AJ58" s="1047"/>
      <c r="AK58" s="1047"/>
      <c r="AL58" s="1047"/>
      <c r="AM58" s="1047"/>
      <c r="AN58" s="1047"/>
      <c r="AO58" s="1047"/>
      <c r="AP58" s="1047"/>
      <c r="AQ58" s="1047"/>
      <c r="AR58" s="1047"/>
      <c r="AS58" s="1047"/>
      <c r="AT58" s="1047"/>
      <c r="AU58" s="1047"/>
      <c r="AV58" s="1047"/>
      <c r="AW58" s="1047"/>
      <c r="AX58" s="1047"/>
      <c r="AY58" s="1047"/>
      <c r="AZ58" s="1047"/>
      <c r="BA58" s="1047"/>
      <c r="BB58" s="1047"/>
      <c r="BC58" s="1047"/>
      <c r="BD58" s="1047"/>
      <c r="BE58" s="1047"/>
      <c r="BF58" s="1047"/>
      <c r="BG58" s="1047"/>
      <c r="BH58" s="1047"/>
      <c r="BI58" s="1047"/>
      <c r="BJ58" s="1047"/>
      <c r="BK58" s="1047"/>
      <c r="BL58" s="1047"/>
      <c r="BM58" s="1047"/>
      <c r="BN58" s="1047"/>
      <c r="BO58" s="1047"/>
      <c r="BP58" s="1047"/>
      <c r="BQ58" s="1047"/>
      <c r="BR58" s="1047"/>
      <c r="BS58" s="1047"/>
    </row>
    <row r="59" spans="1:71">
      <c r="A59" s="735">
        <f t="shared" si="17"/>
        <v>9.0499999999999989</v>
      </c>
      <c r="B59" s="600"/>
      <c r="C59" s="659" t="s">
        <v>1138</v>
      </c>
      <c r="D59" s="630"/>
      <c r="E59" s="723" t="s">
        <v>250</v>
      </c>
      <c r="F59" s="630"/>
      <c r="G59" s="632">
        <f t="shared" ca="1" si="15"/>
        <v>1</v>
      </c>
      <c r="H59" s="749"/>
      <c r="I59" s="641">
        <v>2726711.3800000064</v>
      </c>
      <c r="J59" s="600"/>
      <c r="L59" s="641">
        <v>2693289.4275000049</v>
      </c>
      <c r="O59" s="641">
        <v>2659867.4750000034</v>
      </c>
      <c r="R59" s="641">
        <v>2626445.5225000018</v>
      </c>
      <c r="U59" s="641">
        <v>2593023.5700000003</v>
      </c>
      <c r="W59" s="737">
        <f t="shared" ca="1" si="16"/>
        <v>2593023.5700000003</v>
      </c>
      <c r="Y59" s="1049"/>
      <c r="Z59" s="1047"/>
      <c r="AA59" s="1047"/>
      <c r="AB59" s="1047"/>
      <c r="AC59" s="1047"/>
      <c r="AD59" s="1047"/>
      <c r="AE59" s="1047"/>
      <c r="AF59" s="1047"/>
      <c r="AG59" s="1047"/>
      <c r="AH59" s="1047"/>
      <c r="AI59" s="1047"/>
      <c r="AJ59" s="1047"/>
      <c r="AK59" s="1047"/>
      <c r="AL59" s="1047"/>
      <c r="AM59" s="1047"/>
      <c r="AN59" s="1047"/>
      <c r="AO59" s="1047"/>
      <c r="AP59" s="1047"/>
      <c r="AQ59" s="1047"/>
      <c r="AR59" s="1047"/>
      <c r="AS59" s="1047"/>
      <c r="AT59" s="1047"/>
      <c r="AU59" s="1047"/>
      <c r="AV59" s="1047"/>
      <c r="AW59" s="1047"/>
      <c r="AX59" s="1047"/>
      <c r="AY59" s="1047"/>
      <c r="AZ59" s="1047"/>
      <c r="BA59" s="1047"/>
      <c r="BB59" s="1047"/>
      <c r="BC59" s="1047"/>
      <c r="BD59" s="1047"/>
      <c r="BE59" s="1047"/>
      <c r="BF59" s="1047"/>
      <c r="BG59" s="1047"/>
      <c r="BH59" s="1047"/>
      <c r="BI59" s="1047"/>
      <c r="BJ59" s="1047"/>
      <c r="BK59" s="1047"/>
      <c r="BL59" s="1047"/>
      <c r="BM59" s="1047"/>
      <c r="BN59" s="1047"/>
      <c r="BO59" s="1047"/>
      <c r="BP59" s="1047"/>
      <c r="BQ59" s="1047"/>
      <c r="BR59" s="1047"/>
      <c r="BS59" s="1047"/>
    </row>
    <row r="60" spans="1:71">
      <c r="A60" s="735">
        <f t="shared" si="17"/>
        <v>9.0599999999999987</v>
      </c>
      <c r="B60" s="600"/>
      <c r="C60" s="659" t="s">
        <v>1139</v>
      </c>
      <c r="D60" s="630"/>
      <c r="E60" s="723" t="s">
        <v>250</v>
      </c>
      <c r="F60" s="630"/>
      <c r="G60" s="632">
        <f t="shared" ca="1" si="15"/>
        <v>1</v>
      </c>
      <c r="H60" s="749"/>
      <c r="I60" s="641">
        <v>2497821.8200000008</v>
      </c>
      <c r="J60" s="600"/>
      <c r="L60" s="641">
        <v>1866458.6850000019</v>
      </c>
      <c r="O60" s="641">
        <v>1235095.5500000031</v>
      </c>
      <c r="R60" s="641">
        <v>603732.41500000434</v>
      </c>
      <c r="U60" s="641">
        <v>-27630.719999993948</v>
      </c>
      <c r="W60" s="737">
        <f t="shared" ca="1" si="16"/>
        <v>-27630.719999993948</v>
      </c>
      <c r="Y60" s="1049"/>
      <c r="Z60" s="1047"/>
      <c r="AA60" s="1047"/>
      <c r="AB60" s="1047"/>
      <c r="AC60" s="1047"/>
      <c r="AD60" s="1047"/>
      <c r="AE60" s="1047"/>
      <c r="AF60" s="1047"/>
      <c r="AG60" s="1047"/>
      <c r="AH60" s="1047"/>
      <c r="AI60" s="1047"/>
      <c r="AJ60" s="1047"/>
      <c r="AK60" s="1047"/>
      <c r="AL60" s="1047"/>
      <c r="AM60" s="1047"/>
      <c r="AN60" s="1047"/>
      <c r="AO60" s="1047"/>
      <c r="AP60" s="1047"/>
      <c r="AQ60" s="1047"/>
      <c r="AR60" s="1047"/>
      <c r="AS60" s="1047"/>
      <c r="AT60" s="1047"/>
      <c r="AU60" s="1047"/>
      <c r="AV60" s="1047"/>
      <c r="AW60" s="1047"/>
      <c r="AX60" s="1047"/>
      <c r="AY60" s="1047"/>
      <c r="AZ60" s="1047"/>
      <c r="BA60" s="1047"/>
      <c r="BB60" s="1047"/>
      <c r="BC60" s="1047"/>
      <c r="BD60" s="1047"/>
      <c r="BE60" s="1047"/>
      <c r="BF60" s="1047"/>
      <c r="BG60" s="1047"/>
      <c r="BH60" s="1047"/>
      <c r="BI60" s="1047"/>
      <c r="BJ60" s="1047"/>
      <c r="BK60" s="1047"/>
      <c r="BL60" s="1047"/>
      <c r="BM60" s="1047"/>
      <c r="BN60" s="1047"/>
      <c r="BO60" s="1047"/>
      <c r="BP60" s="1047"/>
      <c r="BQ60" s="1047"/>
      <c r="BR60" s="1047"/>
      <c r="BS60" s="1047"/>
    </row>
    <row r="61" spans="1:71">
      <c r="A61" s="735">
        <f t="shared" si="17"/>
        <v>9.0699999999999985</v>
      </c>
      <c r="B61" s="600"/>
      <c r="C61" s="659" t="s">
        <v>1140</v>
      </c>
      <c r="D61" s="630"/>
      <c r="E61" s="723" t="s">
        <v>250</v>
      </c>
      <c r="F61" s="630"/>
      <c r="G61" s="632">
        <f t="shared" ca="1" si="15"/>
        <v>1</v>
      </c>
      <c r="H61" s="749"/>
      <c r="I61" s="641">
        <v>181718.86354249986</v>
      </c>
      <c r="J61" s="600"/>
      <c r="L61" s="641">
        <v>127324.76973342462</v>
      </c>
      <c r="O61" s="641">
        <v>72930.675924349373</v>
      </c>
      <c r="R61" s="641">
        <v>18536.582115274126</v>
      </c>
      <c r="U61" s="641">
        <v>-35857.511693801134</v>
      </c>
      <c r="W61" s="737">
        <f t="shared" ca="1" si="16"/>
        <v>-35857.511693801134</v>
      </c>
      <c r="Y61" s="1049"/>
      <c r="Z61" s="1047"/>
      <c r="AA61" s="1047"/>
      <c r="AB61" s="1047"/>
      <c r="AC61" s="1047"/>
      <c r="AD61" s="1047"/>
      <c r="AE61" s="1047"/>
      <c r="AF61" s="1047"/>
      <c r="AG61" s="1047"/>
      <c r="AH61" s="1047"/>
      <c r="AI61" s="1047"/>
      <c r="AJ61" s="1047"/>
      <c r="AK61" s="1047"/>
      <c r="AL61" s="1047"/>
      <c r="AM61" s="1047"/>
      <c r="AN61" s="1047"/>
      <c r="AO61" s="1047"/>
      <c r="AP61" s="1047"/>
      <c r="AQ61" s="1047"/>
      <c r="AR61" s="1047"/>
      <c r="AS61" s="1047"/>
      <c r="AT61" s="1047"/>
      <c r="AU61" s="1047"/>
      <c r="AV61" s="1047"/>
      <c r="AW61" s="1047"/>
      <c r="AX61" s="1047"/>
      <c r="AY61" s="1047"/>
      <c r="AZ61" s="1047"/>
      <c r="BA61" s="1047"/>
      <c r="BB61" s="1047"/>
      <c r="BC61" s="1047"/>
      <c r="BD61" s="1047"/>
      <c r="BE61" s="1047"/>
      <c r="BF61" s="1047"/>
      <c r="BG61" s="1047"/>
      <c r="BH61" s="1047"/>
      <c r="BI61" s="1047"/>
      <c r="BJ61" s="1047"/>
      <c r="BK61" s="1047"/>
      <c r="BL61" s="1047"/>
      <c r="BM61" s="1047"/>
      <c r="BN61" s="1047"/>
      <c r="BO61" s="1047"/>
      <c r="BP61" s="1047"/>
      <c r="BQ61" s="1047"/>
      <c r="BR61" s="1047"/>
      <c r="BS61" s="1047"/>
    </row>
    <row r="62" spans="1:71">
      <c r="A62" s="735">
        <f t="shared" si="17"/>
        <v>9.0799999999999983</v>
      </c>
      <c r="B62" s="600"/>
      <c r="C62" s="659" t="s">
        <v>1141</v>
      </c>
      <c r="D62" s="630"/>
      <c r="E62" s="723" t="s">
        <v>250</v>
      </c>
      <c r="F62" s="630"/>
      <c r="G62" s="632">
        <f t="shared" ca="1" si="15"/>
        <v>1</v>
      </c>
      <c r="H62" s="749"/>
      <c r="I62" s="641">
        <v>1684353.2819840999</v>
      </c>
      <c r="J62" s="600"/>
      <c r="L62" s="641">
        <v>1711482.587977126</v>
      </c>
      <c r="O62" s="641">
        <v>1738611.8939701521</v>
      </c>
      <c r="R62" s="641">
        <v>1765741.1999631783</v>
      </c>
      <c r="U62" s="641">
        <v>1792870.5059562041</v>
      </c>
      <c r="W62" s="737">
        <f t="shared" ca="1" si="16"/>
        <v>1792870.5059562041</v>
      </c>
      <c r="Y62" s="1049"/>
      <c r="Z62" s="1047"/>
      <c r="AA62" s="1047"/>
      <c r="AB62" s="1047"/>
      <c r="AC62" s="1047"/>
      <c r="AD62" s="1047"/>
      <c r="AE62" s="1047"/>
      <c r="AF62" s="1047"/>
      <c r="AG62" s="1047"/>
      <c r="AH62" s="1047"/>
      <c r="AI62" s="1047"/>
      <c r="AJ62" s="1047"/>
      <c r="AK62" s="1047"/>
      <c r="AL62" s="1047"/>
      <c r="AM62" s="1047"/>
      <c r="AN62" s="1047"/>
      <c r="AO62" s="1047"/>
      <c r="AP62" s="1047"/>
      <c r="AQ62" s="1047"/>
      <c r="AR62" s="1047"/>
      <c r="AS62" s="1047"/>
      <c r="AT62" s="1047"/>
      <c r="AU62" s="1047"/>
      <c r="AV62" s="1047"/>
      <c r="AW62" s="1047"/>
      <c r="AX62" s="1047"/>
      <c r="AY62" s="1047"/>
      <c r="AZ62" s="1047"/>
      <c r="BA62" s="1047"/>
      <c r="BB62" s="1047"/>
      <c r="BC62" s="1047"/>
      <c r="BD62" s="1047"/>
      <c r="BE62" s="1047"/>
      <c r="BF62" s="1047"/>
      <c r="BG62" s="1047"/>
      <c r="BH62" s="1047"/>
      <c r="BI62" s="1047"/>
      <c r="BJ62" s="1047"/>
      <c r="BK62" s="1047"/>
      <c r="BL62" s="1047"/>
      <c r="BM62" s="1047"/>
      <c r="BN62" s="1047"/>
      <c r="BO62" s="1047"/>
      <c r="BP62" s="1047"/>
      <c r="BQ62" s="1047"/>
      <c r="BR62" s="1047"/>
      <c r="BS62" s="1047"/>
    </row>
    <row r="63" spans="1:71">
      <c r="A63" s="735">
        <f t="shared" si="17"/>
        <v>9.0899999999999981</v>
      </c>
      <c r="B63" s="600"/>
      <c r="C63" s="659" t="s">
        <v>1142</v>
      </c>
      <c r="D63" s="630"/>
      <c r="E63" s="723" t="s">
        <v>250</v>
      </c>
      <c r="F63" s="630"/>
      <c r="G63" s="632">
        <f t="shared" ca="1" si="15"/>
        <v>1</v>
      </c>
      <c r="H63" s="749"/>
      <c r="I63" s="641">
        <v>14214954.097225644</v>
      </c>
      <c r="J63" s="600"/>
      <c r="L63" s="641">
        <v>14154146.01487609</v>
      </c>
      <c r="O63" s="641">
        <v>14093337.932526536</v>
      </c>
      <c r="R63" s="641">
        <v>14032529.850176983</v>
      </c>
      <c r="U63" s="641">
        <v>13971721.767827429</v>
      </c>
      <c r="W63" s="737">
        <f ca="1">U63*G63</f>
        <v>13971721.767827429</v>
      </c>
      <c r="Y63" s="1049"/>
      <c r="Z63" s="1047"/>
      <c r="AA63" s="1047"/>
      <c r="AB63" s="1047"/>
      <c r="AC63" s="1047"/>
      <c r="AD63" s="1047"/>
      <c r="AE63" s="1047"/>
      <c r="AF63" s="1047"/>
      <c r="AG63" s="1047"/>
      <c r="AH63" s="1047"/>
      <c r="AI63" s="1047"/>
      <c r="AJ63" s="1047"/>
      <c r="AK63" s="1047"/>
      <c r="AL63" s="1047"/>
      <c r="AM63" s="1047"/>
      <c r="AN63" s="1047"/>
      <c r="AO63" s="1047"/>
      <c r="AP63" s="1047"/>
      <c r="AQ63" s="1047"/>
      <c r="AR63" s="1047"/>
      <c r="AS63" s="1047"/>
      <c r="AT63" s="1047"/>
      <c r="AU63" s="1047"/>
      <c r="AV63" s="1047"/>
      <c r="AW63" s="1047"/>
      <c r="AX63" s="1047"/>
      <c r="AY63" s="1047"/>
      <c r="AZ63" s="1047"/>
      <c r="BA63" s="1047"/>
      <c r="BB63" s="1047"/>
      <c r="BC63" s="1047"/>
      <c r="BD63" s="1047"/>
      <c r="BE63" s="1047"/>
      <c r="BF63" s="1047"/>
      <c r="BG63" s="1047"/>
      <c r="BH63" s="1047"/>
      <c r="BI63" s="1047"/>
      <c r="BJ63" s="1047"/>
      <c r="BK63" s="1047"/>
      <c r="BL63" s="1047"/>
      <c r="BM63" s="1047"/>
      <c r="BN63" s="1047"/>
      <c r="BO63" s="1047"/>
      <c r="BP63" s="1047"/>
      <c r="BQ63" s="1047"/>
      <c r="BR63" s="1047"/>
      <c r="BS63" s="1047"/>
    </row>
    <row r="64" spans="1:71">
      <c r="A64" s="735">
        <f t="shared" si="17"/>
        <v>9.0999999999999979</v>
      </c>
      <c r="B64" s="600"/>
      <c r="C64" s="659" t="s">
        <v>1143</v>
      </c>
      <c r="D64" s="630"/>
      <c r="E64" s="723" t="s">
        <v>250</v>
      </c>
      <c r="F64" s="630"/>
      <c r="G64" s="632">
        <f t="shared" ca="1" si="15"/>
        <v>1</v>
      </c>
      <c r="H64" s="749"/>
      <c r="I64" s="641">
        <v>44882259.109328397</v>
      </c>
      <c r="J64" s="600"/>
      <c r="L64" s="641">
        <v>45750180.502202652</v>
      </c>
      <c r="O64" s="641">
        <v>46618101.895076908</v>
      </c>
      <c r="R64" s="641">
        <v>47486023.287951164</v>
      </c>
      <c r="U64" s="641">
        <v>48353944.680825427</v>
      </c>
      <c r="W64" s="737">
        <f t="shared" ca="1" si="16"/>
        <v>48353944.680825427</v>
      </c>
      <c r="Y64" s="1049"/>
      <c r="Z64" s="1047"/>
      <c r="AA64" s="1047"/>
      <c r="AB64" s="1047"/>
      <c r="AC64" s="1047"/>
      <c r="AD64" s="1047"/>
      <c r="AE64" s="1047"/>
      <c r="AF64" s="1047"/>
      <c r="AG64" s="1047"/>
      <c r="AH64" s="1047"/>
      <c r="AI64" s="1047"/>
      <c r="AJ64" s="1047"/>
      <c r="AK64" s="1047"/>
      <c r="AL64" s="1047"/>
      <c r="AM64" s="1047"/>
      <c r="AN64" s="1047"/>
      <c r="AO64" s="1047"/>
      <c r="AP64" s="1047"/>
      <c r="AQ64" s="1047"/>
      <c r="AR64" s="1047"/>
      <c r="AS64" s="1047"/>
      <c r="AT64" s="1047"/>
      <c r="AU64" s="1047"/>
      <c r="AV64" s="1047"/>
      <c r="AW64" s="1047"/>
      <c r="AX64" s="1047"/>
      <c r="AY64" s="1047"/>
      <c r="AZ64" s="1047"/>
      <c r="BA64" s="1047"/>
      <c r="BB64" s="1047"/>
      <c r="BC64" s="1047"/>
      <c r="BD64" s="1047"/>
      <c r="BE64" s="1047"/>
      <c r="BF64" s="1047"/>
      <c r="BG64" s="1047"/>
      <c r="BH64" s="1047"/>
      <c r="BI64" s="1047"/>
      <c r="BJ64" s="1047"/>
      <c r="BK64" s="1047"/>
      <c r="BL64" s="1047"/>
      <c r="BM64" s="1047"/>
      <c r="BN64" s="1047"/>
      <c r="BO64" s="1047"/>
      <c r="BP64" s="1047"/>
      <c r="BQ64" s="1047"/>
      <c r="BR64" s="1047"/>
      <c r="BS64" s="1047"/>
    </row>
    <row r="65" spans="1:71" ht="15.6" customHeight="1">
      <c r="A65" s="735">
        <f t="shared" si="17"/>
        <v>9.1099999999999977</v>
      </c>
      <c r="B65" s="600"/>
      <c r="C65" s="659" t="s">
        <v>1155</v>
      </c>
      <c r="D65" s="630"/>
      <c r="E65" s="723" t="s">
        <v>250</v>
      </c>
      <c r="F65" s="630"/>
      <c r="G65" s="632">
        <f t="shared" ca="1" si="15"/>
        <v>1</v>
      </c>
      <c r="H65" s="749"/>
      <c r="I65" s="641">
        <v>-23170722.140000001</v>
      </c>
      <c r="J65" s="600"/>
      <c r="L65" s="641">
        <v>-21896815.305</v>
      </c>
      <c r="O65" s="641">
        <v>-20622908.469999999</v>
      </c>
      <c r="R65" s="641">
        <v>-19349001.634999998</v>
      </c>
      <c r="U65" s="641">
        <v>-18075094.800000001</v>
      </c>
      <c r="W65" s="737">
        <f ca="1">U65*G65</f>
        <v>-18075094.800000001</v>
      </c>
      <c r="Y65" s="1050"/>
      <c r="Z65" s="1050"/>
      <c r="AA65" s="1050"/>
      <c r="AB65" s="1050"/>
      <c r="AC65" s="1050"/>
      <c r="AD65" s="1050"/>
      <c r="AE65" s="1050"/>
      <c r="AF65" s="1050"/>
      <c r="AG65" s="1050"/>
      <c r="AH65" s="1050"/>
      <c r="AI65" s="1050"/>
      <c r="AJ65" s="1050"/>
      <c r="AK65" s="1050"/>
      <c r="AL65" s="1050"/>
      <c r="AM65" s="1050"/>
      <c r="AN65" s="1050"/>
      <c r="AO65" s="1050"/>
      <c r="AP65" s="1050"/>
      <c r="AQ65" s="1050"/>
      <c r="AR65" s="1050"/>
      <c r="AS65" s="1050"/>
      <c r="AT65" s="1050"/>
      <c r="AU65" s="1050"/>
      <c r="AV65" s="1050"/>
      <c r="AW65" s="1050"/>
      <c r="AX65" s="1050"/>
      <c r="AY65" s="1050"/>
      <c r="AZ65" s="1050"/>
      <c r="BA65" s="1050"/>
      <c r="BB65" s="1050"/>
      <c r="BC65" s="1050"/>
      <c r="BD65" s="1050"/>
      <c r="BE65" s="1050"/>
      <c r="BF65" s="1050"/>
      <c r="BG65" s="1050"/>
      <c r="BH65" s="1050"/>
      <c r="BI65" s="1050"/>
      <c r="BJ65" s="1050"/>
      <c r="BK65" s="1050"/>
      <c r="BL65" s="1050"/>
      <c r="BM65" s="1050"/>
      <c r="BN65" s="1050"/>
      <c r="BO65" s="1050"/>
      <c r="BP65" s="1050"/>
      <c r="BQ65" s="1050"/>
      <c r="BR65" s="1050"/>
      <c r="BS65" s="1050"/>
    </row>
    <row r="66" spans="1:71">
      <c r="A66" s="735">
        <f t="shared" si="17"/>
        <v>9.1199999999999974</v>
      </c>
      <c r="B66" s="600"/>
      <c r="C66" s="659" t="s">
        <v>1133</v>
      </c>
      <c r="D66" s="630"/>
      <c r="E66" s="723" t="s">
        <v>250</v>
      </c>
      <c r="F66" s="630"/>
      <c r="G66" s="632">
        <f t="shared" ca="1" si="15"/>
        <v>1</v>
      </c>
      <c r="H66" s="749"/>
      <c r="I66" s="641">
        <v>-117312508.99694723</v>
      </c>
      <c r="J66" s="600"/>
      <c r="L66" s="641">
        <v>-116569314.12028904</v>
      </c>
      <c r="O66" s="641">
        <v>-115826119.24363086</v>
      </c>
      <c r="R66" s="641">
        <v>-115082924.36697267</v>
      </c>
      <c r="U66" s="641">
        <v>-114339729.49031448</v>
      </c>
      <c r="W66" s="737">
        <f t="shared" ca="1" si="16"/>
        <v>-114339729.49031448</v>
      </c>
      <c r="Y66" s="1049"/>
      <c r="Z66" s="1047"/>
      <c r="AA66" s="1047"/>
      <c r="AB66" s="1047"/>
      <c r="AC66" s="1047"/>
      <c r="AD66" s="1047"/>
      <c r="AE66" s="1047"/>
      <c r="AF66" s="1047"/>
      <c r="AG66" s="1047"/>
      <c r="AH66" s="1047"/>
      <c r="AI66" s="1047"/>
      <c r="AJ66" s="1047"/>
      <c r="AK66" s="1047"/>
      <c r="AL66" s="1047"/>
      <c r="AM66" s="1047"/>
      <c r="AN66" s="1047"/>
      <c r="AO66" s="1047"/>
      <c r="AP66" s="1047"/>
      <c r="AQ66" s="1047"/>
      <c r="AR66" s="1047"/>
      <c r="AS66" s="1047"/>
      <c r="AT66" s="1047"/>
      <c r="AU66" s="1047"/>
      <c r="AV66" s="1047"/>
      <c r="AW66" s="1047"/>
      <c r="AX66" s="1047"/>
      <c r="AY66" s="1047"/>
      <c r="AZ66" s="1047"/>
      <c r="BA66" s="1047"/>
      <c r="BB66" s="1047"/>
      <c r="BC66" s="1047"/>
      <c r="BD66" s="1047"/>
      <c r="BE66" s="1047"/>
      <c r="BF66" s="1047"/>
      <c r="BG66" s="1047"/>
      <c r="BH66" s="1047"/>
      <c r="BI66" s="1047"/>
      <c r="BJ66" s="1047"/>
      <c r="BK66" s="1047"/>
      <c r="BL66" s="1047"/>
      <c r="BM66" s="1047"/>
      <c r="BN66" s="1047"/>
      <c r="BO66" s="1047"/>
      <c r="BP66" s="1047"/>
      <c r="BQ66" s="1047"/>
      <c r="BR66" s="1047"/>
      <c r="BS66" s="1047"/>
    </row>
    <row r="67" spans="1:71">
      <c r="A67" s="601">
        <f>A53+1</f>
        <v>10</v>
      </c>
      <c r="B67" s="600"/>
      <c r="C67" s="630" t="str">
        <f ca="1">"Sum of Lines "&amp;A55&amp;" through "&amp;OFFSET(A67,-1,0)</f>
        <v>Sum of Lines 9.01 through 9.12</v>
      </c>
      <c r="E67" s="606"/>
      <c r="F67" s="606"/>
      <c r="G67" s="759"/>
      <c r="H67" s="606"/>
      <c r="I67" s="605">
        <f>SUM(I55:I66)</f>
        <v>316953420.42042452</v>
      </c>
      <c r="J67" s="600"/>
      <c r="L67" s="605">
        <f>SUM(L55:L66)</f>
        <v>323300723.29032636</v>
      </c>
      <c r="O67" s="605">
        <f>SUM(O55:O66)</f>
        <v>329648026.16022837</v>
      </c>
      <c r="R67" s="605">
        <f>SUM(R55:R66)</f>
        <v>335995329.03013015</v>
      </c>
      <c r="U67" s="605">
        <f>SUM(U55:U66)</f>
        <v>342342631.9000321</v>
      </c>
      <c r="W67" s="834">
        <f ca="1">SUM(W55:W66)</f>
        <v>342342631.9000321</v>
      </c>
      <c r="X67" s="600">
        <f>SUM(X55:X66)</f>
        <v>0</v>
      </c>
      <c r="Y67" s="600"/>
    </row>
    <row r="68" spans="1:71">
      <c r="B68" s="600"/>
      <c r="E68" s="600"/>
      <c r="F68" s="600"/>
      <c r="G68" s="642"/>
      <c r="H68" s="600"/>
      <c r="I68" s="692"/>
      <c r="J68" s="600"/>
      <c r="T68" s="621"/>
      <c r="U68" s="692"/>
      <c r="W68" s="602"/>
      <c r="Y68" s="600"/>
    </row>
    <row r="69" spans="1:71">
      <c r="B69" s="600"/>
      <c r="E69" s="600"/>
      <c r="F69" s="600"/>
      <c r="G69" s="785"/>
      <c r="H69" s="600"/>
      <c r="I69" s="692"/>
      <c r="J69" s="600"/>
      <c r="L69" s="737"/>
      <c r="O69" s="737"/>
      <c r="R69" s="737"/>
      <c r="T69" s="691"/>
      <c r="U69" s="692"/>
      <c r="W69" s="737"/>
      <c r="Y69" s="600"/>
    </row>
    <row r="70" spans="1:71">
      <c r="A70" s="601">
        <f>A67+1</f>
        <v>11</v>
      </c>
      <c r="B70" s="600"/>
      <c r="C70" s="754" t="s">
        <v>780</v>
      </c>
      <c r="D70" s="609"/>
      <c r="E70" s="609"/>
      <c r="F70" s="609"/>
      <c r="G70" s="609"/>
      <c r="H70" s="609"/>
      <c r="I70" s="609"/>
      <c r="J70" s="609"/>
      <c r="K70" s="609"/>
      <c r="L70" s="608"/>
      <c r="M70" s="609"/>
      <c r="N70" s="609"/>
      <c r="O70" s="608"/>
      <c r="P70" s="609"/>
      <c r="Q70" s="609"/>
      <c r="R70" s="608"/>
      <c r="S70" s="609"/>
      <c r="T70" s="609"/>
      <c r="U70" s="608"/>
      <c r="V70" s="609"/>
      <c r="W70" s="608"/>
      <c r="Y70" s="606"/>
    </row>
    <row r="71" spans="1:71">
      <c r="B71" s="600"/>
      <c r="C71" s="601"/>
      <c r="D71" s="601"/>
      <c r="E71" s="601"/>
      <c r="F71" s="601"/>
      <c r="G71" s="601"/>
      <c r="H71" s="601"/>
      <c r="I71" s="601"/>
      <c r="J71" s="601"/>
      <c r="K71" s="601"/>
      <c r="L71" s="601"/>
      <c r="M71" s="601"/>
      <c r="N71" s="601"/>
      <c r="O71" s="601"/>
      <c r="P71" s="601"/>
      <c r="Q71" s="601"/>
      <c r="R71" s="601"/>
      <c r="S71" s="601"/>
      <c r="T71" s="601"/>
      <c r="V71" s="601"/>
      <c r="Y71" s="606"/>
    </row>
    <row r="72" spans="1:71">
      <c r="A72" s="735">
        <f>A70+0.01</f>
        <v>11.01</v>
      </c>
      <c r="B72" s="600"/>
      <c r="C72" s="659" t="s">
        <v>1105</v>
      </c>
      <c r="D72" s="601"/>
      <c r="E72" s="723" t="s">
        <v>250</v>
      </c>
      <c r="F72" s="601"/>
      <c r="G72" s="753">
        <f t="shared" ref="G72" ca="1" si="18">IFERROR(INDIRECT(E72),0)</f>
        <v>1</v>
      </c>
      <c r="H72" s="601"/>
      <c r="I72" s="641">
        <v>-202.00906199999736</v>
      </c>
      <c r="J72" s="600"/>
      <c r="L72" s="641">
        <v>-191.90860889999749</v>
      </c>
      <c r="O72" s="641">
        <v>-181.80815579999762</v>
      </c>
      <c r="R72" s="641">
        <v>-171.70770269999048</v>
      </c>
      <c r="U72" s="641">
        <v>-161.60724959999789</v>
      </c>
      <c r="W72" s="737">
        <f ca="1">U72*G72</f>
        <v>-161.60724959999789</v>
      </c>
      <c r="Y72" s="1046"/>
      <c r="Z72" s="1046"/>
      <c r="AA72" s="1046"/>
      <c r="AB72" s="1046"/>
      <c r="AC72" s="1046"/>
      <c r="AD72" s="1046"/>
      <c r="AE72" s="1046"/>
      <c r="AF72" s="1047"/>
      <c r="AG72" s="1047"/>
    </row>
    <row r="73" spans="1:71">
      <c r="A73" s="735">
        <f t="shared" ref="A73:A76" si="19">A72+0.01</f>
        <v>11.02</v>
      </c>
      <c r="B73" s="600"/>
      <c r="C73" s="659" t="s">
        <v>1133</v>
      </c>
      <c r="D73" s="601"/>
      <c r="E73" s="723" t="s">
        <v>250</v>
      </c>
      <c r="F73" s="601"/>
      <c r="G73" s="753">
        <f ca="1">IFERROR(INDIRECT(E73),0)</f>
        <v>1</v>
      </c>
      <c r="H73" s="601"/>
      <c r="I73" s="641">
        <v>-117312508.99694723</v>
      </c>
      <c r="J73" s="600"/>
      <c r="L73" s="641">
        <v>-116569314.12028904</v>
      </c>
      <c r="O73" s="641">
        <v>-115826119.24363086</v>
      </c>
      <c r="R73" s="641">
        <v>-115082924.36697267</v>
      </c>
      <c r="U73" s="641">
        <v>-114339729.49031448</v>
      </c>
      <c r="W73" s="737">
        <f ca="1">U73*G73</f>
        <v>-114339729.49031448</v>
      </c>
      <c r="Y73" s="1047"/>
      <c r="Z73" s="1047"/>
      <c r="AA73" s="1047"/>
      <c r="AB73" s="1047"/>
      <c r="AC73" s="1047"/>
      <c r="AD73" s="1047"/>
      <c r="AE73" s="1047"/>
      <c r="AF73" s="1047"/>
      <c r="AG73" s="1047"/>
    </row>
    <row r="74" spans="1:71">
      <c r="A74" s="735">
        <f t="shared" si="19"/>
        <v>11.03</v>
      </c>
      <c r="B74" s="600"/>
      <c r="C74" s="659" t="s">
        <v>1137</v>
      </c>
      <c r="D74" s="601"/>
      <c r="E74" s="723" t="s">
        <v>250</v>
      </c>
      <c r="F74" s="601"/>
      <c r="G74" s="632">
        <f t="shared" ref="G74:G75" ca="1" si="20">IFERROR(INDIRECT(E74),0)</f>
        <v>1</v>
      </c>
      <c r="H74" s="601"/>
      <c r="I74" s="641">
        <v>3947198.2236577715</v>
      </c>
      <c r="J74" s="600"/>
      <c r="L74" s="641">
        <v>3953946.7786265141</v>
      </c>
      <c r="O74" s="641">
        <v>3960695.3335952568</v>
      </c>
      <c r="R74" s="641">
        <v>3967443.8885639994</v>
      </c>
      <c r="U74" s="641">
        <v>3974192.4435327421</v>
      </c>
      <c r="W74" s="737">
        <f t="shared" ref="W74:W75" ca="1" si="21">U74*G74</f>
        <v>3974192.4435327421</v>
      </c>
      <c r="Y74" s="1047"/>
      <c r="Z74" s="1047"/>
      <c r="AA74" s="1047"/>
      <c r="AB74" s="1047"/>
      <c r="AC74" s="1047"/>
      <c r="AD74" s="1047"/>
      <c r="AE74" s="1047"/>
      <c r="AF74" s="1047"/>
      <c r="AG74" s="1047"/>
    </row>
    <row r="75" spans="1:71">
      <c r="A75" s="735">
        <f t="shared" si="19"/>
        <v>11.04</v>
      </c>
      <c r="B75" s="600"/>
      <c r="C75" s="659" t="s">
        <v>1148</v>
      </c>
      <c r="D75" s="601"/>
      <c r="E75" s="723" t="s">
        <v>250</v>
      </c>
      <c r="F75" s="601"/>
      <c r="G75" s="632">
        <f t="shared" ca="1" si="20"/>
        <v>1</v>
      </c>
      <c r="H75" s="601"/>
      <c r="I75" s="641">
        <v>181718.86354249986</v>
      </c>
      <c r="J75" s="600"/>
      <c r="L75" s="641">
        <v>127324.76973342462</v>
      </c>
      <c r="O75" s="641">
        <v>72930.675924349373</v>
      </c>
      <c r="R75" s="641">
        <v>18536.582115274126</v>
      </c>
      <c r="U75" s="641">
        <v>-35857.511693801134</v>
      </c>
      <c r="W75" s="737">
        <f t="shared" ca="1" si="21"/>
        <v>-35857.511693801134</v>
      </c>
      <c r="Y75" s="1047"/>
      <c r="Z75" s="1047"/>
      <c r="AA75" s="1047"/>
      <c r="AB75" s="1047"/>
      <c r="AC75" s="1047"/>
      <c r="AD75" s="1047"/>
      <c r="AE75" s="1047"/>
      <c r="AF75" s="1047"/>
      <c r="AG75" s="1047"/>
    </row>
    <row r="76" spans="1:71">
      <c r="A76" s="735">
        <f t="shared" si="19"/>
        <v>11.049999999999999</v>
      </c>
      <c r="B76" s="600"/>
      <c r="C76" s="659" t="s">
        <v>846</v>
      </c>
      <c r="D76" s="630"/>
      <c r="E76" s="609"/>
      <c r="F76" s="17"/>
      <c r="G76" s="753"/>
      <c r="H76" s="749"/>
      <c r="I76" s="737"/>
      <c r="J76" s="600"/>
      <c r="L76" s="737"/>
      <c r="O76" s="737"/>
      <c r="R76" s="737"/>
      <c r="U76" s="641">
        <v>12511797.868814364</v>
      </c>
      <c r="W76" s="737">
        <f>U76</f>
        <v>12511797.868814364</v>
      </c>
      <c r="Y76" s="1048"/>
      <c r="Z76" s="1047"/>
      <c r="AA76" s="1047"/>
      <c r="AB76" s="1047"/>
      <c r="AC76" s="1047"/>
      <c r="AD76" s="1047"/>
      <c r="AE76" s="1047"/>
      <c r="AF76" s="1047"/>
      <c r="AG76" s="1047"/>
    </row>
    <row r="77" spans="1:71">
      <c r="A77" s="601">
        <f>A70+1</f>
        <v>12</v>
      </c>
      <c r="B77" s="600"/>
      <c r="C77" s="630" t="str">
        <f ca="1">"Sum of Lines "&amp;A72&amp;" through "&amp;OFFSET(A77,-1,0)</f>
        <v>Sum of Lines 11.01 through 11.05</v>
      </c>
      <c r="E77" s="606"/>
      <c r="F77" s="606"/>
      <c r="G77" s="632"/>
      <c r="H77" s="601"/>
      <c r="I77" s="834">
        <f t="shared" ref="I77:W77" si="22">SUM(I72:I76)</f>
        <v>-113183793.91880897</v>
      </c>
      <c r="J77" s="834">
        <f t="shared" si="22"/>
        <v>0</v>
      </c>
      <c r="K77" s="834">
        <f t="shared" si="22"/>
        <v>0</v>
      </c>
      <c r="L77" s="834">
        <f t="shared" si="22"/>
        <v>-112488234.480538</v>
      </c>
      <c r="M77" s="834">
        <f t="shared" si="22"/>
        <v>0</v>
      </c>
      <c r="N77" s="834">
        <f t="shared" si="22"/>
        <v>0</v>
      </c>
      <c r="O77" s="834">
        <f t="shared" si="22"/>
        <v>-111792675.04226705</v>
      </c>
      <c r="P77" s="834">
        <f t="shared" si="22"/>
        <v>0</v>
      </c>
      <c r="Q77" s="834">
        <f t="shared" si="22"/>
        <v>0</v>
      </c>
      <c r="R77" s="834">
        <f t="shared" si="22"/>
        <v>-111097115.60399608</v>
      </c>
      <c r="S77" s="834">
        <f t="shared" si="22"/>
        <v>0</v>
      </c>
      <c r="T77" s="834">
        <f t="shared" si="22"/>
        <v>0</v>
      </c>
      <c r="U77" s="834">
        <f t="shared" si="22"/>
        <v>-97889758.296910793</v>
      </c>
      <c r="V77" s="605">
        <f t="shared" si="22"/>
        <v>0</v>
      </c>
      <c r="W77" s="834">
        <f t="shared" ca="1" si="22"/>
        <v>-97889758.296910793</v>
      </c>
      <c r="Y77" s="1048"/>
      <c r="Z77" s="1047"/>
      <c r="AA77" s="1047"/>
      <c r="AB77" s="1047"/>
      <c r="AC77" s="1048"/>
      <c r="AD77" s="1047"/>
      <c r="AE77" s="1047"/>
      <c r="AF77" s="1047"/>
      <c r="AG77" s="1047"/>
    </row>
    <row r="78" spans="1:71">
      <c r="I78" s="642"/>
      <c r="Y78" s="1051"/>
      <c r="Z78" s="1047"/>
      <c r="AA78" s="1047"/>
      <c r="AB78" s="1047"/>
      <c r="AC78" s="1047"/>
      <c r="AD78" s="1047"/>
      <c r="AE78" s="1047"/>
      <c r="AF78" s="1047"/>
      <c r="AG78" s="1047"/>
    </row>
    <row r="79" spans="1:71">
      <c r="A79" s="611">
        <f>A77+1</f>
        <v>13</v>
      </c>
      <c r="B79" s="609"/>
      <c r="C79" s="754" t="s">
        <v>835</v>
      </c>
      <c r="D79" s="609"/>
      <c r="E79" s="609"/>
      <c r="F79" s="609"/>
      <c r="G79" s="609"/>
      <c r="H79" s="609"/>
      <c r="I79" s="760"/>
      <c r="J79" s="609"/>
      <c r="K79" s="602"/>
      <c r="M79" s="602"/>
      <c r="N79" s="602"/>
      <c r="P79" s="602"/>
      <c r="Q79" s="602"/>
      <c r="S79" s="602"/>
      <c r="T79" s="602"/>
      <c r="U79" s="608"/>
      <c r="V79" s="607"/>
      <c r="W79" s="608"/>
      <c r="X79" s="607"/>
      <c r="Y79" s="1052"/>
      <c r="Z79" s="1052"/>
      <c r="AA79" s="1047"/>
      <c r="AB79" s="1047"/>
      <c r="AC79" s="1047"/>
      <c r="AD79" s="1047"/>
      <c r="AE79" s="1047"/>
      <c r="AF79" s="1047"/>
      <c r="AG79" s="1047"/>
    </row>
    <row r="80" spans="1:71">
      <c r="C80" s="601"/>
      <c r="D80" s="601"/>
      <c r="E80" s="601"/>
      <c r="F80" s="601"/>
      <c r="G80" s="601"/>
      <c r="H80" s="601"/>
      <c r="I80" s="632"/>
      <c r="J80" s="601"/>
      <c r="K80" s="602"/>
      <c r="M80" s="602"/>
      <c r="N80" s="602"/>
      <c r="P80" s="602"/>
      <c r="Q80" s="602"/>
      <c r="S80" s="602"/>
      <c r="T80" s="602"/>
      <c r="V80" s="601"/>
      <c r="X80" s="601"/>
      <c r="Y80" s="1051"/>
      <c r="Z80" s="1051"/>
      <c r="AA80" s="1047"/>
      <c r="AB80" s="1047"/>
      <c r="AC80" s="1047"/>
      <c r="AD80" s="1047"/>
      <c r="AE80" s="1047"/>
      <c r="AF80" s="1047"/>
      <c r="AG80" s="1047"/>
    </row>
    <row r="81" spans="1:33">
      <c r="A81" s="735">
        <f>A79+0.01</f>
        <v>13.01</v>
      </c>
      <c r="B81" s="600"/>
      <c r="C81" s="659" t="s">
        <v>1108</v>
      </c>
      <c r="D81" s="630"/>
      <c r="E81" s="723" t="s">
        <v>762</v>
      </c>
      <c r="F81" s="630"/>
      <c r="G81" s="632">
        <f ca="1">IFERROR(INDIRECT(E81),0)</f>
        <v>0.24928026689675703</v>
      </c>
      <c r="H81" s="749"/>
      <c r="I81" s="641">
        <v>205882</v>
      </c>
      <c r="J81" s="600"/>
      <c r="L81" s="641">
        <v>238769.46</v>
      </c>
      <c r="O81" s="641">
        <v>301781.44</v>
      </c>
      <c r="R81" s="641">
        <v>374926.37</v>
      </c>
      <c r="U81" s="641">
        <v>466473</v>
      </c>
      <c r="W81" s="737">
        <f ca="1">U81*G81</f>
        <v>116282.51394013094</v>
      </c>
      <c r="Y81" s="1047"/>
      <c r="Z81" s="1047"/>
      <c r="AA81" s="1047"/>
      <c r="AB81" s="1047"/>
      <c r="AC81" s="1047"/>
      <c r="AD81" s="1047"/>
      <c r="AE81" s="1047"/>
      <c r="AF81" s="1047"/>
      <c r="AG81" s="1047"/>
    </row>
    <row r="82" spans="1:33">
      <c r="A82" s="735">
        <f>A81+0.01</f>
        <v>13.02</v>
      </c>
      <c r="B82" s="600"/>
      <c r="C82" s="659" t="s">
        <v>1109</v>
      </c>
      <c r="D82" s="630"/>
      <c r="E82" s="723" t="s">
        <v>1070</v>
      </c>
      <c r="F82" s="630"/>
      <c r="G82" s="632">
        <f t="shared" ref="G82:G87" ca="1" si="23">IFERROR(INDIRECT(E82),0)</f>
        <v>8.0618739267835124E-2</v>
      </c>
      <c r="H82" s="749"/>
      <c r="I82" s="641">
        <v>7220</v>
      </c>
      <c r="J82" s="600"/>
      <c r="L82" s="641">
        <v>7219.49</v>
      </c>
      <c r="O82" s="641">
        <v>7219.49</v>
      </c>
      <c r="R82" s="641">
        <v>0</v>
      </c>
      <c r="U82" s="641">
        <v>0</v>
      </c>
      <c r="W82" s="737">
        <f t="shared" ref="W82:W87" ca="1" si="24">U82*G82</f>
        <v>0</v>
      </c>
      <c r="Y82" s="1047"/>
      <c r="Z82" s="1047"/>
      <c r="AA82" s="1047"/>
      <c r="AB82" s="1047"/>
      <c r="AC82" s="1047"/>
      <c r="AD82" s="1047"/>
      <c r="AE82" s="1047"/>
      <c r="AF82" s="1047"/>
      <c r="AG82" s="1047"/>
    </row>
    <row r="83" spans="1:33">
      <c r="A83" s="735">
        <f t="shared" ref="A83:A87" si="25">A82+0.01</f>
        <v>13.03</v>
      </c>
      <c r="B83" s="600"/>
      <c r="C83" s="659" t="s">
        <v>1110</v>
      </c>
      <c r="D83" s="630"/>
      <c r="E83" s="723" t="s">
        <v>1070</v>
      </c>
      <c r="F83" s="630"/>
      <c r="G83" s="632">
        <f t="shared" ca="1" si="23"/>
        <v>8.0618739267835124E-2</v>
      </c>
      <c r="H83" s="749"/>
      <c r="I83" s="641">
        <v>66530554</v>
      </c>
      <c r="J83" s="600"/>
      <c r="L83" s="641">
        <v>70576096.230000004</v>
      </c>
      <c r="O83" s="641">
        <v>70472049.780000001</v>
      </c>
      <c r="R83" s="641">
        <v>63688128.219999999</v>
      </c>
      <c r="U83" s="641">
        <v>60138741</v>
      </c>
      <c r="W83" s="737">
        <f t="shared" ca="1" si="24"/>
        <v>4848309.4805748658</v>
      </c>
      <c r="Y83" s="1047"/>
      <c r="Z83" s="1047"/>
      <c r="AA83" s="1047"/>
      <c r="AB83" s="1047"/>
      <c r="AC83" s="1047"/>
      <c r="AD83" s="1047"/>
      <c r="AE83" s="1047"/>
      <c r="AF83" s="1047"/>
      <c r="AG83" s="1047"/>
    </row>
    <row r="84" spans="1:33">
      <c r="A84" s="735">
        <f t="shared" si="25"/>
        <v>13.04</v>
      </c>
      <c r="B84" s="600"/>
      <c r="C84" s="659" t="s">
        <v>1112</v>
      </c>
      <c r="D84" s="630"/>
      <c r="E84" s="723" t="s">
        <v>1070</v>
      </c>
      <c r="F84" s="630"/>
      <c r="G84" s="632">
        <f t="shared" ca="1" si="23"/>
        <v>8.0618739267835124E-2</v>
      </c>
      <c r="H84" s="749"/>
      <c r="I84" s="641">
        <v>38912524</v>
      </c>
      <c r="J84" s="600"/>
      <c r="L84" s="641">
        <v>41173114.020000003</v>
      </c>
      <c r="O84" s="641">
        <v>41314714.189999998</v>
      </c>
      <c r="R84" s="641">
        <v>40985589.259999998</v>
      </c>
      <c r="U84" s="641">
        <v>40990665</v>
      </c>
      <c r="W84" s="737">
        <f t="shared" ca="1" si="24"/>
        <v>3304615.7340501747</v>
      </c>
      <c r="Y84" s="1047"/>
      <c r="Z84" s="1047"/>
      <c r="AA84" s="1047"/>
      <c r="AB84" s="1047"/>
      <c r="AC84" s="1047"/>
      <c r="AD84" s="1047"/>
      <c r="AE84" s="1047"/>
      <c r="AF84" s="1047"/>
      <c r="AG84" s="1047"/>
    </row>
    <row r="85" spans="1:33">
      <c r="A85" s="735">
        <f t="shared" si="25"/>
        <v>13.049999999999999</v>
      </c>
      <c r="B85" s="600"/>
      <c r="C85" s="659" t="s">
        <v>1113</v>
      </c>
      <c r="D85" s="630"/>
      <c r="E85" s="723" t="s">
        <v>762</v>
      </c>
      <c r="F85" s="630"/>
      <c r="G85" s="632">
        <f t="shared" ca="1" si="23"/>
        <v>0.24928026689675703</v>
      </c>
      <c r="H85" s="749"/>
      <c r="I85" s="641">
        <v>4689688</v>
      </c>
      <c r="J85" s="600"/>
      <c r="L85" s="641">
        <v>4689688.37</v>
      </c>
      <c r="O85" s="641">
        <v>4689688.37</v>
      </c>
      <c r="R85" s="641">
        <v>4697366.67</v>
      </c>
      <c r="U85" s="641">
        <v>4690108</v>
      </c>
      <c r="W85" s="737">
        <f t="shared" ca="1" si="24"/>
        <v>1169151.3740146153</v>
      </c>
      <c r="Y85" s="1047"/>
      <c r="Z85" s="1047"/>
      <c r="AA85" s="1047"/>
      <c r="AB85" s="1047"/>
      <c r="AC85" s="1047"/>
      <c r="AD85" s="1047"/>
      <c r="AE85" s="1047"/>
      <c r="AF85" s="1047"/>
      <c r="AG85" s="1047"/>
    </row>
    <row r="86" spans="1:33">
      <c r="A86" s="735">
        <f t="shared" si="25"/>
        <v>13.059999999999999</v>
      </c>
      <c r="B86" s="600"/>
      <c r="C86" s="659" t="s">
        <v>1144</v>
      </c>
      <c r="D86" s="630"/>
      <c r="E86" s="723" t="s">
        <v>250</v>
      </c>
      <c r="F86" s="630"/>
      <c r="G86" s="632">
        <f t="shared" ca="1" si="23"/>
        <v>1</v>
      </c>
      <c r="H86" s="749"/>
      <c r="I86" s="641">
        <v>1543409.9605926273</v>
      </c>
      <c r="J86" s="600"/>
      <c r="L86" s="641">
        <v>1546048.7403974864</v>
      </c>
      <c r="O86" s="641">
        <v>1548687.5202023457</v>
      </c>
      <c r="R86" s="641">
        <v>1551326.300007205</v>
      </c>
      <c r="U86" s="641">
        <v>1553965.0798120641</v>
      </c>
      <c r="W86" s="737">
        <f ca="1">U86*G86</f>
        <v>1553965.0798120641</v>
      </c>
      <c r="Y86" s="1047"/>
      <c r="Z86" s="1047"/>
      <c r="AA86" s="1047"/>
      <c r="AB86" s="1047"/>
      <c r="AC86" s="1047"/>
      <c r="AD86" s="1047"/>
      <c r="AE86" s="1047"/>
      <c r="AF86" s="1047"/>
      <c r="AG86" s="1047"/>
    </row>
    <row r="87" spans="1:33">
      <c r="A87" s="735">
        <f t="shared" si="25"/>
        <v>13.069999999999999</v>
      </c>
      <c r="B87" s="600"/>
      <c r="C87" s="659" t="s">
        <v>1145</v>
      </c>
      <c r="D87" s="630"/>
      <c r="E87" s="723" t="s">
        <v>250</v>
      </c>
      <c r="F87" s="630"/>
      <c r="G87" s="632">
        <f t="shared" ca="1" si="23"/>
        <v>1</v>
      </c>
      <c r="H87" s="749"/>
      <c r="I87" s="641">
        <v>-44197788.056543067</v>
      </c>
      <c r="J87" s="600"/>
      <c r="L87" s="641">
        <v>-43981186.207698502</v>
      </c>
      <c r="O87" s="641">
        <v>-43764584.358853936</v>
      </c>
      <c r="R87" s="641">
        <v>-43547982.510009371</v>
      </c>
      <c r="U87" s="641">
        <v>-43331380.661164798</v>
      </c>
      <c r="W87" s="737">
        <f t="shared" ca="1" si="24"/>
        <v>-43331380.661164798</v>
      </c>
      <c r="Y87" s="1047"/>
      <c r="Z87" s="1047"/>
      <c r="AA87" s="1047"/>
      <c r="AB87" s="1047"/>
      <c r="AC87" s="1047"/>
      <c r="AD87" s="1047"/>
      <c r="AE87" s="1047"/>
      <c r="AF87" s="1047"/>
      <c r="AG87" s="1047"/>
    </row>
    <row r="88" spans="1:33">
      <c r="A88" s="601">
        <f>A79+1</f>
        <v>14</v>
      </c>
      <c r="B88" s="600"/>
      <c r="C88" s="630" t="str">
        <f ca="1">"Sum of Lines "&amp;A81&amp;" through "&amp;OFFSET(A88,-1,0)</f>
        <v>Sum of Lines 13.01 through 13.07</v>
      </c>
      <c r="E88" s="606"/>
      <c r="F88" s="606"/>
      <c r="G88" s="759"/>
      <c r="H88" s="606"/>
      <c r="I88" s="605">
        <f>SUM(I81:I87)</f>
        <v>67691489.90404956</v>
      </c>
      <c r="J88" s="600"/>
      <c r="L88" s="605">
        <f>SUM(L81:L87)</f>
        <v>74249750.102699012</v>
      </c>
      <c r="O88" s="605">
        <f>SUM(O81:O87)</f>
        <v>74569556.431348413</v>
      </c>
      <c r="R88" s="605">
        <f>SUM(R81:R87)</f>
        <v>67749354.309997827</v>
      </c>
      <c r="U88" s="605">
        <f>SUM(U81:U87)</f>
        <v>64508571.418647267</v>
      </c>
      <c r="W88" s="834">
        <f ca="1">SUM(W81:W87)</f>
        <v>-32339056.478772946</v>
      </c>
      <c r="Y88" s="1047"/>
      <c r="Z88" s="1047"/>
      <c r="AA88" s="1047"/>
      <c r="AB88" s="1047"/>
      <c r="AC88" s="1047"/>
      <c r="AD88" s="1047"/>
      <c r="AE88" s="1047"/>
      <c r="AF88" s="1047"/>
      <c r="AG88" s="1047"/>
    </row>
    <row r="89" spans="1:33">
      <c r="B89" s="600"/>
      <c r="E89" s="600"/>
      <c r="F89" s="600"/>
      <c r="G89" s="642"/>
      <c r="H89" s="600"/>
      <c r="I89" s="692"/>
      <c r="J89" s="600"/>
      <c r="K89" s="602"/>
      <c r="M89" s="602"/>
      <c r="N89" s="602"/>
      <c r="P89" s="602"/>
      <c r="Q89" s="602"/>
      <c r="S89" s="602"/>
      <c r="T89" s="602"/>
      <c r="U89" s="692"/>
      <c r="W89" s="602"/>
      <c r="Y89" s="1047"/>
      <c r="Z89" s="1047"/>
      <c r="AA89" s="1047"/>
      <c r="AB89" s="1047"/>
      <c r="AC89" s="1047"/>
      <c r="AD89" s="1047"/>
      <c r="AE89" s="1047"/>
      <c r="AF89" s="1047"/>
      <c r="AG89" s="1047"/>
    </row>
    <row r="90" spans="1:33">
      <c r="B90" s="600"/>
      <c r="E90" s="600"/>
      <c r="F90" s="600"/>
      <c r="G90" s="785"/>
      <c r="H90" s="600"/>
      <c r="I90" s="692"/>
      <c r="J90" s="600"/>
      <c r="K90" s="737"/>
      <c r="L90" s="737"/>
      <c r="M90" s="737"/>
      <c r="N90" s="737"/>
      <c r="O90" s="737"/>
      <c r="P90" s="737"/>
      <c r="Q90" s="737"/>
      <c r="R90" s="737"/>
      <c r="S90" s="737"/>
      <c r="T90" s="737"/>
      <c r="U90" s="692"/>
      <c r="W90" s="737"/>
      <c r="Y90" s="1047"/>
      <c r="Z90" s="1047"/>
      <c r="AA90" s="1047"/>
      <c r="AB90" s="1047"/>
      <c r="AC90" s="1047"/>
      <c r="AD90" s="1047"/>
      <c r="AE90" s="1047"/>
      <c r="AF90" s="1047"/>
      <c r="AG90" s="1047"/>
    </row>
    <row r="91" spans="1:33">
      <c r="A91" s="601">
        <f>A88+1</f>
        <v>15</v>
      </c>
      <c r="B91" s="600"/>
      <c r="C91" s="754" t="s">
        <v>781</v>
      </c>
      <c r="D91" s="609"/>
      <c r="E91" s="609"/>
      <c r="F91" s="609"/>
      <c r="G91" s="609"/>
      <c r="H91" s="609"/>
      <c r="I91" s="609"/>
      <c r="J91" s="609"/>
      <c r="K91" s="609"/>
      <c r="L91" s="608"/>
      <c r="M91" s="609"/>
      <c r="N91" s="609"/>
      <c r="O91" s="608"/>
      <c r="P91" s="609"/>
      <c r="Q91" s="609"/>
      <c r="R91" s="608"/>
      <c r="S91" s="609"/>
      <c r="T91" s="609"/>
      <c r="U91" s="608"/>
      <c r="V91" s="609"/>
      <c r="W91" s="608"/>
      <c r="Y91" s="1047"/>
      <c r="Z91" s="1047"/>
      <c r="AA91" s="1047"/>
      <c r="AB91" s="1047"/>
      <c r="AC91" s="1047"/>
      <c r="AD91" s="1047"/>
      <c r="AE91" s="1047"/>
      <c r="AF91" s="1047"/>
      <c r="AG91" s="1047"/>
    </row>
    <row r="92" spans="1:33">
      <c r="B92" s="600"/>
      <c r="C92" s="601"/>
      <c r="D92" s="601"/>
      <c r="E92" s="601"/>
      <c r="F92" s="601"/>
      <c r="G92" s="601"/>
      <c r="H92" s="601"/>
      <c r="I92" s="601"/>
      <c r="J92" s="601"/>
      <c r="K92" s="601"/>
      <c r="L92" s="601"/>
      <c r="M92" s="601"/>
      <c r="N92" s="601"/>
      <c r="O92" s="601"/>
      <c r="P92" s="601"/>
      <c r="Q92" s="601"/>
      <c r="R92" s="601"/>
      <c r="S92" s="601"/>
      <c r="T92" s="601"/>
      <c r="V92" s="601"/>
      <c r="Y92" s="1047"/>
      <c r="Z92" s="1047"/>
      <c r="AA92" s="1047"/>
      <c r="AB92" s="1047"/>
      <c r="AC92" s="1047"/>
      <c r="AD92" s="1047"/>
      <c r="AE92" s="1047"/>
      <c r="AF92" s="1047"/>
      <c r="AG92" s="1047"/>
    </row>
    <row r="93" spans="1:33">
      <c r="A93" s="735">
        <f>A91+0.01</f>
        <v>15.01</v>
      </c>
      <c r="B93" s="600"/>
      <c r="C93" s="659" t="s">
        <v>1105</v>
      </c>
      <c r="D93" s="601"/>
      <c r="E93" s="723" t="s">
        <v>250</v>
      </c>
      <c r="F93" s="601"/>
      <c r="G93" s="632">
        <f t="shared" ref="G93" ca="1" si="26">IFERROR(INDIRECT(E93),0)</f>
        <v>1</v>
      </c>
      <c r="H93" s="601"/>
      <c r="I93" s="641">
        <v>-4355736.165232501</v>
      </c>
      <c r="J93" s="600"/>
      <c r="L93" s="641">
        <v>-4137949.3569708751</v>
      </c>
      <c r="O93" s="641">
        <v>-3920162.5487092501</v>
      </c>
      <c r="R93" s="641">
        <v>-3702375.7404476251</v>
      </c>
      <c r="U93" s="641">
        <v>-3484588.9321860014</v>
      </c>
      <c r="W93" s="737">
        <f ca="1">U93*G93</f>
        <v>-3484588.9321860014</v>
      </c>
      <c r="Y93" s="1046"/>
      <c r="Z93" s="1046"/>
      <c r="AA93" s="1046"/>
      <c r="AB93" s="1046"/>
      <c r="AC93" s="1046"/>
      <c r="AD93" s="1046"/>
      <c r="AE93" s="1046"/>
      <c r="AF93" s="1047"/>
      <c r="AG93" s="1047"/>
    </row>
    <row r="94" spans="1:33">
      <c r="A94" s="735">
        <f t="shared" ref="A94:A97" si="27">A93+0.01</f>
        <v>15.02</v>
      </c>
      <c r="B94" s="600"/>
      <c r="C94" s="659" t="s">
        <v>1144</v>
      </c>
      <c r="D94" s="601"/>
      <c r="E94" s="723" t="s">
        <v>250</v>
      </c>
      <c r="F94" s="601"/>
      <c r="G94" s="632">
        <f ca="1">IFERROR(INDIRECT(E94),0)</f>
        <v>1</v>
      </c>
      <c r="H94" s="601"/>
      <c r="I94" s="641">
        <v>1543409.9605926273</v>
      </c>
      <c r="J94" s="600"/>
      <c r="L94" s="641">
        <v>1546048.7403974864</v>
      </c>
      <c r="O94" s="641">
        <v>1548687.5202023457</v>
      </c>
      <c r="R94" s="641">
        <v>1551326.300007205</v>
      </c>
      <c r="U94" s="641">
        <v>1553965.0798120641</v>
      </c>
      <c r="W94" s="737">
        <f t="shared" ref="W94:W95" ca="1" si="28">U94*G94</f>
        <v>1553965.0798120641</v>
      </c>
      <c r="Y94" s="1047"/>
      <c r="Z94" s="1047"/>
      <c r="AA94" s="1047"/>
      <c r="AB94" s="1047"/>
      <c r="AC94" s="1048"/>
      <c r="AD94" s="1047"/>
      <c r="AE94" s="1047"/>
      <c r="AF94" s="1047"/>
      <c r="AG94" s="1047"/>
    </row>
    <row r="95" spans="1:33">
      <c r="A95" s="735">
        <f t="shared" si="27"/>
        <v>15.03</v>
      </c>
      <c r="B95" s="600"/>
      <c r="C95" s="659" t="s">
        <v>1145</v>
      </c>
      <c r="D95" s="601"/>
      <c r="E95" s="723" t="s">
        <v>250</v>
      </c>
      <c r="F95" s="601"/>
      <c r="G95" s="632">
        <f t="shared" ref="G95" ca="1" si="29">IFERROR(INDIRECT(E95),0)</f>
        <v>1</v>
      </c>
      <c r="H95" s="601"/>
      <c r="I95" s="641">
        <v>-44197788.056543067</v>
      </c>
      <c r="J95" s="600"/>
      <c r="L95" s="641">
        <v>-43981186.207698502</v>
      </c>
      <c r="O95" s="641">
        <v>-43764584.358853936</v>
      </c>
      <c r="R95" s="641">
        <v>-43547982.510009371</v>
      </c>
      <c r="U95" s="641">
        <v>-43331380.661164798</v>
      </c>
      <c r="W95" s="737">
        <f t="shared" ca="1" si="28"/>
        <v>-43331380.661164798</v>
      </c>
      <c r="Y95" s="1047"/>
      <c r="Z95" s="1047"/>
      <c r="AA95" s="1047"/>
      <c r="AB95" s="1047"/>
      <c r="AC95" s="1047"/>
      <c r="AD95" s="1047"/>
      <c r="AE95" s="1047"/>
      <c r="AF95" s="1047"/>
      <c r="AG95" s="1047"/>
    </row>
    <row r="96" spans="1:33">
      <c r="A96" s="735">
        <f t="shared" si="27"/>
        <v>15.04</v>
      </c>
      <c r="B96" s="600"/>
      <c r="C96" s="659" t="s">
        <v>846</v>
      </c>
      <c r="D96" s="630"/>
      <c r="F96" s="17"/>
      <c r="G96" s="753"/>
      <c r="H96" s="749"/>
      <c r="I96" s="737"/>
      <c r="J96" s="600"/>
      <c r="L96" s="737"/>
      <c r="O96" s="737"/>
      <c r="R96" s="737"/>
      <c r="U96" s="641">
        <v>-568081.11250294745</v>
      </c>
      <c r="W96" s="737">
        <f>U96</f>
        <v>-568081.11250294745</v>
      </c>
      <c r="Y96" s="1048"/>
      <c r="Z96" s="1047"/>
      <c r="AA96" s="1047"/>
      <c r="AB96" s="1047"/>
      <c r="AC96" s="1047"/>
      <c r="AD96" s="1047"/>
      <c r="AE96" s="1047"/>
      <c r="AF96" s="1047"/>
      <c r="AG96" s="1047"/>
    </row>
    <row r="97" spans="1:33">
      <c r="A97" s="735">
        <f t="shared" si="27"/>
        <v>15.049999999999999</v>
      </c>
      <c r="B97" s="600"/>
      <c r="C97" s="659" t="s">
        <v>1112</v>
      </c>
      <c r="D97" s="601"/>
      <c r="E97" s="723" t="s">
        <v>1070</v>
      </c>
      <c r="F97" s="601"/>
      <c r="G97" s="632">
        <f t="shared" ref="G97" ca="1" si="30">IFERROR(INDIRECT(E97),0)</f>
        <v>8.0618739267835124E-2</v>
      </c>
      <c r="H97" s="601"/>
      <c r="I97" s="641">
        <v>38912524</v>
      </c>
      <c r="J97" s="600"/>
      <c r="L97" s="641">
        <v>41173114.020000003</v>
      </c>
      <c r="O97" s="641">
        <v>41314714.189999998</v>
      </c>
      <c r="R97" s="641">
        <v>40985589.259999998</v>
      </c>
      <c r="U97" s="641">
        <v>40990665</v>
      </c>
      <c r="W97" s="737">
        <f ca="1">U97*G97</f>
        <v>3304615.7340501747</v>
      </c>
      <c r="Y97" s="1047"/>
      <c r="Z97" s="1047"/>
      <c r="AA97" s="1047"/>
      <c r="AB97" s="1047"/>
      <c r="AC97" s="1047"/>
      <c r="AD97" s="1047"/>
      <c r="AE97" s="1047"/>
      <c r="AF97" s="1047"/>
      <c r="AG97" s="1047"/>
    </row>
    <row r="98" spans="1:33">
      <c r="A98" s="601">
        <f>A91+1</f>
        <v>16</v>
      </c>
      <c r="B98" s="600"/>
      <c r="C98" s="630" t="str">
        <f ca="1">"Sum of Lines "&amp;A93&amp;" through "&amp;OFFSET(A98,-1,0)</f>
        <v>Sum of Lines 15.01 through 15.05</v>
      </c>
      <c r="E98" s="606"/>
      <c r="F98" s="606"/>
      <c r="G98" s="632"/>
      <c r="H98" s="601"/>
      <c r="I98" s="834">
        <f>SUM(I93:I97)</f>
        <v>-8097590.2611829415</v>
      </c>
      <c r="J98" s="834">
        <f>SUM(J93:J96)</f>
        <v>0</v>
      </c>
      <c r="K98" s="834">
        <f>SUM(K93:K96)</f>
        <v>0</v>
      </c>
      <c r="L98" s="834">
        <f>SUM(L93:L97)</f>
        <v>-5399972.8042718843</v>
      </c>
      <c r="M98" s="834">
        <f>SUM(M93:M96)</f>
        <v>0</v>
      </c>
      <c r="N98" s="834">
        <f>SUM(N93:N96)</f>
        <v>0</v>
      </c>
      <c r="O98" s="834">
        <f>SUM(O93:O97)</f>
        <v>-4821345.1973608434</v>
      </c>
      <c r="P98" s="834">
        <f>SUM(P93:P96)</f>
        <v>0</v>
      </c>
      <c r="Q98" s="834">
        <f>SUM(Q93:Q96)</f>
        <v>0</v>
      </c>
      <c r="R98" s="834">
        <f>SUM(R93:R97)</f>
        <v>-4713442.6904497966</v>
      </c>
      <c r="S98" s="834">
        <f>SUM(S93:S96)</f>
        <v>0</v>
      </c>
      <c r="T98" s="834">
        <f>SUM(T93:T96)</f>
        <v>0</v>
      </c>
      <c r="U98" s="834">
        <f>SUM(U93:U97)</f>
        <v>-4839420.6260416806</v>
      </c>
      <c r="V98" s="605">
        <f>SUM(V93:V96)</f>
        <v>0</v>
      </c>
      <c r="W98" s="834">
        <f ca="1">SUM(W93:X97)</f>
        <v>-42525469.891991504</v>
      </c>
      <c r="Y98" s="600"/>
    </row>
    <row r="99" spans="1:33">
      <c r="I99" s="642"/>
    </row>
    <row r="100" spans="1:33">
      <c r="A100" s="611">
        <f>A98+1</f>
        <v>17</v>
      </c>
      <c r="B100" s="609"/>
      <c r="C100" s="610" t="s">
        <v>830</v>
      </c>
      <c r="D100" s="609"/>
      <c r="E100" s="609"/>
      <c r="F100" s="609"/>
      <c r="G100" s="609"/>
      <c r="H100" s="609"/>
      <c r="I100" s="760"/>
      <c r="J100" s="609"/>
      <c r="K100" s="602"/>
      <c r="M100" s="602"/>
      <c r="N100" s="782"/>
      <c r="O100" s="782"/>
      <c r="P100" s="782"/>
      <c r="Q100" s="602"/>
      <c r="S100" s="602"/>
      <c r="T100" s="602"/>
      <c r="U100" s="608"/>
      <c r="V100" s="607"/>
      <c r="W100" s="608"/>
      <c r="X100" s="607"/>
      <c r="Y100" s="608"/>
      <c r="Z100" s="608"/>
    </row>
    <row r="101" spans="1:33">
      <c r="C101" s="601"/>
      <c r="D101" s="601"/>
      <c r="E101" s="601"/>
      <c r="F101" s="601"/>
      <c r="G101" s="601"/>
      <c r="H101" s="601"/>
      <c r="I101" s="632"/>
      <c r="J101" s="601"/>
      <c r="K101" s="602"/>
      <c r="M101" s="602"/>
      <c r="N101" s="782"/>
      <c r="O101" s="782"/>
      <c r="P101" s="782"/>
      <c r="Q101" s="602"/>
      <c r="S101" s="602"/>
      <c r="T101" s="602"/>
      <c r="U101" s="602"/>
      <c r="V101" s="602"/>
      <c r="X101" s="601"/>
      <c r="Z101" s="601"/>
    </row>
    <row r="102" spans="1:33">
      <c r="A102" s="735">
        <f>A100+0.01</f>
        <v>17.010000000000002</v>
      </c>
      <c r="B102" s="600"/>
      <c r="C102" s="659"/>
      <c r="D102" s="630"/>
      <c r="E102" s="723"/>
      <c r="F102" s="630"/>
      <c r="G102" s="632">
        <f ca="1">IFERROR(INDIRECT(E102),0)</f>
        <v>0</v>
      </c>
      <c r="H102" s="749"/>
      <c r="I102" s="641">
        <v>0</v>
      </c>
      <c r="J102" s="600"/>
      <c r="K102" s="602"/>
      <c r="M102" s="602"/>
      <c r="N102" s="782"/>
      <c r="O102" s="782"/>
      <c r="P102" s="782"/>
      <c r="Q102" s="602"/>
      <c r="S102" s="602"/>
      <c r="T102" s="602"/>
      <c r="U102" s="641">
        <v>0</v>
      </c>
      <c r="W102" s="737">
        <f ca="1">U102*G102</f>
        <v>0</v>
      </c>
      <c r="Y102" s="600"/>
    </row>
    <row r="103" spans="1:33">
      <c r="A103" s="601">
        <f>A100+1</f>
        <v>18</v>
      </c>
      <c r="B103" s="600"/>
      <c r="C103" s="630" t="str">
        <f ca="1">"Sum of Lines "&amp;A102&amp;" through "&amp;OFFSET(A103,-1,0)</f>
        <v>Sum of Lines 17.01 through 17.01</v>
      </c>
      <c r="E103" s="606"/>
      <c r="F103" s="606"/>
      <c r="G103" s="606"/>
      <c r="H103" s="606"/>
      <c r="I103" s="605">
        <f>SUM(I102:I102)</f>
        <v>0</v>
      </c>
      <c r="J103" s="600"/>
      <c r="K103" s="602"/>
      <c r="M103" s="602"/>
      <c r="N103" s="782"/>
      <c r="O103" s="782"/>
      <c r="P103" s="782"/>
      <c r="Q103" s="602"/>
      <c r="S103" s="602"/>
      <c r="T103" s="602"/>
      <c r="U103" s="834">
        <f>SUM(U102:U102)</f>
        <v>0</v>
      </c>
      <c r="W103" s="834">
        <f ca="1">SUM(W102:W102)</f>
        <v>0</v>
      </c>
      <c r="Y103" s="600"/>
    </row>
    <row r="104" spans="1:33">
      <c r="B104" s="600"/>
      <c r="E104" s="600"/>
      <c r="F104" s="600"/>
      <c r="G104" s="600"/>
      <c r="H104" s="600"/>
      <c r="I104" s="692"/>
      <c r="J104" s="600"/>
      <c r="K104" s="602"/>
      <c r="M104" s="602"/>
      <c r="N104" s="782"/>
      <c r="O104" s="782"/>
      <c r="P104" s="782"/>
      <c r="Q104" s="602"/>
      <c r="S104" s="602"/>
      <c r="T104" s="602"/>
      <c r="U104" s="692"/>
      <c r="W104" s="602"/>
      <c r="Y104" s="600"/>
    </row>
    <row r="105" spans="1:33">
      <c r="A105" s="601">
        <f>A103+1</f>
        <v>19</v>
      </c>
      <c r="C105" s="600" t="s">
        <v>1019</v>
      </c>
      <c r="G105" s="737"/>
      <c r="N105" s="782"/>
      <c r="O105" s="782"/>
      <c r="P105" s="782"/>
      <c r="Y105" s="631">
        <f ca="1">W29-W40-W45+W51-W67+W77-W88+W98+W103</f>
        <v>-377535429.12039751</v>
      </c>
      <c r="AC105" s="624"/>
    </row>
    <row r="106" spans="1:33">
      <c r="N106" s="782"/>
      <c r="O106" s="782"/>
      <c r="P106" s="782"/>
      <c r="Y106" s="653"/>
    </row>
    <row r="107" spans="1:33">
      <c r="N107" s="782"/>
      <c r="O107" s="782"/>
      <c r="P107" s="782"/>
    </row>
    <row r="108" spans="1:33" ht="15.6" customHeight="1">
      <c r="C108" s="750" t="s">
        <v>153</v>
      </c>
      <c r="N108" s="782"/>
      <c r="O108" s="782"/>
      <c r="P108" s="782"/>
    </row>
    <row r="109" spans="1:33">
      <c r="B109" s="601" t="s">
        <v>202</v>
      </c>
      <c r="C109" s="987" t="s">
        <v>730</v>
      </c>
      <c r="D109" s="987"/>
      <c r="E109" s="987"/>
      <c r="F109" s="987"/>
      <c r="G109" s="987"/>
      <c r="H109" s="987"/>
      <c r="I109" s="987"/>
      <c r="J109" s="987"/>
      <c r="N109" s="788"/>
      <c r="O109" s="788"/>
      <c r="P109" s="788"/>
    </row>
    <row r="110" spans="1:33">
      <c r="C110" s="987"/>
      <c r="D110" s="987"/>
      <c r="E110" s="987"/>
      <c r="F110" s="987"/>
      <c r="G110" s="987"/>
      <c r="H110" s="987"/>
      <c r="I110" s="987"/>
      <c r="J110" s="987"/>
      <c r="N110" s="788"/>
      <c r="O110" s="788"/>
      <c r="P110" s="788"/>
    </row>
    <row r="111" spans="1:33">
      <c r="B111" s="601" t="s">
        <v>203</v>
      </c>
      <c r="C111" s="600" t="s">
        <v>1035</v>
      </c>
      <c r="G111" s="737"/>
      <c r="I111" s="737"/>
      <c r="J111" s="737"/>
      <c r="L111" s="818"/>
      <c r="N111" s="788"/>
      <c r="O111" s="788"/>
      <c r="P111" s="788"/>
      <c r="R111" s="820"/>
    </row>
    <row r="112" spans="1:33">
      <c r="B112" s="601" t="s">
        <v>285</v>
      </c>
      <c r="C112" s="600" t="s">
        <v>740</v>
      </c>
      <c r="G112" s="737"/>
      <c r="I112" s="737"/>
      <c r="J112" s="737"/>
      <c r="N112" s="788"/>
      <c r="O112" s="788"/>
      <c r="P112" s="788"/>
    </row>
    <row r="113" spans="2:12">
      <c r="B113" s="601" t="s">
        <v>205</v>
      </c>
      <c r="C113" s="600" t="s">
        <v>828</v>
      </c>
      <c r="G113" s="737"/>
      <c r="I113" s="737"/>
      <c r="J113" s="737"/>
      <c r="L113" s="737"/>
    </row>
    <row r="114" spans="2:12">
      <c r="B114" s="601" t="s">
        <v>206</v>
      </c>
      <c r="C114" s="600" t="s">
        <v>1061</v>
      </c>
      <c r="G114" s="737"/>
      <c r="I114" s="737"/>
    </row>
    <row r="115" spans="2:12">
      <c r="B115" s="601" t="s">
        <v>207</v>
      </c>
      <c r="C115" s="600" t="s">
        <v>980</v>
      </c>
      <c r="G115" s="737"/>
      <c r="I115" s="737"/>
    </row>
    <row r="116" spans="2:12">
      <c r="B116" s="601" t="s">
        <v>208</v>
      </c>
      <c r="C116" s="600" t="s">
        <v>912</v>
      </c>
      <c r="G116" s="737"/>
      <c r="I116" s="737"/>
    </row>
    <row r="117" spans="2:12">
      <c r="G117" s="737"/>
      <c r="I117" s="737"/>
    </row>
  </sheetData>
  <mergeCells count="1">
    <mergeCell ref="C109:J110"/>
  </mergeCells>
  <dataValidations count="2">
    <dataValidation type="list" allowBlank="1" showInputMessage="1" showErrorMessage="1" sqref="F76 F96 F37:F39 F11:F28" xr:uid="{00000000-0002-0000-0500-000000000000}">
      <formula1>"DA, TP, NP, GP, WS, EXCL"</formula1>
    </dataValidation>
    <dataValidation type="list" allowBlank="1" showInputMessage="1" showErrorMessage="1" sqref="E44 E102 E50 E34:E38 E72:E75 E93:E95 E97 E55:E66 E81:E87 E11:E28" xr:uid="{00000000-0002-0000-0500-000001000000}">
      <formula1>"DA, TE, TP, GP, WS, CE, EXCL,"</formula1>
    </dataValidation>
  </dataValidations>
  <pageMargins left="0" right="0" top="1" bottom="0.5" header="0" footer="0"/>
  <pageSetup scale="22" orientation="portrait" r:id="rId1"/>
  <headerFooter>
    <oddFooter xml:space="preserve">&amp;L&amp;"Times New Roman,Bold"&amp;10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56"/>
  <sheetViews>
    <sheetView view="pageBreakPreview" zoomScale="60" zoomScaleNormal="85" workbookViewId="0">
      <selection activeCell="E26" sqref="E26"/>
    </sheetView>
  </sheetViews>
  <sheetFormatPr defaultColWidth="8.81640625" defaultRowHeight="14.4"/>
  <cols>
    <col min="1" max="1" width="8.81640625" style="183"/>
    <col min="2" max="2" width="9" style="183" customWidth="1"/>
    <col min="3" max="3" width="27.26953125" style="183" customWidth="1"/>
    <col min="4" max="4" width="3.08984375" style="183" customWidth="1"/>
    <col min="5" max="5" width="14.81640625" style="183" customWidth="1"/>
    <col min="6" max="6" width="15.26953125" style="183" customWidth="1"/>
    <col min="7" max="8" width="13.7265625" style="183" customWidth="1"/>
    <col min="9" max="9" width="13.54296875" style="183" customWidth="1"/>
    <col min="10" max="10" width="16.54296875" style="183" customWidth="1"/>
    <col min="11" max="11" width="15.26953125" style="183" customWidth="1"/>
    <col min="12" max="12" width="12.81640625" style="183" customWidth="1"/>
    <col min="13" max="13" width="15.26953125" style="183" customWidth="1"/>
    <col min="14" max="16384" width="8.81640625" style="183"/>
  </cols>
  <sheetData>
    <row r="1" spans="1:13" ht="15.6">
      <c r="M1" s="3" t="s">
        <v>1036</v>
      </c>
    </row>
    <row r="2" spans="1:13" ht="15.6">
      <c r="M2" s="3" t="s">
        <v>1027</v>
      </c>
    </row>
    <row r="3" spans="1:13" ht="15.6">
      <c r="M3" s="3" t="s">
        <v>144</v>
      </c>
    </row>
    <row r="4" spans="1:13" ht="15.6">
      <c r="M4" s="3" t="str">
        <f>'Attachment 1 - Sched 1A'!$J$3</f>
        <v>For the 12 months ended 12/31/2023</v>
      </c>
    </row>
    <row r="5" spans="1:13" ht="15.6">
      <c r="C5" s="40"/>
    </row>
    <row r="6" spans="1:13" ht="15" thickBot="1">
      <c r="C6" s="532" t="s">
        <v>75</v>
      </c>
      <c r="D6" s="188"/>
      <c r="E6" s="532" t="s">
        <v>76</v>
      </c>
      <c r="F6" s="532" t="s">
        <v>77</v>
      </c>
      <c r="G6" s="532" t="s">
        <v>78</v>
      </c>
      <c r="H6" s="532" t="s">
        <v>79</v>
      </c>
      <c r="I6" s="532" t="s">
        <v>80</v>
      </c>
      <c r="J6" s="532" t="s">
        <v>81</v>
      </c>
      <c r="K6" s="532" t="s">
        <v>83</v>
      </c>
      <c r="L6" s="532" t="s">
        <v>84</v>
      </c>
    </row>
    <row r="7" spans="1:13" ht="15" thickBot="1">
      <c r="A7" s="533" t="s">
        <v>5</v>
      </c>
      <c r="B7" s="533"/>
      <c r="C7" s="534"/>
      <c r="D7" s="535"/>
      <c r="E7" s="988" t="s">
        <v>1157</v>
      </c>
      <c r="F7" s="988"/>
      <c r="G7" s="988"/>
      <c r="H7" s="988"/>
      <c r="I7" s="988"/>
      <c r="J7" s="988"/>
      <c r="K7" s="988"/>
      <c r="L7" s="989"/>
    </row>
    <row r="8" spans="1:13">
      <c r="C8" s="185"/>
      <c r="E8" s="186"/>
      <c r="F8" s="186"/>
      <c r="G8" s="186"/>
      <c r="H8" s="186"/>
      <c r="I8" s="186"/>
      <c r="J8" s="186"/>
      <c r="K8" s="186"/>
      <c r="L8" s="187"/>
    </row>
    <row r="9" spans="1:13" ht="28.8">
      <c r="C9" s="536" t="s">
        <v>553</v>
      </c>
      <c r="D9" s="537"/>
      <c r="E9" s="538" t="s">
        <v>501</v>
      </c>
      <c r="F9" s="539" t="s">
        <v>502</v>
      </c>
      <c r="G9" s="538" t="s">
        <v>503</v>
      </c>
      <c r="H9" s="539" t="s">
        <v>504</v>
      </c>
      <c r="I9" s="538" t="s">
        <v>505</v>
      </c>
      <c r="J9" s="539" t="s">
        <v>506</v>
      </c>
      <c r="K9" s="538" t="s">
        <v>507</v>
      </c>
      <c r="L9" s="540" t="s">
        <v>508</v>
      </c>
    </row>
    <row r="10" spans="1:13">
      <c r="A10" s="541">
        <v>1</v>
      </c>
      <c r="B10" s="532" t="s">
        <v>522</v>
      </c>
      <c r="C10" s="542"/>
      <c r="D10" s="188"/>
      <c r="E10" s="543"/>
      <c r="F10" s="188">
        <f>SUM(C10:E10)</f>
        <v>0</v>
      </c>
      <c r="G10" s="543"/>
      <c r="H10" s="188">
        <f>SUM(F10:G10)</f>
        <v>0</v>
      </c>
      <c r="I10" s="543"/>
      <c r="J10" s="188">
        <f>SUM(H10:I10)</f>
        <v>0</v>
      </c>
      <c r="K10" s="543"/>
      <c r="L10" s="191">
        <f>SUM(J10:K10)</f>
        <v>0</v>
      </c>
    </row>
    <row r="11" spans="1:13">
      <c r="C11" s="193"/>
      <c r="D11" s="188"/>
      <c r="E11" s="188"/>
      <c r="F11" s="188"/>
      <c r="G11" s="188"/>
      <c r="H11" s="188"/>
      <c r="I11" s="188"/>
      <c r="J11" s="188"/>
      <c r="K11" s="188"/>
      <c r="L11" s="191"/>
    </row>
    <row r="12" spans="1:13" ht="28.8">
      <c r="C12" s="544" t="str">
        <f>C9</f>
        <v>Beginning 190 (including adjustments)</v>
      </c>
      <c r="D12" s="188"/>
      <c r="E12" s="189" t="s">
        <v>356</v>
      </c>
      <c r="F12" s="188"/>
      <c r="G12" s="189" t="s">
        <v>357</v>
      </c>
      <c r="H12" s="188"/>
      <c r="I12" s="189" t="s">
        <v>358</v>
      </c>
      <c r="J12" s="188"/>
      <c r="K12" s="189" t="s">
        <v>359</v>
      </c>
      <c r="L12" s="191"/>
    </row>
    <row r="13" spans="1:13">
      <c r="A13" s="541">
        <v>2</v>
      </c>
      <c r="B13" s="532" t="s">
        <v>522</v>
      </c>
      <c r="C13" s="190">
        <f>C10</f>
        <v>0</v>
      </c>
      <c r="D13" s="188"/>
      <c r="E13" s="189">
        <f>(276/365)*E10</f>
        <v>0</v>
      </c>
      <c r="F13" s="188"/>
      <c r="G13" s="189">
        <f>(185/365)*G10</f>
        <v>0</v>
      </c>
      <c r="H13" s="188"/>
      <c r="I13" s="189">
        <f>(93/365)*I10</f>
        <v>0</v>
      </c>
      <c r="J13" s="188"/>
      <c r="K13" s="189">
        <f>(1/365)*K10</f>
        <v>0</v>
      </c>
      <c r="L13" s="191"/>
      <c r="M13" s="545"/>
    </row>
    <row r="14" spans="1:13">
      <c r="C14" s="190"/>
      <c r="D14" s="188"/>
      <c r="E14" s="189"/>
      <c r="F14" s="188"/>
      <c r="G14" s="189"/>
      <c r="H14" s="188"/>
      <c r="I14" s="189"/>
      <c r="J14" s="188"/>
      <c r="K14" s="189"/>
      <c r="L14" s="191"/>
      <c r="M14" s="545"/>
    </row>
    <row r="15" spans="1:13" ht="28.8">
      <c r="C15" s="544" t="s">
        <v>554</v>
      </c>
      <c r="D15" s="188"/>
      <c r="E15" s="538" t="s">
        <v>501</v>
      </c>
      <c r="F15" s="539" t="s">
        <v>502</v>
      </c>
      <c r="G15" s="538" t="s">
        <v>503</v>
      </c>
      <c r="H15" s="539" t="s">
        <v>504</v>
      </c>
      <c r="I15" s="538" t="s">
        <v>505</v>
      </c>
      <c r="J15" s="539" t="s">
        <v>506</v>
      </c>
      <c r="K15" s="538" t="s">
        <v>507</v>
      </c>
      <c r="L15" s="540" t="s">
        <v>508</v>
      </c>
      <c r="M15" s="545"/>
    </row>
    <row r="16" spans="1:13">
      <c r="A16" s="541">
        <v>3</v>
      </c>
      <c r="B16" s="532" t="s">
        <v>522</v>
      </c>
      <c r="C16" s="542"/>
      <c r="D16" s="188"/>
      <c r="E16" s="543"/>
      <c r="F16" s="188">
        <f>SUM(C16:E16)</f>
        <v>0</v>
      </c>
      <c r="G16" s="543"/>
      <c r="H16" s="188">
        <f>SUM(F16:G16)</f>
        <v>0</v>
      </c>
      <c r="I16" s="543"/>
      <c r="J16" s="188">
        <f>SUM(H16:I16)</f>
        <v>0</v>
      </c>
      <c r="K16" s="543"/>
      <c r="L16" s="191">
        <f>SUM(J16:K16)</f>
        <v>0</v>
      </c>
      <c r="M16" s="545"/>
    </row>
    <row r="17" spans="1:13">
      <c r="C17" s="193"/>
      <c r="D17" s="188"/>
      <c r="E17" s="188"/>
      <c r="F17" s="188"/>
      <c r="G17" s="188"/>
      <c r="H17" s="188"/>
      <c r="I17" s="188"/>
      <c r="J17" s="188"/>
      <c r="K17" s="188"/>
      <c r="L17" s="191"/>
      <c r="M17" s="545"/>
    </row>
    <row r="18" spans="1:13" ht="28.8">
      <c r="C18" s="544" t="str">
        <f>C15</f>
        <v xml:space="preserve">Beginning 282 (including adjustments) </v>
      </c>
      <c r="D18" s="188"/>
      <c r="E18" s="189" t="s">
        <v>356</v>
      </c>
      <c r="F18" s="188"/>
      <c r="G18" s="189" t="s">
        <v>357</v>
      </c>
      <c r="H18" s="188"/>
      <c r="I18" s="189" t="s">
        <v>358</v>
      </c>
      <c r="J18" s="188"/>
      <c r="K18" s="189" t="s">
        <v>359</v>
      </c>
      <c r="L18" s="191"/>
      <c r="M18" s="545"/>
    </row>
    <row r="19" spans="1:13">
      <c r="A19" s="541">
        <v>4</v>
      </c>
      <c r="B19" s="532" t="s">
        <v>522</v>
      </c>
      <c r="C19" s="190">
        <f>C16</f>
        <v>0</v>
      </c>
      <c r="D19" s="188"/>
      <c r="E19" s="189">
        <f>(276/365)*E16</f>
        <v>0</v>
      </c>
      <c r="F19" s="188"/>
      <c r="G19" s="189">
        <f>(185/365)*G16</f>
        <v>0</v>
      </c>
      <c r="H19" s="188"/>
      <c r="I19" s="189">
        <f>(93/365)*I16</f>
        <v>0</v>
      </c>
      <c r="J19" s="188"/>
      <c r="K19" s="189">
        <f>(1/365)*K16</f>
        <v>0</v>
      </c>
      <c r="L19" s="191"/>
      <c r="M19" s="545"/>
    </row>
    <row r="20" spans="1:13">
      <c r="C20" s="190"/>
      <c r="D20" s="188"/>
      <c r="E20" s="189"/>
      <c r="F20" s="188"/>
      <c r="G20" s="189"/>
      <c r="H20" s="188"/>
      <c r="I20" s="189"/>
      <c r="J20" s="188"/>
      <c r="K20" s="189"/>
      <c r="L20" s="191"/>
      <c r="M20" s="545"/>
    </row>
    <row r="21" spans="1:13" ht="28.8">
      <c r="C21" s="544" t="s">
        <v>847</v>
      </c>
      <c r="D21" s="188"/>
      <c r="E21" s="538" t="s">
        <v>501</v>
      </c>
      <c r="F21" s="539" t="s">
        <v>502</v>
      </c>
      <c r="G21" s="538" t="s">
        <v>503</v>
      </c>
      <c r="H21" s="539" t="s">
        <v>504</v>
      </c>
      <c r="I21" s="538" t="s">
        <v>505</v>
      </c>
      <c r="J21" s="539" t="s">
        <v>506</v>
      </c>
      <c r="K21" s="538" t="s">
        <v>507</v>
      </c>
      <c r="L21" s="540" t="s">
        <v>508</v>
      </c>
      <c r="M21" s="545"/>
    </row>
    <row r="22" spans="1:13">
      <c r="A22" s="541">
        <v>5</v>
      </c>
      <c r="B22" s="532" t="s">
        <v>522</v>
      </c>
      <c r="C22" s="542"/>
      <c r="D22" s="188"/>
      <c r="E22" s="543"/>
      <c r="F22" s="188">
        <f>SUM(C22:E22)</f>
        <v>0</v>
      </c>
      <c r="G22" s="543"/>
      <c r="H22" s="188">
        <f>SUM(F22:G22)</f>
        <v>0</v>
      </c>
      <c r="I22" s="543"/>
      <c r="J22" s="188">
        <f>SUM(H22:I22)</f>
        <v>0</v>
      </c>
      <c r="K22" s="543"/>
      <c r="L22" s="191">
        <f>SUM(J22:K22)</f>
        <v>0</v>
      </c>
      <c r="M22" s="545"/>
    </row>
    <row r="23" spans="1:13">
      <c r="C23" s="193"/>
      <c r="D23" s="188"/>
      <c r="E23" s="188"/>
      <c r="F23" s="188"/>
      <c r="G23" s="188"/>
      <c r="H23" s="188"/>
      <c r="I23" s="188"/>
      <c r="J23" s="188"/>
      <c r="K23" s="188"/>
      <c r="L23" s="191"/>
      <c r="M23" s="545"/>
    </row>
    <row r="24" spans="1:13" ht="30.6" customHeight="1">
      <c r="B24" s="546"/>
      <c r="C24" s="544" t="str">
        <f>C21</f>
        <v xml:space="preserve">Beginning 283 (Including adjustments) </v>
      </c>
      <c r="D24" s="188"/>
      <c r="E24" s="189" t="s">
        <v>356</v>
      </c>
      <c r="F24" s="188"/>
      <c r="G24" s="189" t="s">
        <v>357</v>
      </c>
      <c r="H24" s="188"/>
      <c r="I24" s="189" t="s">
        <v>358</v>
      </c>
      <c r="J24" s="188"/>
      <c r="K24" s="189" t="s">
        <v>359</v>
      </c>
      <c r="L24" s="191"/>
      <c r="M24" s="545"/>
    </row>
    <row r="25" spans="1:13" ht="15" thickBot="1">
      <c r="A25" s="541">
        <v>6</v>
      </c>
      <c r="B25" s="532" t="s">
        <v>522</v>
      </c>
      <c r="C25" s="312">
        <f>C22</f>
        <v>0</v>
      </c>
      <c r="D25" s="290"/>
      <c r="E25" s="404">
        <f>(276/365)*E22</f>
        <v>0</v>
      </c>
      <c r="F25" s="290"/>
      <c r="G25" s="404">
        <f>(185/365)*G22</f>
        <v>0</v>
      </c>
      <c r="H25" s="290"/>
      <c r="I25" s="404">
        <f>(93/365)*I22</f>
        <v>0</v>
      </c>
      <c r="J25" s="290"/>
      <c r="K25" s="404">
        <f>(1/365)*K22</f>
        <v>0</v>
      </c>
      <c r="L25" s="313"/>
      <c r="M25" s="545"/>
    </row>
    <row r="27" spans="1:13">
      <c r="C27" s="192"/>
      <c r="E27" s="194"/>
      <c r="G27" s="194"/>
      <c r="I27" s="194"/>
      <c r="K27" s="194"/>
    </row>
    <row r="28" spans="1:13">
      <c r="C28" s="189"/>
      <c r="D28" s="188"/>
      <c r="E28" s="189"/>
      <c r="F28" s="188"/>
      <c r="G28" s="189"/>
      <c r="H28" s="188"/>
      <c r="I28" s="189"/>
      <c r="J28" s="188"/>
      <c r="K28" s="189"/>
      <c r="L28" s="188"/>
    </row>
    <row r="30" spans="1:13">
      <c r="E30" s="188"/>
      <c r="G30" s="188"/>
      <c r="I30" s="188"/>
      <c r="K30" s="188"/>
      <c r="L30" s="188"/>
    </row>
    <row r="32" spans="1:13" ht="15.6">
      <c r="E32" s="797"/>
      <c r="M32" s="3"/>
    </row>
    <row r="33" spans="1:13" ht="15.6">
      <c r="E33" s="797"/>
      <c r="M33" s="3"/>
    </row>
    <row r="34" spans="1:13" ht="15.6">
      <c r="E34" s="797"/>
      <c r="G34" s="990"/>
      <c r="H34" s="991"/>
      <c r="M34" s="3"/>
    </row>
    <row r="36" spans="1:13">
      <c r="E36" s="562" t="s">
        <v>85</v>
      </c>
      <c r="F36" s="562" t="s">
        <v>86</v>
      </c>
      <c r="G36" s="562" t="s">
        <v>87</v>
      </c>
      <c r="H36" s="562" t="s">
        <v>88</v>
      </c>
      <c r="I36" s="562" t="s">
        <v>89</v>
      </c>
      <c r="J36" s="562" t="s">
        <v>90</v>
      </c>
      <c r="K36" s="562" t="s">
        <v>92</v>
      </c>
      <c r="L36" s="532"/>
      <c r="M36" s="532"/>
    </row>
    <row r="37" spans="1:13" ht="43.05" customHeight="1">
      <c r="E37" s="532"/>
      <c r="F37" s="538" t="s">
        <v>523</v>
      </c>
      <c r="G37" s="563" t="s">
        <v>549</v>
      </c>
      <c r="H37" s="562" t="s">
        <v>550</v>
      </c>
      <c r="I37" s="532"/>
      <c r="J37" s="562" t="s">
        <v>551</v>
      </c>
      <c r="K37" s="563" t="s">
        <v>552</v>
      </c>
      <c r="L37" s="532"/>
      <c r="M37" s="532"/>
    </row>
    <row r="38" spans="1:13" ht="61.5" customHeight="1">
      <c r="A38" s="533" t="s">
        <v>5</v>
      </c>
      <c r="B38" s="533"/>
      <c r="C38" s="547" t="s">
        <v>527</v>
      </c>
      <c r="E38" s="598" t="s">
        <v>610</v>
      </c>
      <c r="F38" s="548" t="s">
        <v>528</v>
      </c>
      <c r="G38" s="549" t="s">
        <v>529</v>
      </c>
      <c r="H38" s="549" t="s">
        <v>530</v>
      </c>
      <c r="I38" s="549" t="s">
        <v>531</v>
      </c>
      <c r="J38" s="549" t="s">
        <v>609</v>
      </c>
      <c r="K38" s="549" t="s">
        <v>608</v>
      </c>
    </row>
    <row r="40" spans="1:13">
      <c r="A40" s="541">
        <v>7</v>
      </c>
      <c r="B40" s="541" t="s">
        <v>522</v>
      </c>
      <c r="C40" s="550" t="s">
        <v>532</v>
      </c>
      <c r="E40" s="551">
        <v>0</v>
      </c>
      <c r="F40" s="188">
        <f>E10+G10+I10+K10</f>
        <v>0</v>
      </c>
      <c r="G40" s="188">
        <f>(C13+E13+G13+I13+K13)</f>
        <v>0</v>
      </c>
      <c r="H40" s="292">
        <f>E40-G40</f>
        <v>0</v>
      </c>
      <c r="I40" s="551">
        <v>0</v>
      </c>
      <c r="J40" s="552">
        <f>H40-I40</f>
        <v>0</v>
      </c>
      <c r="K40" s="552">
        <f>E40-I40-J40</f>
        <v>0</v>
      </c>
    </row>
    <row r="41" spans="1:13">
      <c r="H41" s="292"/>
      <c r="I41" s="553"/>
      <c r="J41" s="292"/>
      <c r="K41" s="292"/>
    </row>
    <row r="42" spans="1:13">
      <c r="A42" s="541">
        <v>8</v>
      </c>
      <c r="B42" s="541" t="s">
        <v>522</v>
      </c>
      <c r="C42" s="550" t="s">
        <v>533</v>
      </c>
      <c r="E42" s="551">
        <v>0</v>
      </c>
      <c r="F42" s="188">
        <f>E16+G16+I16+K16</f>
        <v>0</v>
      </c>
      <c r="G42" s="188">
        <f>(C19+E19+G19+I19+K19)</f>
        <v>0</v>
      </c>
      <c r="H42" s="292">
        <f>E42-G42</f>
        <v>0</v>
      </c>
      <c r="I42" s="551">
        <v>0</v>
      </c>
      <c r="J42" s="552">
        <f>H42-I42</f>
        <v>0</v>
      </c>
      <c r="K42" s="552">
        <f>-E42+I42+J42</f>
        <v>0</v>
      </c>
    </row>
    <row r="43" spans="1:13">
      <c r="A43" s="541"/>
      <c r="B43" s="541"/>
      <c r="H43" s="292"/>
      <c r="I43" s="553"/>
      <c r="J43" s="292"/>
      <c r="K43" s="292"/>
    </row>
    <row r="44" spans="1:13">
      <c r="A44" s="541">
        <v>9</v>
      </c>
      <c r="B44" s="541" t="s">
        <v>522</v>
      </c>
      <c r="C44" s="550" t="s">
        <v>534</v>
      </c>
      <c r="E44" s="551">
        <v>0</v>
      </c>
      <c r="F44" s="188">
        <f>E22+G22+I22+K22</f>
        <v>0</v>
      </c>
      <c r="G44" s="188">
        <f>(C25+E25+G25+I25+K25)</f>
        <v>0</v>
      </c>
      <c r="H44" s="292">
        <f>E44-G44</f>
        <v>0</v>
      </c>
      <c r="I44" s="551">
        <v>0</v>
      </c>
      <c r="J44" s="552">
        <f>H44-I44</f>
        <v>0</v>
      </c>
      <c r="K44" s="552">
        <f>-E44+I44+J44</f>
        <v>0</v>
      </c>
    </row>
    <row r="45" spans="1:13">
      <c r="A45" s="541"/>
      <c r="B45" s="541"/>
      <c r="H45" s="292"/>
      <c r="I45" s="553"/>
      <c r="J45" s="292"/>
      <c r="K45" s="292"/>
    </row>
    <row r="46" spans="1:13">
      <c r="A46" s="541">
        <v>10</v>
      </c>
      <c r="B46" s="541" t="s">
        <v>522</v>
      </c>
      <c r="C46" s="550" t="s">
        <v>535</v>
      </c>
      <c r="E46" s="292">
        <f>E40-E42-E44</f>
        <v>0</v>
      </c>
      <c r="F46" s="292">
        <f>F40-F42-F44</f>
        <v>0</v>
      </c>
      <c r="G46" s="292">
        <f>G40-G42-G44</f>
        <v>0</v>
      </c>
      <c r="H46" s="292">
        <f>H40-H42-H44</f>
        <v>0</v>
      </c>
      <c r="I46" s="292">
        <f>I40+I42+I44</f>
        <v>0</v>
      </c>
      <c r="J46" s="292">
        <f>J40+J42+J44</f>
        <v>0</v>
      </c>
      <c r="K46" s="292">
        <f>K40+K42+K44</f>
        <v>0</v>
      </c>
    </row>
    <row r="47" spans="1:13">
      <c r="A47" s="541"/>
      <c r="B47" s="541"/>
      <c r="E47" s="582"/>
      <c r="F47" s="582"/>
      <c r="G47" s="582"/>
    </row>
    <row r="48" spans="1:13">
      <c r="A48" s="541"/>
      <c r="B48" s="541"/>
      <c r="E48" s="582"/>
      <c r="F48" s="582"/>
      <c r="G48" s="582"/>
      <c r="I48" s="808"/>
      <c r="J48" s="808"/>
      <c r="K48" s="808"/>
    </row>
    <row r="49" spans="1:13">
      <c r="A49" s="541"/>
      <c r="B49" s="541"/>
      <c r="E49" s="582"/>
      <c r="F49" s="582"/>
      <c r="G49" s="582"/>
      <c r="I49" s="808"/>
      <c r="J49" s="808"/>
      <c r="K49" s="808"/>
    </row>
    <row r="50" spans="1:13">
      <c r="A50" s="541"/>
      <c r="B50" s="541"/>
      <c r="E50" s="582"/>
      <c r="F50" s="582"/>
      <c r="G50" s="582"/>
      <c r="I50" s="808"/>
      <c r="J50" s="808"/>
      <c r="K50" s="808"/>
      <c r="M50" s="292"/>
    </row>
    <row r="51" spans="1:13">
      <c r="A51" s="541"/>
      <c r="B51" s="184" t="s">
        <v>536</v>
      </c>
      <c r="E51" s="582"/>
      <c r="F51" s="582"/>
      <c r="G51" s="582"/>
      <c r="I51" s="808"/>
      <c r="J51" s="808"/>
      <c r="K51" s="808"/>
    </row>
    <row r="52" spans="1:13">
      <c r="A52" s="541"/>
      <c r="B52" s="992" t="s">
        <v>826</v>
      </c>
      <c r="C52" s="993"/>
      <c r="D52" s="993"/>
      <c r="E52" s="993"/>
      <c r="F52" s="993"/>
      <c r="G52" s="993"/>
      <c r="I52" s="808"/>
      <c r="J52" s="808"/>
      <c r="K52" s="808"/>
    </row>
    <row r="53" spans="1:13">
      <c r="A53" s="541"/>
      <c r="B53" s="937" t="s">
        <v>997</v>
      </c>
      <c r="C53" s="937"/>
      <c r="D53" s="937"/>
      <c r="E53" s="937"/>
      <c r="F53" s="937"/>
      <c r="G53" s="550"/>
      <c r="I53" s="808"/>
      <c r="J53" s="808"/>
      <c r="K53" s="808"/>
    </row>
    <row r="54" spans="1:13">
      <c r="A54" s="541"/>
    </row>
    <row r="55" spans="1:13">
      <c r="A55" s="541"/>
    </row>
    <row r="56" spans="1:13">
      <c r="A56" s="541"/>
    </row>
  </sheetData>
  <mergeCells count="3">
    <mergeCell ref="E7:L7"/>
    <mergeCell ref="G34:H34"/>
    <mergeCell ref="B52:G52"/>
  </mergeCells>
  <pageMargins left="0.7" right="0.7" top="0.75" bottom="0.75" header="0.3" footer="0.3"/>
  <pageSetup scale="50" orientation="landscape" r:id="rId1"/>
  <colBreaks count="1" manualBreakCount="1">
    <brk id="13" max="3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M79"/>
  <sheetViews>
    <sheetView view="pageBreakPreview" zoomScale="60" zoomScaleNormal="90" workbookViewId="0">
      <selection activeCell="C3" sqref="C3"/>
    </sheetView>
  </sheetViews>
  <sheetFormatPr defaultColWidth="8.81640625" defaultRowHeight="14.4"/>
  <cols>
    <col min="1" max="1" width="8.81640625" style="183"/>
    <col min="2" max="2" width="9" style="183" customWidth="1"/>
    <col min="3" max="3" width="27.26953125" style="183" customWidth="1"/>
    <col min="4" max="4" width="3.08984375" style="183" customWidth="1"/>
    <col min="5" max="5" width="14.81640625" style="183" customWidth="1"/>
    <col min="6" max="6" width="15.26953125" style="183" customWidth="1"/>
    <col min="7" max="8" width="13.7265625" style="183" customWidth="1"/>
    <col min="9" max="9" width="13.54296875" style="183" customWidth="1"/>
    <col min="10" max="10" width="16.54296875" style="183" customWidth="1"/>
    <col min="11" max="11" width="15.26953125" style="183" customWidth="1"/>
    <col min="12" max="12" width="12.81640625" style="183" customWidth="1"/>
    <col min="13" max="13" width="17.08984375" style="183" customWidth="1"/>
    <col min="14" max="16384" width="8.81640625" style="183"/>
  </cols>
  <sheetData>
    <row r="1" spans="1:13" ht="15.6">
      <c r="M1" s="3" t="s">
        <v>1037</v>
      </c>
    </row>
    <row r="2" spans="1:13" ht="15.6">
      <c r="M2" s="3" t="s">
        <v>1028</v>
      </c>
    </row>
    <row r="3" spans="1:13" ht="15.6">
      <c r="M3" s="3" t="s">
        <v>147</v>
      </c>
    </row>
    <row r="4" spans="1:13" ht="15.6">
      <c r="M4" s="3" t="str">
        <f>'Attachment 1 - Sched 1A'!$J$3</f>
        <v>For the 12 months ended 12/31/2023</v>
      </c>
    </row>
    <row r="5" spans="1:13" ht="15.6">
      <c r="C5" s="40"/>
    </row>
    <row r="6" spans="1:13" ht="15" thickBot="1">
      <c r="C6" s="532" t="s">
        <v>75</v>
      </c>
      <c r="D6" s="188"/>
      <c r="E6" s="532" t="s">
        <v>76</v>
      </c>
      <c r="F6" s="532" t="s">
        <v>77</v>
      </c>
      <c r="G6" s="532" t="s">
        <v>78</v>
      </c>
      <c r="H6" s="532" t="s">
        <v>79</v>
      </c>
      <c r="I6" s="532" t="s">
        <v>80</v>
      </c>
      <c r="J6" s="532" t="s">
        <v>81</v>
      </c>
      <c r="K6" s="532" t="s">
        <v>83</v>
      </c>
      <c r="L6" s="532" t="s">
        <v>84</v>
      </c>
    </row>
    <row r="7" spans="1:13" ht="15" thickBot="1">
      <c r="A7" s="533" t="s">
        <v>5</v>
      </c>
      <c r="B7" s="533"/>
      <c r="C7" s="534"/>
      <c r="D7" s="290"/>
      <c r="E7" s="988" t="s">
        <v>1157</v>
      </c>
      <c r="F7" s="988"/>
      <c r="G7" s="988"/>
      <c r="H7" s="988"/>
      <c r="I7" s="988"/>
      <c r="J7" s="988"/>
      <c r="K7" s="988"/>
      <c r="L7" s="989"/>
    </row>
    <row r="8" spans="1:13">
      <c r="C8" s="185"/>
      <c r="E8" s="186"/>
      <c r="F8" s="186"/>
      <c r="G8" s="186"/>
      <c r="H8" s="186"/>
      <c r="I8" s="186"/>
      <c r="J8" s="186"/>
      <c r="K8" s="186"/>
      <c r="L8" s="187"/>
    </row>
    <row r="9" spans="1:13" ht="28.8">
      <c r="C9" s="536" t="s">
        <v>555</v>
      </c>
      <c r="D9" s="537"/>
      <c r="E9" s="538" t="s">
        <v>501</v>
      </c>
      <c r="F9" s="539" t="s">
        <v>502</v>
      </c>
      <c r="G9" s="538" t="s">
        <v>503</v>
      </c>
      <c r="H9" s="539" t="s">
        <v>504</v>
      </c>
      <c r="I9" s="538" t="s">
        <v>505</v>
      </c>
      <c r="J9" s="539" t="s">
        <v>506</v>
      </c>
      <c r="K9" s="538" t="s">
        <v>507</v>
      </c>
      <c r="L9" s="540" t="s">
        <v>508</v>
      </c>
    </row>
    <row r="10" spans="1:13">
      <c r="A10" s="541">
        <v>1</v>
      </c>
      <c r="B10" s="532" t="s">
        <v>522</v>
      </c>
      <c r="C10" s="542">
        <v>69717173.88357316</v>
      </c>
      <c r="D10" s="188"/>
      <c r="E10" s="543">
        <v>-3860096.4566282555</v>
      </c>
      <c r="F10" s="188">
        <f>SUM(C10:E10)</f>
        <v>65857077.426944904</v>
      </c>
      <c r="G10" s="543">
        <v>-3860096.4566282555</v>
      </c>
      <c r="H10" s="188">
        <f>SUM(F10:G10)</f>
        <v>61996980.970316648</v>
      </c>
      <c r="I10" s="543">
        <v>-3860096.4566282555</v>
      </c>
      <c r="J10" s="188">
        <f>SUM(H10:I10)</f>
        <v>58136884.513688393</v>
      </c>
      <c r="K10" s="543">
        <v>-3860096.4566282555</v>
      </c>
      <c r="L10" s="191">
        <f>SUM(J10:K10)</f>
        <v>54276788.057060137</v>
      </c>
    </row>
    <row r="11" spans="1:13">
      <c r="A11" s="541">
        <v>2</v>
      </c>
      <c r="B11" s="532" t="s">
        <v>537</v>
      </c>
      <c r="C11" s="542">
        <v>63360858.684215665</v>
      </c>
      <c r="D11" s="188"/>
      <c r="E11" s="543">
        <v>-2010011.3946843222</v>
      </c>
      <c r="F11" s="188">
        <f>SUM(C11:E11)</f>
        <v>61350847.289531343</v>
      </c>
      <c r="G11" s="543">
        <v>-1831604.7293587402</v>
      </c>
      <c r="H11" s="188">
        <f>SUM(F11:G11)</f>
        <v>59519242.560172603</v>
      </c>
      <c r="I11" s="543">
        <v>-2234169.8233294114</v>
      </c>
      <c r="J11" s="188">
        <f>SUM(H11:I11)</f>
        <v>57285072.736843191</v>
      </c>
      <c r="K11" s="543">
        <v>6027377.6618288159</v>
      </c>
      <c r="L11" s="191">
        <f>SUM(J11:K11)</f>
        <v>63312450.398672007</v>
      </c>
      <c r="M11" s="582"/>
    </row>
    <row r="12" spans="1:13">
      <c r="C12" s="193"/>
      <c r="D12" s="188"/>
      <c r="E12" s="188"/>
      <c r="F12" s="188"/>
      <c r="G12" s="188"/>
      <c r="H12" s="188"/>
      <c r="I12" s="188"/>
      <c r="J12" s="188"/>
      <c r="K12" s="188"/>
      <c r="L12" s="191"/>
    </row>
    <row r="13" spans="1:13" ht="28.8">
      <c r="C13" s="544" t="str">
        <f>C9</f>
        <v xml:space="preserve">Beginning 190 (including adjustments) </v>
      </c>
      <c r="D13" s="188"/>
      <c r="E13" s="189" t="s">
        <v>356</v>
      </c>
      <c r="F13" s="188"/>
      <c r="G13" s="189" t="s">
        <v>357</v>
      </c>
      <c r="H13" s="188"/>
      <c r="I13" s="189" t="s">
        <v>358</v>
      </c>
      <c r="J13" s="188"/>
      <c r="K13" s="189" t="s">
        <v>359</v>
      </c>
      <c r="L13" s="191"/>
    </row>
    <row r="14" spans="1:13">
      <c r="A14" s="541">
        <v>3</v>
      </c>
      <c r="B14" s="532" t="s">
        <v>522</v>
      </c>
      <c r="C14" s="190">
        <f>C10</f>
        <v>69717173.88357316</v>
      </c>
      <c r="D14" s="188"/>
      <c r="E14" s="189">
        <f>(276/365)*E10</f>
        <v>-2918867.4576147906</v>
      </c>
      <c r="F14" s="188"/>
      <c r="G14" s="189">
        <f>(185/365)*G10</f>
        <v>-1956487.2451403488</v>
      </c>
      <c r="H14" s="188"/>
      <c r="I14" s="189">
        <f>(93/365)*I10</f>
        <v>-983531.42593541858</v>
      </c>
      <c r="J14" s="188"/>
      <c r="K14" s="189">
        <f>(1/365)*K10</f>
        <v>-10575.606730488371</v>
      </c>
      <c r="L14" s="191"/>
      <c r="M14" s="583"/>
    </row>
    <row r="15" spans="1:13">
      <c r="A15" s="541">
        <v>4</v>
      </c>
      <c r="B15" s="532" t="s">
        <v>537</v>
      </c>
      <c r="C15" s="190">
        <f>C11</f>
        <v>63360858.684215665</v>
      </c>
      <c r="D15" s="188"/>
      <c r="E15" s="189">
        <f>(276/365)*E11</f>
        <v>-1519899.0272133504</v>
      </c>
      <c r="F15" s="188"/>
      <c r="G15" s="189">
        <f>(185/365)*G11</f>
        <v>-928347.6025516903</v>
      </c>
      <c r="H15" s="188"/>
      <c r="I15" s="189">
        <f>(93/365)*I11</f>
        <v>-569254.22895790485</v>
      </c>
      <c r="J15" s="188"/>
      <c r="K15" s="189">
        <f>(1/365)*K11</f>
        <v>16513.36345706525</v>
      </c>
      <c r="L15" s="191"/>
      <c r="M15" s="583"/>
    </row>
    <row r="16" spans="1:13">
      <c r="C16" s="190"/>
      <c r="D16" s="188"/>
      <c r="E16" s="189"/>
      <c r="F16" s="188"/>
      <c r="G16" s="189"/>
      <c r="H16" s="188"/>
      <c r="I16" s="189"/>
      <c r="J16" s="188"/>
      <c r="K16" s="189"/>
      <c r="L16" s="191"/>
      <c r="M16" s="583"/>
    </row>
    <row r="17" spans="1:13" ht="28.8">
      <c r="C17" s="544" t="s">
        <v>554</v>
      </c>
      <c r="D17" s="188"/>
      <c r="E17" s="538" t="s">
        <v>501</v>
      </c>
      <c r="F17" s="539" t="s">
        <v>502</v>
      </c>
      <c r="G17" s="538" t="s">
        <v>503</v>
      </c>
      <c r="H17" s="539" t="s">
        <v>504</v>
      </c>
      <c r="I17" s="538" t="s">
        <v>505</v>
      </c>
      <c r="J17" s="539" t="s">
        <v>506</v>
      </c>
      <c r="K17" s="538" t="s">
        <v>507</v>
      </c>
      <c r="L17" s="540" t="s">
        <v>508</v>
      </c>
      <c r="M17" s="583"/>
    </row>
    <row r="18" spans="1:13">
      <c r="A18" s="541">
        <v>5</v>
      </c>
      <c r="B18" s="532" t="s">
        <v>522</v>
      </c>
      <c r="C18" s="542">
        <v>433170103.52877808</v>
      </c>
      <c r="D18" s="188"/>
      <c r="E18" s="543">
        <v>5046194.3172566146</v>
      </c>
      <c r="F18" s="188">
        <f>SUM(C18:E18)</f>
        <v>438216297.84603471</v>
      </c>
      <c r="G18" s="543">
        <v>5046194.3172566146</v>
      </c>
      <c r="H18" s="188">
        <f>SUM(F18:G18)</f>
        <v>443262492.16329134</v>
      </c>
      <c r="I18" s="543">
        <v>5046194.3172566146</v>
      </c>
      <c r="J18" s="188">
        <f>SUM(H18:I18)</f>
        <v>448308686.48054796</v>
      </c>
      <c r="K18" s="543">
        <v>5046194.3172566146</v>
      </c>
      <c r="L18" s="191">
        <f>SUM(J18:K18)</f>
        <v>453354880.79780459</v>
      </c>
      <c r="M18" s="583"/>
    </row>
    <row r="19" spans="1:13">
      <c r="A19" s="541">
        <v>6</v>
      </c>
      <c r="B19" s="532" t="s">
        <v>537</v>
      </c>
      <c r="C19" s="542">
        <v>430137214.33923352</v>
      </c>
      <c r="D19" s="188"/>
      <c r="E19" s="543">
        <v>5651743.4316308498</v>
      </c>
      <c r="F19" s="188">
        <f>SUM(C19:E19)</f>
        <v>435788957.77086437</v>
      </c>
      <c r="G19" s="543">
        <v>5651743.4316310883</v>
      </c>
      <c r="H19" s="188">
        <f>SUM(F19:G19)</f>
        <v>441440701.20249546</v>
      </c>
      <c r="I19" s="543">
        <v>5651743.4316307902</v>
      </c>
      <c r="J19" s="188">
        <f>SUM(H19:I19)</f>
        <v>447092444.63412625</v>
      </c>
      <c r="K19" s="543">
        <v>5651743.4316310287</v>
      </c>
      <c r="L19" s="191">
        <f>SUM(J19:K19)</f>
        <v>452744188.06575727</v>
      </c>
      <c r="M19" s="582"/>
    </row>
    <row r="20" spans="1:13">
      <c r="C20" s="193"/>
      <c r="D20" s="188"/>
      <c r="E20" s="188"/>
      <c r="F20" s="188"/>
      <c r="G20" s="188"/>
      <c r="H20" s="188"/>
      <c r="I20" s="188"/>
      <c r="J20" s="188"/>
      <c r="K20" s="188"/>
      <c r="L20" s="191"/>
      <c r="M20" s="583"/>
    </row>
    <row r="21" spans="1:13" ht="28.8">
      <c r="C21" s="544" t="str">
        <f>C17</f>
        <v xml:space="preserve">Beginning 282 (including adjustments) </v>
      </c>
      <c r="D21" s="188"/>
      <c r="E21" s="189" t="s">
        <v>356</v>
      </c>
      <c r="F21" s="188"/>
      <c r="G21" s="189" t="s">
        <v>357</v>
      </c>
      <c r="H21" s="188"/>
      <c r="I21" s="189" t="s">
        <v>358</v>
      </c>
      <c r="J21" s="188"/>
      <c r="K21" s="189" t="s">
        <v>359</v>
      </c>
      <c r="L21" s="191"/>
      <c r="M21" s="583"/>
    </row>
    <row r="22" spans="1:13">
      <c r="A22" s="541">
        <v>7</v>
      </c>
      <c r="B22" s="532" t="s">
        <v>522</v>
      </c>
      <c r="C22" s="190">
        <f>C18</f>
        <v>433170103.52877808</v>
      </c>
      <c r="D22" s="188"/>
      <c r="E22" s="189">
        <f>(276/365)*E18</f>
        <v>3815752.4152406179</v>
      </c>
      <c r="F22" s="188"/>
      <c r="G22" s="189">
        <f>(185/365)*G18</f>
        <v>2557660.1334040374</v>
      </c>
      <c r="H22" s="188"/>
      <c r="I22" s="189">
        <f>(93/365)*I18</f>
        <v>1285742.6616571648</v>
      </c>
      <c r="J22" s="188"/>
      <c r="K22" s="189">
        <f>(1/365)*K18</f>
        <v>13825.189910292094</v>
      </c>
      <c r="L22" s="191"/>
      <c r="M22" s="583"/>
    </row>
    <row r="23" spans="1:13">
      <c r="A23" s="541">
        <v>8</v>
      </c>
      <c r="B23" s="532" t="s">
        <v>537</v>
      </c>
      <c r="C23" s="190">
        <f>C19</f>
        <v>430137214.33923352</v>
      </c>
      <c r="D23" s="188"/>
      <c r="E23" s="189">
        <f>(276/365)*E19</f>
        <v>4273647.088027711</v>
      </c>
      <c r="F23" s="188"/>
      <c r="G23" s="189">
        <f>(185/365)*G19</f>
        <v>2864582.2872650721</v>
      </c>
      <c r="H23" s="188"/>
      <c r="I23" s="189">
        <f>(93/365)*I19</f>
        <v>1440033.2579223658</v>
      </c>
      <c r="J23" s="188"/>
      <c r="K23" s="189">
        <f>(1/365)*K19</f>
        <v>15484.228579811037</v>
      </c>
      <c r="L23" s="191"/>
      <c r="M23" s="583"/>
    </row>
    <row r="24" spans="1:13">
      <c r="C24" s="190"/>
      <c r="D24" s="188"/>
      <c r="E24" s="189"/>
      <c r="F24" s="188"/>
      <c r="G24" s="189"/>
      <c r="H24" s="188"/>
      <c r="I24" s="189"/>
      <c r="J24" s="188"/>
      <c r="K24" s="189"/>
      <c r="L24" s="191"/>
      <c r="M24" s="583"/>
    </row>
    <row r="25" spans="1:13" ht="28.8">
      <c r="C25" s="544" t="s">
        <v>847</v>
      </c>
      <c r="D25" s="188"/>
      <c r="E25" s="538" t="s">
        <v>501</v>
      </c>
      <c r="F25" s="539" t="s">
        <v>502</v>
      </c>
      <c r="G25" s="538" t="s">
        <v>503</v>
      </c>
      <c r="H25" s="539" t="s">
        <v>504</v>
      </c>
      <c r="I25" s="538" t="s">
        <v>505</v>
      </c>
      <c r="J25" s="539" t="s">
        <v>506</v>
      </c>
      <c r="K25" s="538" t="s">
        <v>507</v>
      </c>
      <c r="L25" s="540" t="s">
        <v>508</v>
      </c>
      <c r="M25" s="583"/>
    </row>
    <row r="26" spans="1:13">
      <c r="A26" s="541">
        <v>9</v>
      </c>
      <c r="B26" s="532" t="s">
        <v>522</v>
      </c>
      <c r="C26" s="542">
        <v>11177742.995413989</v>
      </c>
      <c r="D26" s="188"/>
      <c r="E26" s="543">
        <v>-229115.58681057394</v>
      </c>
      <c r="F26" s="188">
        <f>SUM(C26:E26)</f>
        <v>10948627.408603415</v>
      </c>
      <c r="G26" s="543">
        <v>-229115.58681057394</v>
      </c>
      <c r="H26" s="188">
        <f>SUM(F26:G26)</f>
        <v>10719511.821792841</v>
      </c>
      <c r="I26" s="543">
        <v>-229115.58681057394</v>
      </c>
      <c r="J26" s="188">
        <f>SUM(H26:I26)</f>
        <v>10490396.234982267</v>
      </c>
      <c r="K26" s="543">
        <v>-229115.58681057394</v>
      </c>
      <c r="L26" s="191">
        <f>SUM(J26:K26)</f>
        <v>10261280.648171693</v>
      </c>
      <c r="M26" s="583"/>
    </row>
    <row r="27" spans="1:13">
      <c r="A27" s="541">
        <v>10</v>
      </c>
      <c r="B27" s="532" t="s">
        <v>537</v>
      </c>
      <c r="C27" s="542">
        <v>10940296.615012396</v>
      </c>
      <c r="D27" s="188"/>
      <c r="E27" s="543">
        <v>116557.95190025494</v>
      </c>
      <c r="F27" s="188">
        <f>SUM(C27:E27)</f>
        <v>11056854.566912651</v>
      </c>
      <c r="G27" s="554">
        <v>-210467.25869382173</v>
      </c>
      <c r="H27" s="188">
        <f>SUM(F27:G27)</f>
        <v>10846387.308218829</v>
      </c>
      <c r="I27" s="543">
        <v>-745132.40155680478</v>
      </c>
      <c r="J27" s="188">
        <f>SUM(H27:I27)</f>
        <v>10101254.906662025</v>
      </c>
      <c r="K27" s="543">
        <v>-482922.60594641417</v>
      </c>
      <c r="L27" s="191">
        <f>SUM(J27:K27)</f>
        <v>9618332.3007156104</v>
      </c>
      <c r="M27" s="582"/>
    </row>
    <row r="28" spans="1:13">
      <c r="C28" s="193"/>
      <c r="D28" s="188"/>
      <c r="E28" s="188"/>
      <c r="F28" s="188"/>
      <c r="G28" s="188"/>
      <c r="H28" s="188"/>
      <c r="I28" s="188"/>
      <c r="J28" s="188"/>
      <c r="K28" s="188"/>
      <c r="L28" s="191"/>
      <c r="M28" s="583"/>
    </row>
    <row r="29" spans="1:13" ht="28.8">
      <c r="B29" s="546"/>
      <c r="C29" s="544" t="str">
        <f>C25</f>
        <v xml:space="preserve">Beginning 283 (Including adjustments) </v>
      </c>
      <c r="D29" s="188"/>
      <c r="E29" s="189" t="s">
        <v>356</v>
      </c>
      <c r="F29" s="188"/>
      <c r="G29" s="189" t="s">
        <v>357</v>
      </c>
      <c r="H29" s="188"/>
      <c r="I29" s="189" t="s">
        <v>358</v>
      </c>
      <c r="J29" s="188"/>
      <c r="K29" s="189" t="s">
        <v>359</v>
      </c>
      <c r="L29" s="191"/>
      <c r="M29" s="583"/>
    </row>
    <row r="30" spans="1:13">
      <c r="A30" s="541">
        <v>11</v>
      </c>
      <c r="B30" s="532" t="s">
        <v>522</v>
      </c>
      <c r="C30" s="190">
        <f>C26</f>
        <v>11177742.995413989</v>
      </c>
      <c r="D30" s="188"/>
      <c r="E30" s="189">
        <f>(276/365)*E26</f>
        <v>-173249.04646498195</v>
      </c>
      <c r="F30" s="188"/>
      <c r="G30" s="189">
        <f>(185/365)*G26</f>
        <v>-116127.07824645529</v>
      </c>
      <c r="H30" s="188"/>
      <c r="I30" s="189">
        <f>(93/365)*I26</f>
        <v>-58377.396091461305</v>
      </c>
      <c r="J30" s="188"/>
      <c r="K30" s="189">
        <f>(1/365)*K26</f>
        <v>-627.71393646732588</v>
      </c>
      <c r="L30" s="191"/>
      <c r="M30" s="583"/>
    </row>
    <row r="31" spans="1:13" ht="15" thickBot="1">
      <c r="A31" s="541">
        <v>12</v>
      </c>
      <c r="B31" s="532" t="s">
        <v>537</v>
      </c>
      <c r="C31" s="312">
        <f>C27</f>
        <v>10940296.615012396</v>
      </c>
      <c r="D31" s="290"/>
      <c r="E31" s="404">
        <f>(276/365)*E27</f>
        <v>88136.971847863999</v>
      </c>
      <c r="F31" s="290"/>
      <c r="G31" s="404">
        <f>(185/365)*G27</f>
        <v>-106675.18591330691</v>
      </c>
      <c r="H31" s="290"/>
      <c r="I31" s="404">
        <f>(93/365)*I27</f>
        <v>-189855.65299940505</v>
      </c>
      <c r="J31" s="290"/>
      <c r="K31" s="404">
        <f>(1/365)*K27</f>
        <v>-1323.0756327299018</v>
      </c>
      <c r="L31" s="555"/>
    </row>
    <row r="33" spans="1:13">
      <c r="C33" s="188"/>
      <c r="D33" s="188"/>
      <c r="E33" s="188"/>
      <c r="F33" s="188"/>
      <c r="G33" s="188"/>
      <c r="H33" s="188"/>
      <c r="I33" s="188"/>
      <c r="J33" s="188"/>
      <c r="K33" s="188"/>
      <c r="L33" s="188"/>
    </row>
    <row r="34" spans="1:13">
      <c r="C34" s="188"/>
      <c r="D34" s="188"/>
      <c r="E34" s="188"/>
      <c r="F34" s="188"/>
      <c r="G34" s="188"/>
      <c r="H34" s="188"/>
      <c r="I34" s="188"/>
      <c r="J34" s="188"/>
      <c r="K34" s="188"/>
      <c r="L34" s="188"/>
    </row>
    <row r="36" spans="1:13" ht="15.6">
      <c r="A36" s="568"/>
      <c r="M36" s="3" t="s">
        <v>1037</v>
      </c>
    </row>
    <row r="37" spans="1:13" ht="15.6">
      <c r="M37" s="3" t="s">
        <v>1028</v>
      </c>
    </row>
    <row r="38" spans="1:13" ht="15.6">
      <c r="M38" s="3" t="s">
        <v>150</v>
      </c>
    </row>
    <row r="39" spans="1:13" ht="15.6">
      <c r="M39" s="3" t="str">
        <f>'Attachment 1 - Sched 1A'!$J$3</f>
        <v>For the 12 months ended 12/31/2023</v>
      </c>
    </row>
    <row r="42" spans="1:13" ht="15.6">
      <c r="M42" s="3"/>
    </row>
    <row r="43" spans="1:13" ht="15.6">
      <c r="M43" s="3"/>
    </row>
    <row r="44" spans="1:13" ht="15.6">
      <c r="G44" s="994" t="s">
        <v>1163</v>
      </c>
      <c r="H44" s="991"/>
      <c r="M44" s="3"/>
    </row>
    <row r="46" spans="1:13">
      <c r="E46" s="532" t="s">
        <v>75</v>
      </c>
      <c r="F46" s="532" t="s">
        <v>76</v>
      </c>
      <c r="G46" s="532" t="s">
        <v>77</v>
      </c>
      <c r="H46" s="532" t="s">
        <v>78</v>
      </c>
      <c r="I46" s="532" t="s">
        <v>79</v>
      </c>
      <c r="J46" s="532" t="s">
        <v>80</v>
      </c>
      <c r="K46" s="532" t="s">
        <v>81</v>
      </c>
      <c r="L46" s="532"/>
      <c r="M46" s="532"/>
    </row>
    <row r="47" spans="1:13" ht="43.05" customHeight="1">
      <c r="E47" s="532"/>
      <c r="F47" s="538" t="s">
        <v>523</v>
      </c>
      <c r="G47" s="538" t="s">
        <v>524</v>
      </c>
      <c r="H47" s="532" t="s">
        <v>525</v>
      </c>
      <c r="I47" s="532"/>
      <c r="J47" s="532" t="s">
        <v>526</v>
      </c>
      <c r="K47" s="592" t="s">
        <v>562</v>
      </c>
      <c r="L47" s="532"/>
      <c r="M47" s="532"/>
    </row>
    <row r="48" spans="1:13" ht="61.5" customHeight="1">
      <c r="A48" s="533" t="s">
        <v>5</v>
      </c>
      <c r="B48" s="533"/>
      <c r="C48" s="547" t="s">
        <v>527</v>
      </c>
      <c r="E48" s="598" t="s">
        <v>610</v>
      </c>
      <c r="F48" s="548" t="s">
        <v>528</v>
      </c>
      <c r="G48" s="549" t="s">
        <v>529</v>
      </c>
      <c r="H48" s="549" t="s">
        <v>530</v>
      </c>
      <c r="I48" s="549" t="s">
        <v>531</v>
      </c>
      <c r="J48" s="549" t="s">
        <v>609</v>
      </c>
      <c r="K48" s="549" t="s">
        <v>608</v>
      </c>
    </row>
    <row r="50" spans="1:13">
      <c r="A50" s="541">
        <v>1</v>
      </c>
      <c r="B50" s="541" t="s">
        <v>522</v>
      </c>
      <c r="C50" s="550" t="s">
        <v>532</v>
      </c>
      <c r="E50" s="551">
        <v>58634973.370899096</v>
      </c>
      <c r="F50" s="188">
        <f>E10+G10+I10+K10</f>
        <v>-15440385.826513022</v>
      </c>
      <c r="G50" s="188">
        <f>C14+E14+G14+I14+K14</f>
        <v>63847712.148152106</v>
      </c>
      <c r="H50" s="292">
        <f>E50-G50</f>
        <v>-5212738.7772530094</v>
      </c>
      <c r="I50" s="551">
        <v>4358185.3138389625</v>
      </c>
      <c r="J50" s="552">
        <f>H50-I50</f>
        <v>-9570924.0910919718</v>
      </c>
      <c r="K50" s="552">
        <f>E50-I50-J50</f>
        <v>63847712.148152113</v>
      </c>
    </row>
    <row r="51" spans="1:13">
      <c r="H51" s="292"/>
      <c r="I51" s="553"/>
      <c r="J51" s="292"/>
      <c r="K51" s="292"/>
    </row>
    <row r="52" spans="1:13">
      <c r="A52" s="541">
        <v>2</v>
      </c>
      <c r="B52" s="541" t="s">
        <v>522</v>
      </c>
      <c r="C52" s="550" t="s">
        <v>533</v>
      </c>
      <c r="E52" s="551">
        <v>343625593.8125158</v>
      </c>
      <c r="F52" s="188">
        <f>E18+G18+I18+K18</f>
        <v>20184777.269026458</v>
      </c>
      <c r="G52" s="188">
        <f>C22+E22+G22+I22+K22</f>
        <v>440843083.92899019</v>
      </c>
      <c r="H52" s="292">
        <f>E52-G52</f>
        <v>-97217490.11647439</v>
      </c>
      <c r="I52" s="551">
        <v>-109729287.98528875</v>
      </c>
      <c r="J52" s="552">
        <f>H52-I52</f>
        <v>12511797.868814364</v>
      </c>
      <c r="K52" s="552">
        <f>-E52+I52+J52</f>
        <v>-440843083.92899019</v>
      </c>
    </row>
    <row r="53" spans="1:13">
      <c r="A53" s="541"/>
      <c r="B53" s="541"/>
      <c r="H53" s="292"/>
      <c r="I53" s="553"/>
      <c r="J53" s="292"/>
      <c r="K53" s="292"/>
    </row>
    <row r="54" spans="1:13">
      <c r="A54" s="541">
        <v>3</v>
      </c>
      <c r="B54" s="541" t="s">
        <v>522</v>
      </c>
      <c r="C54" s="550" t="s">
        <v>534</v>
      </c>
      <c r="E54" s="551">
        <v>-30621003.348898992</v>
      </c>
      <c r="F54" s="188">
        <f>E26+G26+I26+K26</f>
        <v>-916462.34724229574</v>
      </c>
      <c r="G54" s="188">
        <f>C30+E30+G30+I30+K30</f>
        <v>10829361.760674624</v>
      </c>
      <c r="H54" s="292">
        <f>E54-G54</f>
        <v>-41450365.109573618</v>
      </c>
      <c r="I54" s="551">
        <v>-40882283.99707067</v>
      </c>
      <c r="J54" s="552">
        <f>H54-I54</f>
        <v>-568081.11250294745</v>
      </c>
      <c r="K54" s="552">
        <f>-E54+I54+J54</f>
        <v>-10829361.760674626</v>
      </c>
    </row>
    <row r="55" spans="1:13">
      <c r="A55" s="541"/>
      <c r="B55" s="541"/>
      <c r="H55" s="292"/>
      <c r="I55" s="553"/>
      <c r="J55" s="292"/>
      <c r="K55" s="292"/>
    </row>
    <row r="56" spans="1:13">
      <c r="A56" s="541">
        <v>4</v>
      </c>
      <c r="B56" s="541" t="s">
        <v>522</v>
      </c>
      <c r="C56" s="550" t="s">
        <v>535</v>
      </c>
      <c r="E56" s="292">
        <f>E50-E52-E54</f>
        <v>-254369617.09271771</v>
      </c>
      <c r="F56" s="292">
        <f>F50-F52-F54</f>
        <v>-34708700.748297185</v>
      </c>
      <c r="G56" s="292">
        <f>G50-G52-G54</f>
        <v>-387824733.54151267</v>
      </c>
      <c r="H56" s="292">
        <f>H50-H52-H54</f>
        <v>133455116.44879501</v>
      </c>
      <c r="I56" s="292">
        <f>I50+I52+I54</f>
        <v>-146253386.66852045</v>
      </c>
      <c r="J56" s="292">
        <f>J50+J52+J54</f>
        <v>2372792.6652194448</v>
      </c>
      <c r="K56" s="292">
        <f>K50+K52+K54</f>
        <v>-387824733.54151273</v>
      </c>
    </row>
    <row r="57" spans="1:13">
      <c r="A57" s="541"/>
      <c r="B57" s="541"/>
    </row>
    <row r="58" spans="1:13">
      <c r="A58" s="541"/>
      <c r="B58" s="541"/>
    </row>
    <row r="59" spans="1:13">
      <c r="A59" s="541"/>
      <c r="B59" s="541"/>
    </row>
    <row r="60" spans="1:13">
      <c r="A60" s="541"/>
      <c r="B60" s="541"/>
      <c r="K60" s="292"/>
      <c r="M60" s="292"/>
    </row>
    <row r="61" spans="1:13">
      <c r="A61" s="541"/>
      <c r="B61" s="541"/>
      <c r="G61" s="994" t="s">
        <v>1164</v>
      </c>
      <c r="H61" s="991"/>
    </row>
    <row r="62" spans="1:13">
      <c r="A62" s="541"/>
      <c r="B62" s="541"/>
    </row>
    <row r="63" spans="1:13">
      <c r="A63" s="541"/>
      <c r="B63" s="541"/>
      <c r="E63" s="532" t="s">
        <v>83</v>
      </c>
      <c r="F63" s="532" t="s">
        <v>84</v>
      </c>
      <c r="G63" s="532" t="s">
        <v>85</v>
      </c>
      <c r="H63" s="532" t="s">
        <v>86</v>
      </c>
      <c r="I63" s="532" t="s">
        <v>87</v>
      </c>
      <c r="J63" s="532" t="s">
        <v>88</v>
      </c>
      <c r="K63" s="532" t="s">
        <v>89</v>
      </c>
      <c r="L63" s="532" t="s">
        <v>90</v>
      </c>
      <c r="M63" s="532" t="s">
        <v>92</v>
      </c>
    </row>
    <row r="64" spans="1:13" ht="45" customHeight="1">
      <c r="A64" s="541"/>
      <c r="B64" s="541"/>
      <c r="E64" s="532"/>
      <c r="F64" s="538" t="s">
        <v>523</v>
      </c>
      <c r="G64" s="538" t="s">
        <v>538</v>
      </c>
      <c r="H64" s="532" t="s">
        <v>539</v>
      </c>
      <c r="I64" s="538" t="s">
        <v>540</v>
      </c>
      <c r="J64" s="532"/>
      <c r="K64" s="532" t="s">
        <v>541</v>
      </c>
      <c r="L64" s="532" t="s">
        <v>542</v>
      </c>
      <c r="M64" s="592" t="s">
        <v>563</v>
      </c>
    </row>
    <row r="65" spans="1:13" ht="59.55" customHeight="1">
      <c r="A65" s="541"/>
      <c r="B65" s="541"/>
      <c r="C65" s="547" t="s">
        <v>527</v>
      </c>
      <c r="E65" s="598" t="s">
        <v>611</v>
      </c>
      <c r="F65" s="549" t="s">
        <v>543</v>
      </c>
      <c r="G65" s="549" t="s">
        <v>529</v>
      </c>
      <c r="H65" s="549" t="s">
        <v>544</v>
      </c>
      <c r="I65" s="549" t="s">
        <v>545</v>
      </c>
      <c r="J65" s="549" t="s">
        <v>531</v>
      </c>
      <c r="K65" s="549" t="s">
        <v>546</v>
      </c>
      <c r="L65" s="549" t="s">
        <v>609</v>
      </c>
      <c r="M65" s="549" t="s">
        <v>608</v>
      </c>
    </row>
    <row r="66" spans="1:13">
      <c r="A66" s="541"/>
      <c r="B66" s="541"/>
    </row>
    <row r="67" spans="1:13">
      <c r="A67" s="541">
        <v>5</v>
      </c>
      <c r="B67" s="541" t="s">
        <v>537</v>
      </c>
      <c r="C67" s="550" t="s">
        <v>532</v>
      </c>
      <c r="E67" s="551">
        <v>63295734.025325678</v>
      </c>
      <c r="F67" s="188">
        <f>E11+G11+I11+K11</f>
        <v>-48408.285543657839</v>
      </c>
      <c r="G67" s="188">
        <f>C15+E15+G15+I15+K15</f>
        <v>60359871.188949786</v>
      </c>
      <c r="H67" s="292">
        <f>E67-G67</f>
        <v>2935862.8363758922</v>
      </c>
      <c r="I67" s="556">
        <f>H50-H67</f>
        <v>-8148601.6136289015</v>
      </c>
      <c r="J67" s="551">
        <v>-16716.373346330016</v>
      </c>
      <c r="K67" s="292">
        <f>I50-J67</f>
        <v>4374901.6871852921</v>
      </c>
      <c r="L67" s="552">
        <f>H67+I67-J67-K67</f>
        <v>-9570924.0910919718</v>
      </c>
      <c r="M67" s="552">
        <f>E67-J67-L67</f>
        <v>72883374.489763975</v>
      </c>
    </row>
    <row r="68" spans="1:13">
      <c r="A68" s="541"/>
      <c r="B68" s="541"/>
      <c r="H68" s="292"/>
      <c r="I68" s="553"/>
      <c r="J68" s="553"/>
      <c r="L68" s="292"/>
      <c r="M68" s="552"/>
    </row>
    <row r="69" spans="1:13">
      <c r="A69" s="541">
        <v>6</v>
      </c>
      <c r="B69" s="541" t="s">
        <v>537</v>
      </c>
      <c r="C69" s="550" t="s">
        <v>533</v>
      </c>
      <c r="E69" s="551">
        <v>342342631.9000321</v>
      </c>
      <c r="F69" s="188">
        <f>E19+G19+I19+K19</f>
        <v>22606973.726523757</v>
      </c>
      <c r="G69" s="188">
        <f>C23+E23+G23+I23+K23</f>
        <v>438730961.20102847</v>
      </c>
      <c r="H69" s="292">
        <f>E69-G69</f>
        <v>-96388329.300996363</v>
      </c>
      <c r="I69" s="556">
        <f>H52-H69</f>
        <v>-829160.81547802687</v>
      </c>
      <c r="J69" s="551">
        <v>-110401556.16572516</v>
      </c>
      <c r="K69" s="292">
        <f>I52-J69</f>
        <v>672268.18043640256</v>
      </c>
      <c r="L69" s="552">
        <f>H69+I69-J69-K69</f>
        <v>12511797.868814364</v>
      </c>
      <c r="M69" s="552">
        <f>-E69+J69+L69</f>
        <v>-440232390.19694293</v>
      </c>
    </row>
    <row r="70" spans="1:13">
      <c r="A70" s="541"/>
      <c r="B70" s="541"/>
      <c r="H70" s="292"/>
      <c r="I70" s="553"/>
      <c r="J70" s="553"/>
      <c r="L70" s="292"/>
      <c r="M70" s="552"/>
    </row>
    <row r="71" spans="1:13">
      <c r="A71" s="541">
        <v>7</v>
      </c>
      <c r="B71" s="541" t="s">
        <v>537</v>
      </c>
      <c r="C71" s="550" t="s">
        <v>534</v>
      </c>
      <c r="E71" s="551">
        <v>-32339056.478772946</v>
      </c>
      <c r="F71" s="188">
        <f>E27+G27+I27+K27</f>
        <v>-1321964.3142967857</v>
      </c>
      <c r="G71" s="188">
        <f>C31+E31+G31+I31+K31</f>
        <v>10730579.672314817</v>
      </c>
      <c r="H71" s="292">
        <f>E71-G71</f>
        <v>-43069636.151087761</v>
      </c>
      <c r="I71" s="556">
        <f>H54-H71</f>
        <v>1619271.0415141433</v>
      </c>
      <c r="J71" s="551">
        <v>-41957388.779488556</v>
      </c>
      <c r="K71" s="292">
        <f>I54-J71</f>
        <v>1075104.782417886</v>
      </c>
      <c r="L71" s="552">
        <f>H71+I71-J71-K71</f>
        <v>-568081.11250294745</v>
      </c>
      <c r="M71" s="552">
        <f>-E71+J71+L71</f>
        <v>-10186413.413218558</v>
      </c>
    </row>
    <row r="72" spans="1:13">
      <c r="A72" s="541"/>
      <c r="B72" s="541"/>
      <c r="H72" s="292"/>
      <c r="I72" s="553"/>
      <c r="J72" s="553"/>
      <c r="L72" s="292"/>
      <c r="M72" s="292"/>
    </row>
    <row r="73" spans="1:13">
      <c r="A73" s="541">
        <v>8</v>
      </c>
      <c r="B73" s="541" t="s">
        <v>537</v>
      </c>
      <c r="C73" s="550" t="s">
        <v>535</v>
      </c>
      <c r="E73" s="292">
        <f>E67-E69-E71</f>
        <v>-246707841.39593351</v>
      </c>
      <c r="F73" s="292">
        <f>F67-F69-F71</f>
        <v>-21333417.697770629</v>
      </c>
      <c r="G73" s="292">
        <f>G67-G69-G71</f>
        <v>-389101669.68439353</v>
      </c>
      <c r="H73" s="292">
        <f>H67-H69-H71</f>
        <v>142393828.28846002</v>
      </c>
      <c r="I73" s="292">
        <f>I67+I69+I71</f>
        <v>-7358491.3875927851</v>
      </c>
      <c r="J73" s="292">
        <f>J67+J69+J71</f>
        <v>-152375661.31856003</v>
      </c>
      <c r="K73" s="292">
        <f>K67+K69+K71</f>
        <v>6122274.6500395807</v>
      </c>
      <c r="L73" s="292">
        <f>L67+L69+L71</f>
        <v>2372792.6652194448</v>
      </c>
      <c r="M73" s="292">
        <f>M67+M69+M71</f>
        <v>-377535429.12039751</v>
      </c>
    </row>
    <row r="74" spans="1:13">
      <c r="A74" s="541"/>
      <c r="B74" s="541"/>
    </row>
    <row r="75" spans="1:13">
      <c r="A75" s="541"/>
      <c r="B75" s="541"/>
    </row>
    <row r="76" spans="1:13">
      <c r="A76" s="541"/>
      <c r="B76" s="541"/>
    </row>
    <row r="77" spans="1:13">
      <c r="A77" s="541"/>
      <c r="B77" s="184" t="s">
        <v>536</v>
      </c>
    </row>
    <row r="78" spans="1:13" ht="14.55" customHeight="1">
      <c r="A78" s="541"/>
      <c r="B78" s="992" t="s">
        <v>827</v>
      </c>
      <c r="C78" s="995"/>
      <c r="D78" s="995"/>
      <c r="E78" s="995"/>
      <c r="F78" s="995"/>
      <c r="G78" s="995"/>
      <c r="K78" s="557"/>
    </row>
    <row r="79" spans="1:13">
      <c r="B79" s="937" t="s">
        <v>997</v>
      </c>
      <c r="C79" s="937"/>
      <c r="D79" s="937"/>
      <c r="E79" s="937"/>
      <c r="F79" s="937"/>
      <c r="G79" s="599"/>
    </row>
  </sheetData>
  <mergeCells count="4">
    <mergeCell ref="E7:L7"/>
    <mergeCell ref="G44:H44"/>
    <mergeCell ref="G61:H61"/>
    <mergeCell ref="B78:G78"/>
  </mergeCells>
  <pageMargins left="0.7" right="0.7" top="0.75" bottom="0.75" header="0.3" footer="0.3"/>
  <pageSetup scale="39" orientation="portrait" horizontalDpi="1200" verticalDpi="1200" r:id="rId1"/>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dimension ref="A1:H23"/>
  <sheetViews>
    <sheetView view="pageBreakPreview" zoomScaleNormal="100" zoomScaleSheetLayoutView="100" workbookViewId="0">
      <selection activeCell="C2" sqref="C2"/>
    </sheetView>
  </sheetViews>
  <sheetFormatPr defaultRowHeight="15"/>
  <cols>
    <col min="1" max="1" width="3" customWidth="1"/>
    <col min="2" max="2" width="1.7265625" customWidth="1"/>
    <col min="3" max="3" width="47.7265625" customWidth="1"/>
    <col min="5" max="7" width="14" customWidth="1"/>
    <col min="8" max="8" width="5.08984375" customWidth="1"/>
  </cols>
  <sheetData>
    <row r="1" spans="1:8" ht="15.6">
      <c r="H1" s="3" t="s">
        <v>454</v>
      </c>
    </row>
    <row r="2" spans="1:8" ht="15.6">
      <c r="H2" s="3" t="s">
        <v>144</v>
      </c>
    </row>
    <row r="3" spans="1:8" ht="15.6">
      <c r="A3" s="40"/>
      <c r="B3" s="63"/>
      <c r="F3" s="63"/>
      <c r="G3" s="63"/>
      <c r="H3" s="3" t="str">
        <f>'Attachment 1 - Sched 1A'!$J$3</f>
        <v>For the 12 months ended 12/31/2023</v>
      </c>
    </row>
    <row r="4" spans="1:8" ht="15.6">
      <c r="A4" s="40"/>
      <c r="B4" s="63"/>
      <c r="D4" s="63"/>
      <c r="E4" s="63"/>
      <c r="F4" s="63"/>
      <c r="G4" s="63"/>
    </row>
    <row r="5" spans="1:8">
      <c r="A5" s="142">
        <v>1</v>
      </c>
      <c r="B5" s="140"/>
      <c r="C5" s="141" t="s">
        <v>245</v>
      </c>
      <c r="D5" s="140"/>
      <c r="E5" s="142"/>
      <c r="F5" s="142"/>
      <c r="G5" s="142"/>
    </row>
    <row r="6" spans="1:8">
      <c r="A6" s="142"/>
      <c r="B6" s="140"/>
      <c r="C6" s="141"/>
      <c r="D6" s="140"/>
      <c r="E6" s="142"/>
      <c r="F6" s="142"/>
      <c r="G6" s="142"/>
    </row>
    <row r="7" spans="1:8">
      <c r="A7" s="142">
        <f>+A5+1</f>
        <v>2</v>
      </c>
      <c r="B7" s="140"/>
      <c r="C7" s="143" t="s">
        <v>440</v>
      </c>
      <c r="D7" s="144"/>
      <c r="E7" s="529" t="s">
        <v>8</v>
      </c>
      <c r="F7" s="528" t="s">
        <v>232</v>
      </c>
    </row>
    <row r="8" spans="1:8">
      <c r="A8" s="142">
        <f>+A7+1</f>
        <v>3</v>
      </c>
      <c r="B8" s="140"/>
      <c r="C8" s="145" t="s">
        <v>557</v>
      </c>
      <c r="D8" s="145"/>
      <c r="E8" s="197">
        <v>-155537000</v>
      </c>
      <c r="F8" s="145" t="s">
        <v>547</v>
      </c>
    </row>
    <row r="9" spans="1:8">
      <c r="A9" s="142">
        <f>+A8+1</f>
        <v>4</v>
      </c>
      <c r="B9" s="140"/>
      <c r="C9" s="145" t="s">
        <v>484</v>
      </c>
      <c r="D9" s="145"/>
      <c r="E9" s="197">
        <v>2363633077</v>
      </c>
      <c r="F9" s="145" t="s">
        <v>548</v>
      </c>
    </row>
    <row r="10" spans="1:8">
      <c r="A10" s="142">
        <f t="shared" ref="A10:A12" si="0">+A9+1</f>
        <v>5</v>
      </c>
      <c r="B10" s="142"/>
      <c r="C10" s="145" t="s">
        <v>475</v>
      </c>
      <c r="D10" s="145"/>
      <c r="E10" s="150">
        <f>E8/E9</f>
        <v>-6.5804206885365063E-2</v>
      </c>
      <c r="F10" s="145"/>
    </row>
    <row r="11" spans="1:8">
      <c r="A11" s="142">
        <f t="shared" si="0"/>
        <v>6</v>
      </c>
      <c r="B11" s="142"/>
      <c r="C11" s="145" t="s">
        <v>556</v>
      </c>
      <c r="D11" s="145"/>
      <c r="E11" s="198">
        <v>8070234</v>
      </c>
      <c r="F11" s="145" t="s">
        <v>518</v>
      </c>
    </row>
    <row r="12" spans="1:8">
      <c r="A12" s="142">
        <f t="shared" si="0"/>
        <v>7</v>
      </c>
      <c r="B12" s="142"/>
      <c r="C12" s="145" t="s">
        <v>476</v>
      </c>
      <c r="D12" s="146"/>
      <c r="E12" s="147">
        <f>E10*E11</f>
        <v>-531055.34774930729</v>
      </c>
    </row>
    <row r="14" spans="1:8">
      <c r="A14" s="142">
        <f>+A12+1</f>
        <v>8</v>
      </c>
      <c r="B14" s="142"/>
      <c r="C14" s="145" t="s">
        <v>558</v>
      </c>
      <c r="D14" s="145"/>
      <c r="E14" s="198">
        <v>-28706450</v>
      </c>
      <c r="F14" s="145" t="s">
        <v>519</v>
      </c>
    </row>
    <row r="15" spans="1:8">
      <c r="A15" s="142">
        <f>+A14+1</f>
        <v>9</v>
      </c>
      <c r="B15" s="142"/>
      <c r="C15" s="145" t="s">
        <v>559</v>
      </c>
      <c r="D15" s="145"/>
      <c r="E15" s="584">
        <f>'Attachment H-4A JCP&amp;L '!I192</f>
        <v>8.0618739267835124E-2</v>
      </c>
    </row>
    <row r="16" spans="1:8">
      <c r="A16" s="142">
        <v>10</v>
      </c>
      <c r="B16" s="142"/>
      <c r="C16" s="145" t="s">
        <v>560</v>
      </c>
      <c r="D16" s="145"/>
      <c r="E16" s="149">
        <f>E14*E15</f>
        <v>-2314277.8078551455</v>
      </c>
    </row>
    <row r="17" spans="1:7">
      <c r="D17" s="145"/>
      <c r="E17" s="149"/>
    </row>
    <row r="18" spans="1:7">
      <c r="A18" s="142">
        <v>11</v>
      </c>
      <c r="B18" s="142"/>
      <c r="C18" s="145" t="s">
        <v>808</v>
      </c>
      <c r="D18" s="145"/>
      <c r="E18" s="149">
        <f>E12-E16</f>
        <v>1783222.4601058383</v>
      </c>
      <c r="F18" s="810"/>
    </row>
    <row r="19" spans="1:7">
      <c r="A19" s="142"/>
      <c r="B19" s="142"/>
      <c r="D19" s="145"/>
      <c r="E19" s="149"/>
      <c r="F19" s="821"/>
    </row>
    <row r="20" spans="1:7">
      <c r="A20" s="142"/>
      <c r="B20" s="142"/>
      <c r="C20" s="145"/>
      <c r="D20" s="145"/>
      <c r="E20" s="149"/>
    </row>
    <row r="21" spans="1:7">
      <c r="A21" s="142"/>
      <c r="B21" s="142"/>
      <c r="C21" s="145"/>
      <c r="D21" s="145"/>
      <c r="E21" s="151"/>
      <c r="F21" s="151"/>
      <c r="G21" s="151"/>
    </row>
    <row r="22" spans="1:7">
      <c r="A22" s="142"/>
      <c r="B22" s="142"/>
      <c r="C22" s="145"/>
      <c r="D22" s="145"/>
      <c r="E22" s="149"/>
      <c r="F22" s="149"/>
      <c r="G22" s="149"/>
    </row>
    <row r="23" spans="1:7">
      <c r="A23" s="142">
        <v>12</v>
      </c>
      <c r="B23" s="142"/>
      <c r="C23" s="145" t="s">
        <v>517</v>
      </c>
      <c r="D23" s="145"/>
      <c r="E23" s="145"/>
    </row>
  </sheetData>
  <pageMargins left="0.7" right="0.7" top="0.75" bottom="0.75" header="0.3" footer="0.3"/>
  <pageSetup scale="6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CE01D7C72C4E44952DC06E43973F4C" ma:contentTypeVersion="7" ma:contentTypeDescription="Create a new document." ma:contentTypeScope="" ma:versionID="d7ee57176f39ee23a00c6e18256efe9f">
  <xsd:schema xmlns:xsd="http://www.w3.org/2001/XMLSchema" xmlns:xs="http://www.w3.org/2001/XMLSchema" xmlns:p="http://schemas.microsoft.com/office/2006/metadata/properties" xmlns:ns3="335eeac4-2490-4ed4-9fc5-fd6d46640f72" xmlns:ns4="b41bfa4d-99b9-4fe2-9074-4cfc37f0f061" targetNamespace="http://schemas.microsoft.com/office/2006/metadata/properties" ma:root="true" ma:fieldsID="32d584eb937501e2271cfde54130e539" ns3:_="" ns4:_="">
    <xsd:import namespace="335eeac4-2490-4ed4-9fc5-fd6d46640f72"/>
    <xsd:import namespace="b41bfa4d-99b9-4fe2-9074-4cfc37f0f06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eeac4-2490-4ed4-9fc5-fd6d46640f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bfa4d-99b9-4fe2-9074-4cfc37f0f06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B941FEB-75E7-4FAE-8B31-78576E81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eeac4-2490-4ed4-9fc5-fd6d46640f72"/>
    <ds:schemaRef ds:uri="b41bfa4d-99b9-4fe2-9074-4cfc37f0f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E908CAB-B39E-4379-97B1-A9C3ABDE0895}">
  <ds:schemaRefs>
    <ds:schemaRef ds:uri="http://schemas.microsoft.com/sharepoint/v3/contenttype/forms"/>
  </ds:schemaRefs>
</ds:datastoreItem>
</file>

<file path=customXml/itemProps3.xml><?xml version="1.0" encoding="utf-8"?>
<ds:datastoreItem xmlns:ds="http://schemas.openxmlformats.org/officeDocument/2006/customXml" ds:itemID="{F54CDD34-ADD8-4119-9952-8F866774AD1D}">
  <ds:schemaRefs>
    <ds:schemaRef ds:uri="http://schemas.microsoft.com/office/infopath/2007/PartnerControls"/>
    <ds:schemaRef ds:uri="http://purl.org/dc/elements/1.1/"/>
    <ds:schemaRef ds:uri="http://schemas.microsoft.com/office/2006/metadata/properties"/>
    <ds:schemaRef ds:uri="335eeac4-2490-4ed4-9fc5-fd6d46640f72"/>
    <ds:schemaRef ds:uri="http://purl.org/dc/terms/"/>
    <ds:schemaRef ds:uri="http://schemas.openxmlformats.org/package/2006/metadata/core-properties"/>
    <ds:schemaRef ds:uri="http://schemas.microsoft.com/office/2006/documentManagement/types"/>
    <ds:schemaRef ds:uri="b41bfa4d-99b9-4fe2-9074-4cfc37f0f06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39</vt:i4>
      </vt:variant>
    </vt:vector>
  </HeadingPairs>
  <TitlesOfParts>
    <vt:vector size="67" baseType="lpstr">
      <vt:lpstr>Attachment H-4A JCP&amp;L </vt:lpstr>
      <vt:lpstr>Attachment 1 - Sched 1A</vt:lpstr>
      <vt:lpstr>Attachment 2 - Incentive ROE</vt:lpstr>
      <vt:lpstr>Attachment 3 - Gross Plant</vt:lpstr>
      <vt:lpstr>Attachment 4 - Accum Depr</vt:lpstr>
      <vt:lpstr>Attachment 5 - ADIT</vt:lpstr>
      <vt:lpstr>Attachment 5a - ADIT Norm PTRR</vt:lpstr>
      <vt:lpstr>Attachment 5b - ADIT Norm ATRR</vt:lpstr>
      <vt:lpstr>Attachment 6 - PBOP</vt:lpstr>
      <vt:lpstr>Attachment 7 - TOTI</vt:lpstr>
      <vt:lpstr>Attachment 8 - Cap Structure</vt:lpstr>
      <vt:lpstr>Attach 9 - Stated-value Inputs</vt:lpstr>
      <vt:lpstr>Attachment 10 - Debt Cost</vt:lpstr>
      <vt:lpstr>Attachment 11 - TEC</vt:lpstr>
      <vt:lpstr>Attach 11a - TEC Cost Support</vt:lpstr>
      <vt:lpstr>Attachment 12 - TEC True-up</vt:lpstr>
      <vt:lpstr>Attachment 13 - NITS True-Up</vt:lpstr>
      <vt:lpstr>Attachment 13a - TEC True-Up</vt:lpstr>
      <vt:lpstr>Attachment 13b - PJM Billings</vt:lpstr>
      <vt:lpstr>Attachment 14a - Working Cap.</vt:lpstr>
      <vt:lpstr>Attachment 14b - Unfunded Res</vt:lpstr>
      <vt:lpstr>Attachment 15 - Income Taxes</vt:lpstr>
      <vt:lpstr>Att. 15a - TCJA DDIT and EDIT</vt:lpstr>
      <vt:lpstr>Attachment 16 - Abandoned Plant</vt:lpstr>
      <vt:lpstr>Attachment 17 - CWIP in RB</vt:lpstr>
      <vt:lpstr>Attachment 18 - Rev Creds</vt:lpstr>
      <vt:lpstr>Attachment 19 - Reg Asset-Liab</vt:lpstr>
      <vt:lpstr>Attachment 20 - OpEx</vt:lpstr>
      <vt:lpstr>CTF</vt:lpstr>
      <vt:lpstr>'Attachment 13a - TEC True-Up'!DA</vt:lpstr>
      <vt:lpstr>DA</vt:lpstr>
      <vt:lpstr>FIT</vt:lpstr>
      <vt:lpstr>GP</vt:lpstr>
      <vt:lpstr>P</vt:lpstr>
      <vt:lpstr>'Attach 11a - TEC Cost Support'!Print_Area</vt:lpstr>
      <vt:lpstr>'Attach 9 - Stated-value Inputs'!Print_Area</vt:lpstr>
      <vt:lpstr>'Attachment 1 - Sched 1A'!Print_Area</vt:lpstr>
      <vt:lpstr>'Attachment 10 - Debt Cost'!Print_Area</vt:lpstr>
      <vt:lpstr>'Attachment 11 - TEC'!Print_Area</vt:lpstr>
      <vt:lpstr>'Attachment 12 - TEC True-up'!Print_Area</vt:lpstr>
      <vt:lpstr>'Attachment 13b - PJM Billings'!Print_Area</vt:lpstr>
      <vt:lpstr>'Attachment 3 - Gross Plant'!Print_Area</vt:lpstr>
      <vt:lpstr>'Attachment 4 - Accum Depr'!Print_Area</vt:lpstr>
      <vt:lpstr>'Attachment 5a - ADIT Norm PTRR'!Print_Area</vt:lpstr>
      <vt:lpstr>'Attachment 5b - ADIT Norm ATRR'!Print_Area</vt:lpstr>
      <vt:lpstr>'Attachment 8 - Cap Structure'!Print_Area</vt:lpstr>
      <vt:lpstr>'Attachment H-4A JCP&amp;L '!Print_Area</vt:lpstr>
      <vt:lpstr>'Att. 15a - TCJA DDIT and EDIT'!Print_Titles</vt:lpstr>
      <vt:lpstr>'Attachment 11 - TEC'!Print_Titles</vt:lpstr>
      <vt:lpstr>'Attachment 12 - TEC True-up'!Print_Titles</vt:lpstr>
      <vt:lpstr>'Attachment 14a - Working Cap.'!Print_Titles</vt:lpstr>
      <vt:lpstr>'Attachment 14b - Unfunded Res'!Print_Titles</vt:lpstr>
      <vt:lpstr>'Attachment 17 - CWIP in RB'!Print_Titles</vt:lpstr>
      <vt:lpstr>'Attachment 18 - Rev Creds'!Print_Titles</vt:lpstr>
      <vt:lpstr>'Attachment 19 - Reg Asset-Liab'!Print_Titles</vt:lpstr>
      <vt:lpstr>'Attachment 20 - OpEx'!Print_Titles</vt:lpstr>
      <vt:lpstr>'Attachment 5 - ADIT'!Print_Titles</vt:lpstr>
      <vt:lpstr>'Attachment 7 - TOTI'!Print_Titles</vt:lpstr>
      <vt:lpstr>RF</vt:lpstr>
      <vt:lpstr>ROR</vt:lpstr>
      <vt:lpstr>SIT</vt:lpstr>
      <vt:lpstr>T</vt:lpstr>
      <vt:lpstr>TE</vt:lpstr>
      <vt:lpstr>TGUF</vt:lpstr>
      <vt:lpstr>TP</vt:lpstr>
      <vt:lpstr>WCLTD</vt:lpstr>
      <vt:lpstr>WS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Petruska, Alex M</dc:creator>
  <cp:lastModifiedBy>Petruska, Alex M</cp:lastModifiedBy>
  <dcterms:created xsi:type="dcterms:W3CDTF">2021-06-04T17:18:14Z</dcterms:created>
  <dcterms:modified xsi:type="dcterms:W3CDTF">2024-06-10T17:30:47Z</dcterms:modified>
</cp:coreProperties>
</file>