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codeName="ThisWorkbook"/>
  <bookViews>
    <workbookView xWindow="16770" yWindow="-75" windowWidth="16725" windowHeight="15705"/>
  </bookViews>
  <sheets>
    <sheet name="EKPC" sheetId="1" r:id="rId1"/>
    <sheet name="Appx A - Sch 1A" sheetId="50" r:id="rId2"/>
    <sheet name="Appx B - RTEP" sheetId="41" r:id="rId3"/>
    <sheet name="Appx C - True Up" sheetId="68" r:id="rId4"/>
    <sheet name="Appx D - Deprec" sheetId="64" r:id="rId5"/>
    <sheet name="Pg 1 of 8 M&amp;S Alloc" sheetId="66" r:id="rId6"/>
    <sheet name="P 2 of 8 Land Held for Future" sheetId="32" r:id="rId7"/>
    <sheet name="Pg 3 of 8 G&amp;A Adj" sheetId="19" r:id="rId8"/>
    <sheet name="Pg 4 of 8 Sch 1 Charges 561" sheetId="9" r:id="rId9"/>
    <sheet name="Pg 5 of 8 Trans Plant In OATT" sheetId="37" r:id="rId10"/>
    <sheet name="Pg 6 of 8 Rev Cred Support" sheetId="20" r:id="rId11"/>
    <sheet name="Pg 7 of 8 Cap Str" sheetId="26" r:id="rId12"/>
    <sheet name="Pg 8 of 8 Peak Load" sheetId="67" r:id="rId13"/>
  </sheets>
  <definedNames>
    <definedName name="Appendix_A">'Appx A - Sch 1A'!$A$1:$H$46</definedName>
    <definedName name="AppxB_Pg1_RTEP">'Appx B - RTEP'!$A$1:$I$44</definedName>
    <definedName name="AppxB_Pg2_RTEP">'Appx B - RTEP'!$K$47:$X$98</definedName>
    <definedName name="AppxC_Pg1_MTEP">#REF!</definedName>
    <definedName name="AppxC_Pg2_MTEP">#REF!</definedName>
    <definedName name="AppxD">'Appx D - Deprec'!$B$4:$H$36</definedName>
    <definedName name="AppxE">#REF!</definedName>
    <definedName name="AppxE_WP">#REF!</definedName>
    <definedName name="EKPC_1of6">EKPC!$A$1:$J$56</definedName>
    <definedName name="EKPC_2of6">EKPC!$A$57:$J$117</definedName>
    <definedName name="EKPC_3of6">EKPC!$A$118:$J$181</definedName>
    <definedName name="EKPC_4of6">EKPC!$A$182:$L$257</definedName>
    <definedName name="EKPC_5of6">EKPC!$A$258:$L$313</definedName>
    <definedName name="EKPC_6of6">EKPC!$A$260:$L$313</definedName>
    <definedName name="EKPC_Monthly_Transmission_System_Peak_Load">#REF!</definedName>
    <definedName name="PeakKW">#REF!</definedName>
    <definedName name="PG1_Support_KW">#REF!</definedName>
    <definedName name="PG2_Support_FAS106">#REF!</definedName>
    <definedName name="PG2_Support_LandHeld">'P 2 of 8 Land Held for Future'!$B$3:$E$30</definedName>
    <definedName name="PG2_Support_MS">#REF!</definedName>
    <definedName name="PG2_Support_TransPlant">'Pg 5 of 8 Trans Plant In OATT'!$B$1:$C$22</definedName>
    <definedName name="PG3_Support_Adv">'Pg 3 of 8 G&amp;A Adj'!$B$1:$D$41</definedName>
    <definedName name="PG3_Support_BAcosts">'Pg 4 of 8 Sch 1 Charges 561'!$B$1:$D$38</definedName>
    <definedName name="PG3_Support_StateTax">#REF!</definedName>
    <definedName name="PG4_Support_Ancillary">'Pg 5 of 8 Trans Plant In OATT'!$B$1:$C$24</definedName>
    <definedName name="PG4_Support_CapStructure">'Pg 7 of 8 Cap Str'!$A$1:$I$43</definedName>
    <definedName name="PG4_Support_RevCr">'Pg 6 of 8 Rev Cred Support'!$B$1:$E$49</definedName>
    <definedName name="_xlnm.Print_Area" localSheetId="1">'Appx A - Sch 1A'!$A$1:$H$46</definedName>
    <definedName name="_xlnm.Print_Area" localSheetId="2">'Appx B - RTEP'!$A$1:$I$54</definedName>
    <definedName name="_xlnm.Print_Area" localSheetId="3">'Appx C - True Up'!$A$1:$F$61</definedName>
    <definedName name="_xlnm.Print_Area" localSheetId="4">'Appx D - Deprec'!$A$1:$H$40</definedName>
    <definedName name="_xlnm.Print_Area" localSheetId="0">EKPC!$A$1:$J$305</definedName>
    <definedName name="_xlnm.Print_Area" localSheetId="6">'P 2 of 8 Land Held for Future'!$A$1:$E$28</definedName>
    <definedName name="_xlnm.Print_Area" localSheetId="5">'Pg 1 of 8 M&amp;S Alloc'!$A$1:$I$22</definedName>
    <definedName name="_xlnm.Print_Area" localSheetId="7">'Pg 3 of 8 G&amp;A Adj'!$A$1:$E$47</definedName>
    <definedName name="_xlnm.Print_Area" localSheetId="8">'Pg 4 of 8 Sch 1 Charges 561'!$A$1:$E$46</definedName>
    <definedName name="_xlnm.Print_Area" localSheetId="9">'Pg 5 of 8 Trans Plant In OATT'!$A$1:$D$25</definedName>
    <definedName name="_xlnm.Print_Area" localSheetId="10">'Pg 6 of 8 Rev Cred Support'!$A$1:$F$54</definedName>
    <definedName name="_xlnm.Print_Area" localSheetId="11">'Pg 7 of 8 Cap Str'!$A$1:$G$35</definedName>
    <definedName name="_xlnm.Print_Area" localSheetId="12">'Pg 8 of 8 Peak Load'!$A$1:$P$53</definedName>
    <definedName name="SCH_1A">'Appx A - Sch 1A'!$A$1:$H$46</definedName>
  </definedNames>
  <calcPr calcId="145621"/>
</workbook>
</file>

<file path=xl/calcChain.xml><?xml version="1.0" encoding="utf-8"?>
<calcChain xmlns="http://schemas.openxmlformats.org/spreadsheetml/2006/main">
  <c r="D22" i="19" l="1"/>
  <c r="E47" i="68" l="1"/>
  <c r="C57" i="68"/>
  <c r="E17" i="68"/>
  <c r="D45" i="67" l="1"/>
  <c r="E46" i="68" l="1"/>
  <c r="E21" i="68" l="1"/>
  <c r="E19" i="68" l="1"/>
  <c r="E83" i="1" l="1"/>
  <c r="E48" i="68" l="1"/>
  <c r="E18" i="68"/>
  <c r="D33" i="9" l="1"/>
  <c r="D24" i="9"/>
  <c r="E34" i="20"/>
  <c r="E31" i="20"/>
  <c r="G33" i="50" l="1"/>
  <c r="E219" i="1"/>
  <c r="E78" i="1"/>
  <c r="E52" i="68" l="1"/>
  <c r="D35" i="19" l="1"/>
  <c r="D33" i="19"/>
  <c r="O50" i="67" l="1"/>
  <c r="O49" i="67"/>
  <c r="D51" i="67"/>
  <c r="E51" i="67"/>
  <c r="F51" i="67"/>
  <c r="G51" i="67"/>
  <c r="H51" i="67"/>
  <c r="I51" i="67"/>
  <c r="J51" i="67"/>
  <c r="K51" i="67"/>
  <c r="L51" i="67"/>
  <c r="M51" i="67"/>
  <c r="N51" i="67"/>
  <c r="C51" i="67"/>
  <c r="O51" i="67" l="1"/>
  <c r="P50" i="67"/>
  <c r="C31" i="67" l="1"/>
  <c r="O41" i="67" l="1"/>
  <c r="P41" i="67" s="1"/>
  <c r="E45" i="67"/>
  <c r="E47" i="67" s="1"/>
  <c r="E53" i="67" s="1"/>
  <c r="F45" i="67"/>
  <c r="F47" i="67" s="1"/>
  <c r="F53" i="67" s="1"/>
  <c r="G45" i="67"/>
  <c r="G47" i="67" s="1"/>
  <c r="G53" i="67" s="1"/>
  <c r="H45" i="67"/>
  <c r="H47" i="67" s="1"/>
  <c r="H53" i="67" s="1"/>
  <c r="I45" i="67"/>
  <c r="I47" i="67" s="1"/>
  <c r="I53" i="67" s="1"/>
  <c r="J45" i="67"/>
  <c r="J47" i="67" s="1"/>
  <c r="J53" i="67" s="1"/>
  <c r="K45" i="67"/>
  <c r="K47" i="67" s="1"/>
  <c r="K53" i="67" s="1"/>
  <c r="L45" i="67"/>
  <c r="L47" i="67" s="1"/>
  <c r="L53" i="67" s="1"/>
  <c r="M45" i="67"/>
  <c r="M47" i="67" s="1"/>
  <c r="M53" i="67" s="1"/>
  <c r="N45" i="67"/>
  <c r="N47" i="67" s="1"/>
  <c r="N53" i="67" s="1"/>
  <c r="C45" i="67"/>
  <c r="O44" i="67"/>
  <c r="P44" i="67" s="1"/>
  <c r="O43" i="67"/>
  <c r="P43" i="67" s="1"/>
  <c r="D10" i="67" l="1"/>
  <c r="D47" i="67"/>
  <c r="D53" i="67" s="1"/>
  <c r="C10" i="67"/>
  <c r="C47" i="67"/>
  <c r="N10" i="67"/>
  <c r="M10" i="67"/>
  <c r="L10" i="67"/>
  <c r="K10" i="67"/>
  <c r="J10" i="67"/>
  <c r="I10" i="67"/>
  <c r="H10" i="67"/>
  <c r="G10" i="67"/>
  <c r="F10" i="67"/>
  <c r="E10" i="67"/>
  <c r="P45" i="67"/>
  <c r="O45" i="67"/>
  <c r="C53" i="67" l="1"/>
  <c r="O47" i="67"/>
  <c r="P47" i="67" s="1"/>
  <c r="D34" i="19"/>
  <c r="N31" i="67" l="1"/>
  <c r="N33" i="67" s="1"/>
  <c r="N35" i="67" s="1"/>
  <c r="M31" i="67"/>
  <c r="M33" i="67" s="1"/>
  <c r="M35" i="67" s="1"/>
  <c r="L31" i="67"/>
  <c r="L33" i="67" s="1"/>
  <c r="L35" i="67" s="1"/>
  <c r="K31" i="67"/>
  <c r="K33" i="67" s="1"/>
  <c r="K35" i="67" s="1"/>
  <c r="J31" i="67"/>
  <c r="J33" i="67" s="1"/>
  <c r="J35" i="67" s="1"/>
  <c r="I31" i="67"/>
  <c r="I33" i="67" s="1"/>
  <c r="I35" i="67" s="1"/>
  <c r="H31" i="67"/>
  <c r="H33" i="67" s="1"/>
  <c r="H35" i="67" s="1"/>
  <c r="G31" i="67"/>
  <c r="G33" i="67" s="1"/>
  <c r="G35" i="67" s="1"/>
  <c r="F31" i="67"/>
  <c r="F33" i="67" s="1"/>
  <c r="F35" i="67" s="1"/>
  <c r="E31" i="67"/>
  <c r="E33" i="67" s="1"/>
  <c r="E35" i="67" s="1"/>
  <c r="D31" i="67"/>
  <c r="D33" i="67" s="1"/>
  <c r="D35" i="67" s="1"/>
  <c r="C33" i="67"/>
  <c r="C35" i="67" s="1"/>
  <c r="D32" i="19" l="1"/>
  <c r="E51" i="68" l="1"/>
  <c r="C31" i="68" l="1"/>
  <c r="C305" i="1"/>
  <c r="A37" i="68"/>
  <c r="A6" i="68"/>
  <c r="A7" i="41"/>
  <c r="B54" i="20"/>
  <c r="B53" i="20"/>
  <c r="B51" i="20"/>
  <c r="B7" i="26"/>
  <c r="B6" i="26"/>
  <c r="G1" i="26"/>
  <c r="G34" i="50"/>
  <c r="A13" i="67"/>
  <c r="B45" i="19"/>
  <c r="B22" i="66"/>
  <c r="C58" i="68"/>
  <c r="C54" i="41"/>
  <c r="D45" i="50"/>
  <c r="C300" i="1"/>
  <c r="C293" i="1"/>
  <c r="C292" i="1"/>
  <c r="C291" i="1"/>
  <c r="C290" i="1"/>
  <c r="C287" i="1"/>
  <c r="C279" i="1"/>
  <c r="B21" i="20"/>
  <c r="G36" i="50" l="1"/>
  <c r="D37" i="19"/>
  <c r="D39" i="19" s="1"/>
  <c r="E142" i="1" s="1"/>
  <c r="C48" i="41" l="1"/>
  <c r="C47" i="41"/>
  <c r="B25" i="37" l="1"/>
  <c r="B28" i="9"/>
  <c r="B19" i="9"/>
  <c r="B43" i="19"/>
  <c r="C27" i="68"/>
  <c r="C28" i="68"/>
  <c r="H77" i="68"/>
  <c r="K77" i="68"/>
  <c r="B39" i="67" l="1"/>
  <c r="D27" i="50"/>
  <c r="H76" i="68"/>
  <c r="H75" i="68"/>
  <c r="I75" i="68" s="1"/>
  <c r="K78" i="68"/>
  <c r="B34" i="26"/>
  <c r="B33" i="26"/>
  <c r="K76" i="68"/>
  <c r="K75" i="68" s="1"/>
  <c r="H78" i="68" l="1"/>
  <c r="D29" i="50"/>
  <c r="J142" i="1"/>
  <c r="A268" i="1" l="1"/>
  <c r="A270" i="1"/>
  <c r="C302" i="1"/>
  <c r="A18" i="32" l="1"/>
  <c r="A19" i="32" s="1"/>
  <c r="A20" i="32" s="1"/>
  <c r="A21" i="32" s="1"/>
  <c r="A22" i="32" s="1"/>
  <c r="A23" i="32" s="1"/>
  <c r="D19" i="19"/>
  <c r="E140" i="1"/>
  <c r="E21" i="1"/>
  <c r="B46" i="9" l="1"/>
  <c r="C61" i="68"/>
  <c r="C29" i="68"/>
  <c r="A41" i="68"/>
  <c r="M86" i="41"/>
  <c r="M92" i="41"/>
  <c r="M91" i="41"/>
  <c r="E41" i="41"/>
  <c r="E37" i="41"/>
  <c r="E31" i="41"/>
  <c r="E27" i="41"/>
  <c r="E23" i="41"/>
  <c r="E20" i="41"/>
  <c r="E19" i="41"/>
  <c r="C59" i="68"/>
  <c r="A12" i="41"/>
  <c r="A10" i="68"/>
  <c r="J260" i="1"/>
  <c r="D44" i="50"/>
  <c r="J182" i="1"/>
  <c r="C303" i="1"/>
  <c r="B35" i="26"/>
  <c r="E50" i="68" l="1"/>
  <c r="E53" i="68" s="1"/>
  <c r="A16" i="68"/>
  <c r="A17" i="68" s="1"/>
  <c r="A18" i="68" s="1"/>
  <c r="A19" i="68" s="1"/>
  <c r="A20" i="68" s="1"/>
  <c r="A21" i="68" s="1"/>
  <c r="A22" i="68" s="1"/>
  <c r="A23" i="68" s="1"/>
  <c r="A24" i="68" s="1"/>
  <c r="A46" i="68" s="1"/>
  <c r="A47" i="68" s="1"/>
  <c r="A48" i="68" s="1"/>
  <c r="A49" i="68" s="1"/>
  <c r="A50" i="68" s="1"/>
  <c r="A51" i="68" s="1"/>
  <c r="A52" i="68" s="1"/>
  <c r="A53" i="68" s="1"/>
  <c r="A54" i="68" s="1"/>
  <c r="E54" i="68" l="1"/>
  <c r="I76" i="68"/>
  <c r="A8" i="68"/>
  <c r="A39" i="68" s="1"/>
  <c r="E4" i="68"/>
  <c r="E35" i="68" s="1"/>
  <c r="E1" i="68"/>
  <c r="E32" i="68" s="1"/>
  <c r="G23" i="1"/>
  <c r="G141" i="1"/>
  <c r="C17" i="68" l="1"/>
  <c r="C47" i="68"/>
  <c r="I78" i="68"/>
  <c r="I77" i="68"/>
  <c r="H17" i="37"/>
  <c r="C46" i="68" l="1"/>
  <c r="C18" i="68"/>
  <c r="C16" i="68"/>
  <c r="C49" i="68"/>
  <c r="C19" i="68"/>
  <c r="J236" i="1" l="1"/>
  <c r="C24" i="26"/>
  <c r="C26" i="26" s="1"/>
  <c r="D25" i="26" s="1"/>
  <c r="P1" i="67"/>
  <c r="J235" i="1" l="1"/>
  <c r="E241" i="1" s="1"/>
  <c r="D24" i="26"/>
  <c r="B7" i="20"/>
  <c r="B6" i="20"/>
  <c r="F1" i="20"/>
  <c r="B7" i="37"/>
  <c r="B6" i="37"/>
  <c r="D1" i="37"/>
  <c r="A7" i="9" l="1"/>
  <c r="A6" i="9"/>
  <c r="E1" i="9"/>
  <c r="B7" i="19"/>
  <c r="B6" i="19"/>
  <c r="E1" i="19"/>
  <c r="B7" i="32"/>
  <c r="B6" i="32"/>
  <c r="E1" i="32"/>
  <c r="I1" i="66"/>
  <c r="A14" i="66"/>
  <c r="A15" i="66" s="1"/>
  <c r="A16" i="66" s="1"/>
  <c r="H1" i="64"/>
  <c r="A6" i="64"/>
  <c r="B7" i="66"/>
  <c r="H19" i="1" l="1"/>
  <c r="A10" i="26"/>
  <c r="B2" i="67"/>
  <c r="O30" i="67" l="1"/>
  <c r="P30" i="67" s="1"/>
  <c r="O29" i="67"/>
  <c r="P29" i="67" s="1"/>
  <c r="O28" i="67"/>
  <c r="P28" i="67" s="1"/>
  <c r="O27" i="67"/>
  <c r="P27" i="67" s="1"/>
  <c r="O26" i="67"/>
  <c r="P26" i="67" s="1"/>
  <c r="O25" i="67"/>
  <c r="P25" i="67" s="1"/>
  <c r="O24" i="67"/>
  <c r="P24" i="67" s="1"/>
  <c r="O23" i="67"/>
  <c r="P23" i="67" s="1"/>
  <c r="O22" i="67"/>
  <c r="P22" i="67" s="1"/>
  <c r="O21" i="67"/>
  <c r="P21" i="67" s="1"/>
  <c r="O20" i="67"/>
  <c r="P20" i="67" s="1"/>
  <c r="O19" i="67"/>
  <c r="P19" i="67" s="1"/>
  <c r="O18" i="67"/>
  <c r="P18" i="67" s="1"/>
  <c r="O17" i="67"/>
  <c r="P17" i="67" s="1"/>
  <c r="O15" i="67"/>
  <c r="P15" i="67" s="1"/>
  <c r="A14" i="67"/>
  <c r="A15" i="67" s="1"/>
  <c r="A16" i="67" s="1"/>
  <c r="A17" i="67" s="1"/>
  <c r="A18" i="67" s="1"/>
  <c r="A19" i="67" s="1"/>
  <c r="A20" i="67" s="1"/>
  <c r="A21" i="67" s="1"/>
  <c r="A22" i="67" s="1"/>
  <c r="A23" i="67" s="1"/>
  <c r="A24" i="67" s="1"/>
  <c r="A25" i="67" s="1"/>
  <c r="A26" i="67" s="1"/>
  <c r="A27" i="67" s="1"/>
  <c r="A28" i="67" s="1"/>
  <c r="A29" i="67" s="1"/>
  <c r="A30" i="67" s="1"/>
  <c r="A31" i="67" s="1"/>
  <c r="A33" i="67" s="1"/>
  <c r="A35" i="67" s="1"/>
  <c r="O10" i="67"/>
  <c r="C16" i="66"/>
  <c r="E15" i="66" s="1"/>
  <c r="G15" i="66" s="1"/>
  <c r="P10" i="67" l="1"/>
  <c r="E14" i="66"/>
  <c r="G14" i="66" s="1"/>
  <c r="I16" i="66" s="1"/>
  <c r="E111" i="1" s="1"/>
  <c r="E13" i="66"/>
  <c r="G13" i="66" s="1"/>
  <c r="O31" i="67"/>
  <c r="O33" i="67" s="1"/>
  <c r="O35" i="67" l="1"/>
  <c r="P31" i="67"/>
  <c r="P33" i="67" s="1"/>
  <c r="E16" i="66"/>
  <c r="J31" i="1"/>
  <c r="P35" i="67" l="1"/>
  <c r="J230" i="1"/>
  <c r="E242" i="1" l="1"/>
  <c r="J238" i="1"/>
  <c r="J32" i="1"/>
  <c r="J57" i="1"/>
  <c r="J118" i="1"/>
  <c r="C20" i="26"/>
  <c r="A19" i="26"/>
  <c r="A20" i="26" s="1"/>
  <c r="A24" i="26" s="1"/>
  <c r="A25" i="26" s="1"/>
  <c r="A26" i="26" s="1"/>
  <c r="A28" i="26" s="1"/>
  <c r="I1" i="41"/>
  <c r="E16" i="41" s="1"/>
  <c r="G1" i="50"/>
  <c r="E24" i="26" l="1"/>
  <c r="E243" i="1"/>
  <c r="F241" i="1" s="1"/>
  <c r="H241" i="1" l="1"/>
  <c r="J241" i="1" s="1"/>
  <c r="E167" i="1" s="1"/>
  <c r="F24" i="26"/>
  <c r="E25" i="26" s="1"/>
  <c r="F242" i="1"/>
  <c r="H242" i="1" l="1"/>
  <c r="J242" i="1" s="1"/>
  <c r="J243" i="1" s="1"/>
  <c r="J245" i="1" s="1"/>
  <c r="F25" i="26"/>
  <c r="F26" i="26" s="1"/>
  <c r="F28" i="26" s="1"/>
  <c r="D37" i="9" l="1"/>
  <c r="D42" i="9" s="1"/>
  <c r="E17" i="37"/>
  <c r="G18" i="50" l="1"/>
  <c r="A4" i="64"/>
  <c r="A9" i="41"/>
  <c r="A6" i="50"/>
  <c r="A192" i="1"/>
  <c r="A128" i="1"/>
  <c r="A67" i="1"/>
  <c r="G19" i="50" l="1"/>
  <c r="G20" i="50" s="1"/>
  <c r="G25" i="50" s="1"/>
  <c r="G29" i="50" s="1"/>
  <c r="A8" i="50"/>
  <c r="A190" i="1"/>
  <c r="A126" i="1"/>
  <c r="A65" i="1"/>
  <c r="C23" i="32"/>
  <c r="E107" i="1" s="1"/>
  <c r="C21" i="37"/>
  <c r="J199" i="1" s="1"/>
  <c r="E36" i="20"/>
  <c r="E21" i="20"/>
  <c r="E24" i="20" s="1"/>
  <c r="J254" i="1" s="1"/>
  <c r="D26" i="9"/>
  <c r="D28" i="9" s="1"/>
  <c r="E135" i="1" s="1"/>
  <c r="D19" i="9"/>
  <c r="E137" i="1" s="1"/>
  <c r="D23" i="32"/>
  <c r="I4" i="41"/>
  <c r="G5" i="50"/>
  <c r="J207" i="1" l="1"/>
  <c r="E40" i="20"/>
  <c r="E46" i="20" s="1"/>
  <c r="J256" i="1" s="1"/>
  <c r="E20" i="1" s="1"/>
  <c r="J144" i="1"/>
  <c r="E162" i="1" l="1"/>
  <c r="C150" i="1" l="1"/>
  <c r="C148" i="1"/>
  <c r="E139" i="1" l="1"/>
  <c r="G22" i="1" l="1"/>
  <c r="G21" i="1"/>
  <c r="G20" i="1"/>
  <c r="K56" i="41" l="1"/>
  <c r="A267" i="1" l="1"/>
  <c r="A189" i="1"/>
  <c r="B39" i="50"/>
  <c r="A125" i="1"/>
  <c r="A64" i="1"/>
  <c r="E39" i="50" l="1"/>
  <c r="J251" i="1" l="1"/>
  <c r="J252" i="1" s="1"/>
  <c r="J223" i="1"/>
  <c r="G160" i="1"/>
  <c r="G103" i="1"/>
  <c r="G87" i="1"/>
  <c r="C87" i="1"/>
  <c r="C96" i="1" s="1"/>
  <c r="G86" i="1"/>
  <c r="C86" i="1"/>
  <c r="C95" i="1" s="1"/>
  <c r="H85" i="1"/>
  <c r="G85" i="1"/>
  <c r="C85" i="1"/>
  <c r="C94" i="1" s="1"/>
  <c r="G84" i="1"/>
  <c r="C84" i="1"/>
  <c r="H83" i="1"/>
  <c r="G83" i="1"/>
  <c r="G100" i="1" s="1"/>
  <c r="G159" i="1" s="1"/>
  <c r="C83" i="1"/>
  <c r="C91" i="1" s="1"/>
  <c r="J265" i="1" l="1"/>
  <c r="J63" i="1"/>
  <c r="J124" i="1"/>
  <c r="G4" i="26" s="1"/>
  <c r="J188" i="1"/>
  <c r="P4" i="67" l="1"/>
  <c r="D4" i="37"/>
  <c r="F4" i="20"/>
  <c r="E4" i="19"/>
  <c r="E4" i="9"/>
  <c r="E4" i="32"/>
  <c r="W84" i="41"/>
  <c r="K55" i="41"/>
  <c r="X54" i="41"/>
  <c r="E17" i="32" l="1"/>
  <c r="E18" i="32"/>
  <c r="E19" i="32"/>
  <c r="E20" i="32"/>
  <c r="E21" i="32"/>
  <c r="E22" i="32"/>
  <c r="H218" i="1"/>
  <c r="H219" i="1"/>
  <c r="E23" i="32" l="1"/>
  <c r="E227" i="1"/>
  <c r="H225" i="1" s="1"/>
  <c r="E19" i="1"/>
  <c r="E220" i="1"/>
  <c r="E151" i="1"/>
  <c r="E168" i="1"/>
  <c r="E95" i="1"/>
  <c r="E105" i="1"/>
  <c r="E96" i="1"/>
  <c r="E88" i="1"/>
  <c r="E94" i="1"/>
  <c r="H216" i="1"/>
  <c r="E92" i="1"/>
  <c r="J197" i="1"/>
  <c r="E80" i="1"/>
  <c r="E91" i="1"/>
  <c r="J206" i="1" l="1"/>
  <c r="J208" i="1" s="1"/>
  <c r="J210" i="1" s="1"/>
  <c r="G39" i="50"/>
  <c r="E172" i="1"/>
  <c r="E97" i="1"/>
  <c r="J200" i="1"/>
  <c r="J202" i="1" l="1"/>
  <c r="H23" i="1" s="1"/>
  <c r="H22" i="1" l="1"/>
  <c r="H20" i="1"/>
  <c r="H21" i="1"/>
  <c r="H148" i="1"/>
  <c r="J148" i="1" s="1"/>
  <c r="F217" i="1"/>
  <c r="H76" i="1"/>
  <c r="J76" i="1" s="1"/>
  <c r="J211" i="1"/>
  <c r="J212" i="1" s="1"/>
  <c r="H136" i="1" l="1"/>
  <c r="J136" i="1" s="1"/>
  <c r="J19" i="1"/>
  <c r="H84" i="1"/>
  <c r="J84" i="1" s="1"/>
  <c r="G19" i="41"/>
  <c r="H217" i="1"/>
  <c r="J107" i="1" l="1"/>
  <c r="J92" i="1"/>
  <c r="J20" i="1"/>
  <c r="H135" i="1"/>
  <c r="H111" i="1"/>
  <c r="J111" i="1" s="1"/>
  <c r="H220" i="1"/>
  <c r="J135" i="1" l="1"/>
  <c r="H141" i="1"/>
  <c r="G20" i="41"/>
  <c r="J22" i="1"/>
  <c r="J21" i="1"/>
  <c r="J220" i="1"/>
  <c r="D24" i="19" s="1"/>
  <c r="D28" i="19" l="1"/>
  <c r="E141" i="1" s="1"/>
  <c r="H138" i="1"/>
  <c r="J138" i="1" s="1"/>
  <c r="H156" i="1"/>
  <c r="J156" i="1" s="1"/>
  <c r="H155" i="1"/>
  <c r="J155" i="1" s="1"/>
  <c r="H139" i="1"/>
  <c r="J139" i="1" s="1"/>
  <c r="H137" i="1"/>
  <c r="J137" i="1" s="1"/>
  <c r="J225" i="1"/>
  <c r="H78" i="1"/>
  <c r="J78" i="1" s="1"/>
  <c r="J141" i="1" l="1"/>
  <c r="E145" i="1"/>
  <c r="E110" i="1" s="1"/>
  <c r="E113" i="1" s="1"/>
  <c r="E115" i="1" s="1"/>
  <c r="E176" i="1" s="1"/>
  <c r="E171" i="1" s="1"/>
  <c r="E173" i="1" s="1"/>
  <c r="E178" i="1" s="1"/>
  <c r="H86" i="1"/>
  <c r="J86" i="1" s="1"/>
  <c r="J95" i="1" l="1"/>
  <c r="H79" i="1"/>
  <c r="J79" i="1" s="1"/>
  <c r="H87" i="1" l="1"/>
  <c r="J87" i="1" s="1"/>
  <c r="H149" i="1"/>
  <c r="J149" i="1" s="1"/>
  <c r="H143" i="1" l="1"/>
  <c r="J143" i="1" s="1"/>
  <c r="J145" i="1" s="1"/>
  <c r="J80" i="1"/>
  <c r="H150" i="1" l="1"/>
  <c r="H80" i="1"/>
  <c r="J88" i="1"/>
  <c r="J96" i="1"/>
  <c r="J150" i="1" l="1"/>
  <c r="J151" i="1" s="1"/>
  <c r="J110" i="1"/>
  <c r="H158" i="1"/>
  <c r="J158" i="1" s="1"/>
  <c r="H112" i="1"/>
  <c r="J112" i="1" s="1"/>
  <c r="J97" i="1"/>
  <c r="G27" i="41" l="1"/>
  <c r="G28" i="41" s="1"/>
  <c r="I28" i="41" s="1"/>
  <c r="H161" i="1"/>
  <c r="J161" i="1" s="1"/>
  <c r="H160" i="1"/>
  <c r="J160" i="1" s="1"/>
  <c r="G23" i="41"/>
  <c r="G24" i="41" s="1"/>
  <c r="I24" i="41" s="1"/>
  <c r="H97" i="1"/>
  <c r="H101" i="1" s="1"/>
  <c r="J162" i="1" l="1"/>
  <c r="H102" i="1"/>
  <c r="J102" i="1" s="1"/>
  <c r="J101" i="1"/>
  <c r="J113" i="1"/>
  <c r="H172" i="1"/>
  <c r="H103" i="1" l="1"/>
  <c r="J103" i="1" s="1"/>
  <c r="H104" i="1"/>
  <c r="J104" i="1" s="1"/>
  <c r="J172" i="1"/>
  <c r="G31" i="41" l="1"/>
  <c r="G32" i="41" s="1"/>
  <c r="I32" i="41" s="1"/>
  <c r="I34" i="41" l="1"/>
  <c r="P66" i="41" s="1"/>
  <c r="Q66" i="41" s="1"/>
  <c r="P64" i="41" l="1"/>
  <c r="Q64" i="41" s="1"/>
  <c r="P65" i="41"/>
  <c r="Q65" i="41" s="1"/>
  <c r="J105" i="1"/>
  <c r="J115" i="1" l="1"/>
  <c r="J176" i="1" s="1"/>
  <c r="G41" i="41" l="1"/>
  <c r="G42" i="41" s="1"/>
  <c r="I42" i="41" s="1"/>
  <c r="J171" i="1"/>
  <c r="J173" i="1" s="1"/>
  <c r="J178" i="1" s="1"/>
  <c r="J15" i="1" l="1"/>
  <c r="G38" i="41" l="1"/>
  <c r="I38" i="41" s="1"/>
  <c r="I44" i="41" s="1"/>
  <c r="S66" i="41" l="1"/>
  <c r="T66" i="41" s="1"/>
  <c r="V66" i="41" s="1"/>
  <c r="X66" i="41" s="1"/>
  <c r="S65" i="41"/>
  <c r="T65" i="41" s="1"/>
  <c r="V65" i="41" s="1"/>
  <c r="X65" i="41" s="1"/>
  <c r="S64" i="41"/>
  <c r="T64" i="41" s="1"/>
  <c r="V64" i="41" s="1"/>
  <c r="V84" i="41" l="1"/>
  <c r="X64" i="41"/>
  <c r="X84" i="41" s="1"/>
  <c r="X86" i="41" s="1"/>
  <c r="E23" i="1" s="1"/>
  <c r="J24" i="1" l="1"/>
  <c r="J23" i="1"/>
  <c r="E20" i="68"/>
  <c r="E23" i="68" l="1"/>
  <c r="E24" i="68" s="1"/>
  <c r="J28" i="1" s="1"/>
  <c r="E40" i="1" l="1"/>
  <c r="E44" i="1" s="1"/>
  <c r="E42" i="1"/>
  <c r="E54" i="1"/>
  <c r="J54" i="1"/>
  <c r="E52" i="1" l="1"/>
  <c r="E50" i="1"/>
  <c r="J52" i="1"/>
  <c r="E46" i="1"/>
  <c r="P49" i="67"/>
  <c r="P51" i="67" l="1"/>
</calcChain>
</file>

<file path=xl/sharedStrings.xml><?xml version="1.0" encoding="utf-8"?>
<sst xmlns="http://schemas.openxmlformats.org/spreadsheetml/2006/main" count="907" uniqueCount="646">
  <si>
    <t xml:space="preserve">219.28.c </t>
  </si>
  <si>
    <t>1a</t>
  </si>
  <si>
    <t>Less Account 565</t>
  </si>
  <si>
    <t>Capital Structure</t>
  </si>
  <si>
    <t xml:space="preserve">Formula Rate - Non-Levelized </t>
  </si>
  <si>
    <t xml:space="preserve"> </t>
  </si>
  <si>
    <t>Line</t>
  </si>
  <si>
    <t>Allocated</t>
  </si>
  <si>
    <t>No.</t>
  </si>
  <si>
    <t>Amount</t>
  </si>
  <si>
    <t>Total</t>
  </si>
  <si>
    <t>Allocator</t>
  </si>
  <si>
    <t>TP</t>
  </si>
  <si>
    <t>NET REVENUE REQUIREMENT</t>
  </si>
  <si>
    <t>(Note C)</t>
  </si>
  <si>
    <t>(Note D)</t>
  </si>
  <si>
    <t>(1)</t>
  </si>
  <si>
    <t>(2)</t>
  </si>
  <si>
    <t>(3)</t>
  </si>
  <si>
    <t>(4)</t>
  </si>
  <si>
    <t>(5)</t>
  </si>
  <si>
    <t>Form No. 1</t>
  </si>
  <si>
    <t>Transmission</t>
  </si>
  <si>
    <t>Page, Line, Col.</t>
  </si>
  <si>
    <t>Company Total</t>
  </si>
  <si>
    <t>GROSS PLANT IN SERVICE</t>
  </si>
  <si>
    <t xml:space="preserve">  Production</t>
  </si>
  <si>
    <t>NA</t>
  </si>
  <si>
    <t xml:space="preserve">  Transmission</t>
  </si>
  <si>
    <t xml:space="preserve">  Distribution</t>
  </si>
  <si>
    <t xml:space="preserve">  General &amp; Intangible</t>
  </si>
  <si>
    <t>W/S</t>
  </si>
  <si>
    <t xml:space="preserve">  Common</t>
  </si>
  <si>
    <t>TOTAL GROSS PLANT (sum lines 1-5)</t>
  </si>
  <si>
    <t>GP=</t>
  </si>
  <si>
    <t>ACCUMULATED DEPRECIATION</t>
  </si>
  <si>
    <t>TOTAL ACCUM. DEPRECIATION (sum lines 7-11)</t>
  </si>
  <si>
    <t>NET PLANT IN SERVICE</t>
  </si>
  <si>
    <t xml:space="preserve"> (line 3 - line 9)</t>
  </si>
  <si>
    <t xml:space="preserve"> (line 4 - line 10)</t>
  </si>
  <si>
    <t xml:space="preserve"> (line 5 - line 11)</t>
  </si>
  <si>
    <t>TOTAL NET PLANT (sum lines 13-17)</t>
  </si>
  <si>
    <t>NP=</t>
  </si>
  <si>
    <t>NP</t>
  </si>
  <si>
    <t>TE</t>
  </si>
  <si>
    <t>GP</t>
  </si>
  <si>
    <t>TOTAL WORKING CAPITAL (sum lines 26 - 28)</t>
  </si>
  <si>
    <t>O&amp;M</t>
  </si>
  <si>
    <t xml:space="preserve">  Transmission </t>
  </si>
  <si>
    <t xml:space="preserve">  A&amp;G</t>
  </si>
  <si>
    <t xml:space="preserve">  Transmission Lease Payments</t>
  </si>
  <si>
    <t>DEPRECIATION EXPENSE</t>
  </si>
  <si>
    <t>TOTAL DEPRECIATION (Sum lines 9 - 11)</t>
  </si>
  <si>
    <t xml:space="preserve">  LABOR RELATED</t>
  </si>
  <si>
    <t xml:space="preserve">  PLANT RELATED</t>
  </si>
  <si>
    <t xml:space="preserve">         Gross Receipts</t>
  </si>
  <si>
    <t xml:space="preserve">         Other</t>
  </si>
  <si>
    <t xml:space="preserve">         Payments in lieu of taxes</t>
  </si>
  <si>
    <t>TOTAL OTHER TAXES  (sum lines 13 - 19)</t>
  </si>
  <si>
    <t xml:space="preserve">  </t>
  </si>
  <si>
    <t xml:space="preserve">RETURN </t>
  </si>
  <si>
    <t xml:space="preserve">TRANSMISSION EXPENSES </t>
  </si>
  <si>
    <t>Total transmission expenses    (page 3, line 1, column 3)</t>
  </si>
  <si>
    <t>TE=</t>
  </si>
  <si>
    <t>TP=</t>
  </si>
  <si>
    <t>WAGES &amp; SALARY ALLOCATOR   (W&amp;S)</t>
  </si>
  <si>
    <t>Form 1 Reference</t>
  </si>
  <si>
    <t>$</t>
  </si>
  <si>
    <t>Allocation</t>
  </si>
  <si>
    <t>354.20.b</t>
  </si>
  <si>
    <t>W&amp;S Allocator</t>
  </si>
  <si>
    <t xml:space="preserve">  Other</t>
  </si>
  <si>
    <t>($ / Allocation)</t>
  </si>
  <si>
    <t>=</t>
  </si>
  <si>
    <t>% Electric</t>
  </si>
  <si>
    <t xml:space="preserve">  Electric</t>
  </si>
  <si>
    <t>200.3.c</t>
  </si>
  <si>
    <t>(line 17 / line 20)</t>
  </si>
  <si>
    <t>(line 16)</t>
  </si>
  <si>
    <t>CE</t>
  </si>
  <si>
    <t xml:space="preserve">  Gas</t>
  </si>
  <si>
    <t>*</t>
  </si>
  <si>
    <t xml:space="preserve">  Water</t>
  </si>
  <si>
    <t>RETURN (R)</t>
  </si>
  <si>
    <t>Preferred Dividends (118.29c) (positive number)</t>
  </si>
  <si>
    <t>(sum lines 23-25)</t>
  </si>
  <si>
    <t>%</t>
  </si>
  <si>
    <t>Weighted</t>
  </si>
  <si>
    <t>REVENUE CREDITS</t>
  </si>
  <si>
    <t>(310-311)</t>
  </si>
  <si>
    <t xml:space="preserve">  Total of (a)-(b)</t>
  </si>
  <si>
    <t>General Note:  References to pages in this formulary rate are indicated as:  (page#, line#, col.#)</t>
  </si>
  <si>
    <t xml:space="preserve">                           References to data from FERC Form 1 are indicated as:   #.y.x  (page, line, column)</t>
  </si>
  <si>
    <t>Note</t>
  </si>
  <si>
    <t>Letter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</si>
  <si>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</si>
  <si>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</si>
  <si>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</si>
  <si>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</si>
  <si>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</si>
  <si>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</si>
  <si>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</si>
  <si>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</si>
  <si>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</si>
  <si>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</si>
  <si>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</si>
  <si>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</si>
  <si>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</si>
  <si>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</si>
  <si>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</si>
  <si>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</si>
  <si>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</si>
  <si>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Account 454</t>
  </si>
  <si>
    <t>Includes income related only to transmission facilities, such as pole attachments, rentals and special use.</t>
  </si>
  <si>
    <t>TOTAL ADJUSTMENTS  (sum lines 19- 23)</t>
  </si>
  <si>
    <t xml:space="preserve">  Account No. 281 (enter negative)</t>
  </si>
  <si>
    <t xml:space="preserve">  Account No. 282 (enter negative)</t>
  </si>
  <si>
    <t xml:space="preserve">  Account No. 283 (enter negative)</t>
  </si>
  <si>
    <t xml:space="preserve">  Account No. 255 (enter negative)</t>
  </si>
  <si>
    <t xml:space="preserve">  Account No. 190 </t>
  </si>
  <si>
    <t>RATE BASE  (sum lines 18, 24, 25, &amp; 29)</t>
  </si>
  <si>
    <t>Total Income Taxes</t>
  </si>
  <si>
    <t xml:space="preserve">  Total  (sum lines 17 - 19)</t>
  </si>
  <si>
    <t>(page 4, line 34)</t>
  </si>
  <si>
    <t xml:space="preserve">     T=1 - {[(1 - SIT) * (1 - FIT)] / (1 - SIT * FIT * p)} =</t>
  </si>
  <si>
    <t xml:space="preserve">     CIT=(T/1-T) * (1-(WCLTD/R)) =</t>
  </si>
  <si>
    <t xml:space="preserve">      1 / (1 - T)  = (from line 21)</t>
  </si>
  <si>
    <t>ITC adjustment (line 23 * line 24)</t>
  </si>
  <si>
    <t>(line 25 plus line 26)</t>
  </si>
  <si>
    <t xml:space="preserve">  Total  (sum lines 12-15)</t>
  </si>
  <si>
    <t>5a</t>
  </si>
  <si>
    <t>zero</t>
  </si>
  <si>
    <t>Percentage of transmission expenses after adjustment (line 8 divided by line 6)</t>
  </si>
  <si>
    <t>Included transmission expenses (line 6 less line 7)</t>
  </si>
  <si>
    <t>219.25.c</t>
  </si>
  <si>
    <t>219.26.c</t>
  </si>
  <si>
    <t>Jan</t>
  </si>
  <si>
    <t>Feb</t>
  </si>
  <si>
    <t>Mar</t>
  </si>
  <si>
    <t>Apr</t>
  </si>
  <si>
    <t>Jun</t>
  </si>
  <si>
    <t>Aug</t>
  </si>
  <si>
    <t>Dec</t>
  </si>
  <si>
    <t>Average</t>
  </si>
  <si>
    <t>Notes:</t>
  </si>
  <si>
    <t>219.20-24.c</t>
  </si>
  <si>
    <t>201.3.d</t>
  </si>
  <si>
    <t>201.3.e</t>
  </si>
  <si>
    <t>Balancing Authority Costs</t>
  </si>
  <si>
    <t>Production</t>
  </si>
  <si>
    <t>Distribution</t>
  </si>
  <si>
    <t>Page 1 of 2</t>
  </si>
  <si>
    <t>O&amp;M EXPENSE</t>
  </si>
  <si>
    <t>9</t>
  </si>
  <si>
    <t>10</t>
  </si>
  <si>
    <t>TAXES OTHER THAN INCOME TAXES</t>
  </si>
  <si>
    <t>11</t>
  </si>
  <si>
    <t>Total Other Taxes</t>
  </si>
  <si>
    <t>12</t>
  </si>
  <si>
    <t>INCOME TAXES</t>
  </si>
  <si>
    <t>Return on Rate Base</t>
  </si>
  <si>
    <t>Page 2 of 2</t>
  </si>
  <si>
    <t>(Note F)</t>
  </si>
  <si>
    <t>Non-Transmission Related Portion</t>
  </si>
  <si>
    <t>Project Name</t>
  </si>
  <si>
    <t>Amount of Safety Related Advertising</t>
  </si>
  <si>
    <t>A&amp;G Expense</t>
  </si>
  <si>
    <t>Transmission Expense</t>
  </si>
  <si>
    <t>Balancing Authority Costs in 561 through 561.3</t>
  </si>
  <si>
    <t>Sole use Property</t>
  </si>
  <si>
    <t>Distribution Use</t>
  </si>
  <si>
    <t>Gross Transmission Plant - Total</t>
  </si>
  <si>
    <t>Net Transmission Plant - Total</t>
  </si>
  <si>
    <t>Total O&amp;M Allocated to Transmission</t>
  </si>
  <si>
    <t>Annual Allocation Factor for O&amp;M</t>
  </si>
  <si>
    <t>(line 3 divided by line 1 col 3)</t>
  </si>
  <si>
    <t>5</t>
  </si>
  <si>
    <t>6</t>
  </si>
  <si>
    <t>Annual Allocation Factor for Other Taxes</t>
  </si>
  <si>
    <t>(line 5 divided by line 1 col 3)</t>
  </si>
  <si>
    <t>7</t>
  </si>
  <si>
    <t>Annual Allocation Factor for Expense</t>
  </si>
  <si>
    <t>8</t>
  </si>
  <si>
    <t>Annual Allocation Factor for Income Taxes</t>
  </si>
  <si>
    <t>(line 8 divided by line 2 col 3)</t>
  </si>
  <si>
    <t>Annual Allocation Factor for Return on Rate Base</t>
  </si>
  <si>
    <t>(line 10 divided by line 2 col 3)</t>
  </si>
  <si>
    <t>Annual Allocation Factor for Return</t>
  </si>
  <si>
    <t>Line No.</t>
  </si>
  <si>
    <t xml:space="preserve">Project Gross Plant </t>
  </si>
  <si>
    <t>Annual Expense Charge</t>
  </si>
  <si>
    <t xml:space="preserve">Project Net Plant </t>
  </si>
  <si>
    <t>Annual Return Charge</t>
  </si>
  <si>
    <t>Project Depreciation Expense</t>
  </si>
  <si>
    <t>Annual Revenue Requirement</t>
  </si>
  <si>
    <t>True-Up Adjustment</t>
  </si>
  <si>
    <t>Network Upgrade Charge</t>
  </si>
  <si>
    <t>(Page 1 line 7)</t>
  </si>
  <si>
    <t>(Col. 3 * Col. 4)</t>
  </si>
  <si>
    <t>(Page 1 line 12)</t>
  </si>
  <si>
    <t>(Col. 6 * Col. 7)</t>
  </si>
  <si>
    <t>(Note E)</t>
  </si>
  <si>
    <t>(Sum Col. 5, 8 &amp; 9)</t>
  </si>
  <si>
    <t>Sum Col. 10 &amp; 11
(Note G)</t>
  </si>
  <si>
    <t>1b</t>
  </si>
  <si>
    <t>1c</t>
  </si>
  <si>
    <t>2</t>
  </si>
  <si>
    <t>Annual Totals</t>
  </si>
  <si>
    <t>Project Gross Plant is the total capital investment for the project calculated in the same method as the gross plant value in line 1 and includes CWIP in rate base if applicable.  This value includes subsequent capital investments required to maintain the facilities to their original capabilities.</t>
  </si>
  <si>
    <t>Project Net Plant is the Project Gross Plant Identified in Column 3 less the associated Accumulated Depreciation.</t>
  </si>
  <si>
    <t>True-Up Adjustment is included pursuant to a FERC approved methodology if applicable.</t>
  </si>
  <si>
    <t>The Network Upgrade Charge is the value to be used in Schedule 26.</t>
  </si>
  <si>
    <t>Rate Formula Template</t>
  </si>
  <si>
    <t>Tower Lease Revenues in per Books Total above</t>
  </si>
  <si>
    <t>(In Dollars)</t>
  </si>
  <si>
    <t>Actual</t>
  </si>
  <si>
    <t>GENERAL AND COMMON (G&amp;C) DEPRECIATION EXPENSE</t>
  </si>
  <si>
    <t>Total G&amp;C Depreciation Expense</t>
  </si>
  <si>
    <t>Annual Allocation Factor for G&amp;C Depreciation Expense</t>
  </si>
  <si>
    <t>13</t>
  </si>
  <si>
    <t>14</t>
  </si>
  <si>
    <t>Transmission Related</t>
  </si>
  <si>
    <t>May</t>
  </si>
  <si>
    <t>Jul</t>
  </si>
  <si>
    <t>Sep</t>
  </si>
  <si>
    <t>Oct</t>
  </si>
  <si>
    <t>Nov</t>
  </si>
  <si>
    <t>SUPPORTING CALCULATIONS AND NOTES</t>
  </si>
  <si>
    <t>Network Upgrade Charge Calculation By Project</t>
  </si>
  <si>
    <t>Annual Cost ($/kW/Yr) - 1 CP</t>
  </si>
  <si>
    <t>RATE BASE</t>
  </si>
  <si>
    <t>$/MWh</t>
  </si>
  <si>
    <t>MWh</t>
  </si>
  <si>
    <t>Schedule 1A Rate Calculations</t>
  </si>
  <si>
    <t>B.</t>
  </si>
  <si>
    <t>Net Schedule 1A Revenue Requirement for Zone</t>
  </si>
  <si>
    <t>Total Load Dispatch &amp; Scheduling (Account 561)</t>
  </si>
  <si>
    <t>A.</t>
  </si>
  <si>
    <t>Requirement</t>
  </si>
  <si>
    <t>Revenue</t>
  </si>
  <si>
    <t>Transmission Formula Rate Revenue Requirement</t>
  </si>
  <si>
    <t>Schedule 1A Annual Revenue Requirements</t>
  </si>
  <si>
    <t>Appendix A</t>
  </si>
  <si>
    <t>Page 1 of 1</t>
  </si>
  <si>
    <t>Source</t>
  </si>
  <si>
    <t>Reserved</t>
  </si>
  <si>
    <t>Schedule 1A Rate Calculation</t>
  </si>
  <si>
    <t>RTEP - Transmission Enhancement Charges</t>
  </si>
  <si>
    <t>or from the ISO (for service under this tariff) reflecting the Transmission Owner's integrated transmission facilities.  They do not include</t>
  </si>
  <si>
    <t>(page 4, line 35)</t>
  </si>
  <si>
    <t>DIVISOR</t>
  </si>
  <si>
    <t>(line 7 / line 8)</t>
  </si>
  <si>
    <t>Remove Non-Transmission and Non-ISO Related Revenues:</t>
  </si>
  <si>
    <t>TRANSMISSION PLANT INCLUDED IN ISO RATES</t>
  </si>
  <si>
    <t>Total transmission plant (page 2, line 2, column 3)</t>
  </si>
  <si>
    <t>Transmission plant included in ISO Rates  (line 1 less lines 2 &amp; 3)</t>
  </si>
  <si>
    <t>Percentage of transmission plant included in ISO Rates (line 4 divided by line 1)</t>
  </si>
  <si>
    <t>Percentage of transmission plant included in ISO Rates (line 5)</t>
  </si>
  <si>
    <t>Percentage of transmission expenses included in ISO Rates (line 9 times line 10)</t>
  </si>
  <si>
    <t>Determination of Transmission Plant Included in OATT Ancillary Services</t>
  </si>
  <si>
    <t>GROSS REVENUE REQUIREMENT    (page 3, line 29)</t>
  </si>
  <si>
    <t>COMMON PLANT ALLOCATOR  (CE)</t>
  </si>
  <si>
    <t>266.8.f (enter negative)</t>
  </si>
  <si>
    <t>Amortized Investment Tax Credit</t>
  </si>
  <si>
    <t>REVENUE REQUIREMENT  (sum lines 8, 12, 20, 27, 28)</t>
  </si>
  <si>
    <t>Income Tax Calculation (line 22 * line 28)</t>
  </si>
  <si>
    <t xml:space="preserve">  b. Bundled Sales for Resale included in Divisor on page 1</t>
  </si>
  <si>
    <t>The Total General and Common Depreciation Expense excludes any depreciation expense directly associated with a project and thereby included in page 2 column 9.</t>
  </si>
  <si>
    <t>TRANSMISSION PLANT</t>
  </si>
  <si>
    <t>RTEP Project Number</t>
  </si>
  <si>
    <t>Sum of lines 11 and 13</t>
  </si>
  <si>
    <t>Appendix B</t>
  </si>
  <si>
    <t xml:space="preserve"> (line 1 - line 7)</t>
  </si>
  <si>
    <t xml:space="preserve"> (line 2 - line 8)</t>
  </si>
  <si>
    <t>(Col. 3 times Col. 4)</t>
  </si>
  <si>
    <t>Account No. 454</t>
  </si>
  <si>
    <t>Less FERC Annual Fees</t>
  </si>
  <si>
    <t>Highway and vehicle</t>
  </si>
  <si>
    <t>revenues associated with FERC annual charges, gross receipts taxes, ancillary services, or facilities not included in this template (e.g., direct</t>
  </si>
  <si>
    <t>TOTAL O&amp;M   (sum lines 1, 2a, 3, 5a, 6, 7 less lines 1a, 2, 4, 5)</t>
  </si>
  <si>
    <t>17a</t>
  </si>
  <si>
    <t>Annual Cost ($/kW/Yr) - 12 CP</t>
  </si>
  <si>
    <t>(line 7 / line 9)</t>
  </si>
  <si>
    <t>Network Rate ($/kW/Mo)</t>
  </si>
  <si>
    <t>(line 15 / 12)</t>
  </si>
  <si>
    <t>Point-To-Point Rate ($/kW/Mo)</t>
  </si>
  <si>
    <t>(line 16 / 12)</t>
  </si>
  <si>
    <t>Point-To-Point Rate ($/kW/Wk)</t>
  </si>
  <si>
    <t>Point-To-Point Rate ($/kW/Day)</t>
  </si>
  <si>
    <t>Point-To-Point Rate ($/MWh)</t>
  </si>
  <si>
    <t>(line 16 / 52; line 16 / 52)</t>
  </si>
  <si>
    <t>(line 16 / 260; line 16 / 365)</t>
  </si>
  <si>
    <t>(line 16 / 4,160; line 16 / 8,760 * 1000)</t>
  </si>
  <si>
    <t>Off-Peak Rate</t>
  </si>
  <si>
    <t>Capped at weekly rate</t>
  </si>
  <si>
    <t>Capped at weekly and daily rate</t>
  </si>
  <si>
    <t>(A)</t>
  </si>
  <si>
    <t>(B)</t>
  </si>
  <si>
    <t>(C)</t>
  </si>
  <si>
    <t>The revenues credited on page 1 lines 2-5c shall include only the amounts received directly (in the case of grandfathered agreements)</t>
  </si>
  <si>
    <t>Sum of lines 4, 6 and 8</t>
  </si>
  <si>
    <t>FERC</t>
  </si>
  <si>
    <t>Company</t>
  </si>
  <si>
    <t>Account</t>
  </si>
  <si>
    <t xml:space="preserve">Accrual </t>
  </si>
  <si>
    <t>Number</t>
  </si>
  <si>
    <t>Description</t>
  </si>
  <si>
    <t>Rates</t>
  </si>
  <si>
    <t>(D)</t>
  </si>
  <si>
    <t>Station Equipment</t>
  </si>
  <si>
    <t>Poles &amp; Fixtures</t>
  </si>
  <si>
    <t>Overhead Conductors &amp; Devices</t>
  </si>
  <si>
    <t>General and Intagible Plant</t>
  </si>
  <si>
    <t>Transportation Equipment</t>
  </si>
  <si>
    <t>Miscellaneous Intangible Plant</t>
  </si>
  <si>
    <t>Stores Equipment</t>
  </si>
  <si>
    <t>Portion Attributable to Transmission</t>
  </si>
  <si>
    <t>354.18.b</t>
  </si>
  <si>
    <t>354.19.b</t>
  </si>
  <si>
    <t>TOTAL REVENUE CREDITS  (sum lines 2-5b)</t>
  </si>
  <si>
    <t>East Kentucky Power Cooperative</t>
  </si>
  <si>
    <t>EKPC</t>
  </si>
  <si>
    <t>gross</t>
  </si>
  <si>
    <t>depr</t>
  </si>
  <si>
    <t>net</t>
  </si>
  <si>
    <t>336.7.f</t>
  </si>
  <si>
    <t>336.9.f</t>
  </si>
  <si>
    <t>336.10.f</t>
  </si>
  <si>
    <t>354.21,22,23,24.b</t>
  </si>
  <si>
    <t>Long Term Interest (117, sum of 58.c through 65.c)</t>
  </si>
  <si>
    <t>Proprietary Capital (112.15.c)</t>
  </si>
  <si>
    <t xml:space="preserve">  a. Bundled Non-RQ Sales for Resale (311.x.k)</t>
  </si>
  <si>
    <t>Proposed East London Substation Site</t>
  </si>
  <si>
    <t>Station Equipment - ECS</t>
  </si>
  <si>
    <t>Towers and Fixtures - Trans Plant</t>
  </si>
  <si>
    <t>Structures and Improvements - General Plant</t>
  </si>
  <si>
    <t>Office Furn &amp; Equip - Gen Plant</t>
  </si>
  <si>
    <t>Office Furn &amp; Equip - Peoplesoft</t>
  </si>
  <si>
    <t>Tools, Shop &amp; Garage Equipment</t>
  </si>
  <si>
    <t>Lab Equipment - General Plant</t>
  </si>
  <si>
    <t>Power Operated Equip - Gen Plant</t>
  </si>
  <si>
    <t>Communication Equipment - General Plant</t>
  </si>
  <si>
    <t>Communication Bldgs &amp; Towers</t>
  </si>
  <si>
    <t>Communication Eq - ECS - General Plant</t>
  </si>
  <si>
    <t>Misc Equip - General Plant</t>
  </si>
  <si>
    <t>Roads and Trails - Trans Plant</t>
  </si>
  <si>
    <t>Development of Cost of L.T. Interest</t>
  </si>
  <si>
    <t>Average Cost of Debt (Line 1/Line 2)</t>
  </si>
  <si>
    <t>Value</t>
  </si>
  <si>
    <t>Percent</t>
  </si>
  <si>
    <t>Weighted Cost</t>
  </si>
  <si>
    <t>Long Term Debt</t>
  </si>
  <si>
    <t>Revenues from service provided by the ISO at a discount</t>
  </si>
  <si>
    <t>Allocation of Account 163</t>
  </si>
  <si>
    <t>M&amp;S</t>
  </si>
  <si>
    <t>Percentage</t>
  </si>
  <si>
    <t>Total M&amp;S</t>
  </si>
  <si>
    <t>EKPC Firm Transmission for Others (kW)</t>
  </si>
  <si>
    <t>Total EKPC Firm Transmission for Others Subtotal (kW)</t>
  </si>
  <si>
    <t>Total EKPC Monthly Transmission System Peak Load</t>
  </si>
  <si>
    <t xml:space="preserve">     Bedford</t>
  </si>
  <si>
    <t xml:space="preserve">     Columbia  </t>
  </si>
  <si>
    <t xml:space="preserve">     Columbia South</t>
  </si>
  <si>
    <t xml:space="preserve">      Falmouth</t>
  </si>
  <si>
    <t xml:space="preserve">     Garrard</t>
  </si>
  <si>
    <t xml:space="preserve">     Horse Cave  </t>
  </si>
  <si>
    <t xml:space="preserve">     Hunters Bottom</t>
  </si>
  <si>
    <t xml:space="preserve">     Liberty</t>
  </si>
  <si>
    <t xml:space="preserve">     Mackville</t>
  </si>
  <si>
    <t xml:space="preserve">     Munfordville</t>
  </si>
  <si>
    <t xml:space="preserve">     Owingsville</t>
  </si>
  <si>
    <t xml:space="preserve">     Revelo</t>
  </si>
  <si>
    <t xml:space="preserve">     Russell Springs</t>
  </si>
  <si>
    <t xml:space="preserve">     Whitley City</t>
  </si>
  <si>
    <r>
      <t>Common Transmission</t>
    </r>
    <r>
      <rPr>
        <b/>
        <sz val="12"/>
        <rFont val="Arial MT"/>
      </rPr>
      <t xml:space="preserve"> </t>
    </r>
  </si>
  <si>
    <t>Appendix D</t>
  </si>
  <si>
    <t>Acct 456 less non-transmission and non-ISO revenue</t>
  </si>
  <si>
    <t>Page 7 of 8</t>
  </si>
  <si>
    <t>Page 8 of 8</t>
  </si>
  <si>
    <t>Page 6 of 8</t>
  </si>
  <si>
    <t>Page 5 of 8</t>
  </si>
  <si>
    <t>Page 4 of 8</t>
  </si>
  <si>
    <t>Page 3 of 8</t>
  </si>
  <si>
    <t>Page 2 of 8</t>
  </si>
  <si>
    <t>Page 1 of 8</t>
  </si>
  <si>
    <t>Reported on EKPC Form FF1</t>
  </si>
  <si>
    <t>Development of Required Return</t>
  </si>
  <si>
    <t>Total (Line 4 plus Line 5)</t>
  </si>
  <si>
    <t>Total  (sum lines 27-28)</t>
  </si>
  <si>
    <t>TIER =</t>
  </si>
  <si>
    <t xml:space="preserve">  [ Rate Base (page 2, line 30) * Rate of Return (page 4, line 29)]</t>
  </si>
  <si>
    <t>Detail of Land Held for Future Use (1)</t>
  </si>
  <si>
    <t xml:space="preserve">  Notes:</t>
  </si>
  <si>
    <t xml:space="preserve"> Notes:</t>
  </si>
  <si>
    <t>Revenue Credits for Sched 1 / Acct 561 (2)</t>
  </si>
  <si>
    <t>Adjusted B.A. Costs</t>
  </si>
  <si>
    <t>Generation Step-up Transformers (1)</t>
  </si>
  <si>
    <t>Balances</t>
  </si>
  <si>
    <t>Materials and Supplies (1)</t>
  </si>
  <si>
    <t>(2) Unallocated M&amp;S balance as of Year End</t>
  </si>
  <si>
    <t>GSU's Total</t>
  </si>
  <si>
    <t>GSU's in Trans; remainder in 345</t>
  </si>
  <si>
    <t xml:space="preserve">    plus transmission service provided for others over the EKPC transmission system, plus wheel-out to EKPC load connected to AEP/KP, Duke Ky, and LGE/KU</t>
  </si>
  <si>
    <t>GFA Revenues</t>
  </si>
  <si>
    <t>Account 456, 459</t>
  </si>
  <si>
    <t>Transmission Enhancement Credit</t>
  </si>
  <si>
    <t>Appendix C</t>
  </si>
  <si>
    <t xml:space="preserve">Actual Transmission Revenue Requirement for 12 Months Ended </t>
  </si>
  <si>
    <t xml:space="preserve">Remove Reconciliation Adjustment for 12 months ended </t>
  </si>
  <si>
    <t xml:space="preserve">Reconciliation Adjustment for 12 Months Ended </t>
  </si>
  <si>
    <t>Reconciliation Adjustment for Transmission Revenue Requirements</t>
  </si>
  <si>
    <t>Reconciliation Adjustment for Schedule 1A Charges</t>
  </si>
  <si>
    <t xml:space="preserve">Actual Schedule 1A Costs for 12 Months Ended </t>
  </si>
  <si>
    <t>(6)</t>
  </si>
  <si>
    <t>(7)</t>
  </si>
  <si>
    <t>(8)</t>
  </si>
  <si>
    <t>6a</t>
  </si>
  <si>
    <t>(line 1 minus line 6 plus line 6a)</t>
  </si>
  <si>
    <t xml:space="preserve">Less: Actual Transmission Revenue Collected for 12 months Ended </t>
  </si>
  <si>
    <t>Number of Months being Trued Up</t>
  </si>
  <si>
    <t xml:space="preserve"> Monthly Interest Rate--Final FERC rate (4)</t>
  </si>
  <si>
    <t xml:space="preserve">Less: Actual Sch. 1A Revenue Collected for 12 months Ended </t>
  </si>
  <si>
    <t xml:space="preserve">ACCOUNT 447 (BUNDLED SALES FOR RESALE) </t>
  </si>
  <si>
    <t>Proprietary Capital (Note 3)</t>
  </si>
  <si>
    <t>TIER Target =</t>
  </si>
  <si>
    <t>Effective TIER (Note 4)</t>
  </si>
  <si>
    <t>Long term Interest (Note 1)</t>
  </si>
  <si>
    <t>Outstanding Long Term Debt (Note 2)</t>
  </si>
  <si>
    <t>Cost (Note 4)</t>
  </si>
  <si>
    <t>1.</t>
  </si>
  <si>
    <t>2.</t>
  </si>
  <si>
    <t>3.</t>
  </si>
  <si>
    <t>4.</t>
  </si>
  <si>
    <t xml:space="preserve">Debt cost rate = long-term interest (line 21) / long term debt (line 27). </t>
  </si>
  <si>
    <t xml:space="preserve">assignment facilities and GSUs) which are not recovered under this Formulary Rate Template. </t>
  </si>
  <si>
    <t>page 5 of 5</t>
  </si>
  <si>
    <t>page 4 of 5</t>
  </si>
  <si>
    <t>page 3 of 5</t>
  </si>
  <si>
    <t>page 2 of 5</t>
  </si>
  <si>
    <t>page 1 of 5</t>
  </si>
  <si>
    <t xml:space="preserve">   Less:  Regulatory Expense unrelated to transmission (2)</t>
  </si>
  <si>
    <r>
      <t xml:space="preserve">See: </t>
    </r>
    <r>
      <rPr>
        <b/>
        <i/>
        <sz val="12"/>
        <color theme="4" tint="-0.249977111117893"/>
        <rFont val="Arial"/>
        <family val="2"/>
      </rPr>
      <t>http://www.ferc.gov/legal/acct-matts/interest-rates.asp</t>
    </r>
    <r>
      <rPr>
        <sz val="12"/>
        <rFont val="Arial"/>
        <family val="2"/>
      </rPr>
      <t xml:space="preserve"> for the appropriate Month</t>
    </r>
  </si>
  <si>
    <t>True-Up Principal Under(Over) Recovery before Interest                                    (Line 12 - Line 13)</t>
  </si>
  <si>
    <t>(9)</t>
  </si>
  <si>
    <t>10)</t>
  </si>
  <si>
    <t>NOTES:</t>
  </si>
  <si>
    <t>Depreciation Rates approved in KPSC Case No. 2006-00236.</t>
  </si>
  <si>
    <t>Transmission plant included in OATT Ancillary Services (2)</t>
  </si>
  <si>
    <t>206.58.g</t>
  </si>
  <si>
    <t>206.75.g</t>
  </si>
  <si>
    <t>204.5.g &amp; 206.90.g</t>
  </si>
  <si>
    <t>272.Total 281.k</t>
  </si>
  <si>
    <t>274.Total 282.k</t>
  </si>
  <si>
    <t>276.Total 283.k</t>
  </si>
  <si>
    <t>234.Total 190.c</t>
  </si>
  <si>
    <t>266.Total.h</t>
  </si>
  <si>
    <t xml:space="preserve">227.8.c  </t>
  </si>
  <si>
    <t xml:space="preserve">ADJUSTMENTS TO RATE BASE </t>
  </si>
  <si>
    <t>N/A</t>
  </si>
  <si>
    <t xml:space="preserve">WORKING CAPITAL    </t>
  </si>
  <si>
    <t xml:space="preserve">  Materials &amp; Supplies  </t>
  </si>
  <si>
    <t xml:space="preserve">Less transmission plant excluded from ISO rates  </t>
  </si>
  <si>
    <t>Long Term Debt (112.23c)</t>
  </si>
  <si>
    <t xml:space="preserve">ACCOUNT 456.1 (OTHER ELECTRIC REVENUES)        </t>
  </si>
  <si>
    <t>EKPC Form FF1 Ref Pg 117 Row 58, Column b, Current Year</t>
  </si>
  <si>
    <t>204.46.g</t>
  </si>
  <si>
    <t>321.100</t>
  </si>
  <si>
    <t>321.Acct 565</t>
  </si>
  <si>
    <t>321.168</t>
  </si>
  <si>
    <t>A&amp;G Expense, Page 321, line 168, Current Year</t>
  </si>
  <si>
    <t>Total EKPC Account 456130 Transmission Service</t>
  </si>
  <si>
    <t>Transmission Plant (1)</t>
  </si>
  <si>
    <t>Regulatory Commission Expense Related to Transmission</t>
  </si>
  <si>
    <t xml:space="preserve">Long Term Debt </t>
  </si>
  <si>
    <t>Schedule 1A rate $/MWh (Line 5 / Line 6)</t>
  </si>
  <si>
    <t>Note 2</t>
  </si>
  <si>
    <t>Note 1</t>
  </si>
  <si>
    <t xml:space="preserve">Revenue Credits for Schedule 1A </t>
  </si>
  <si>
    <t>Note 3</t>
  </si>
  <si>
    <t>Property Description</t>
  </si>
  <si>
    <t>5b</t>
  </si>
  <si>
    <t>Less KPSC Regulatory Expenses</t>
  </si>
  <si>
    <t xml:space="preserve">Less Non-safety  Advertising </t>
  </si>
  <si>
    <t>Plus Transmission Related Regulatory Exp</t>
  </si>
  <si>
    <t>Amount of Non-Safety Related Advertising  (1)</t>
  </si>
  <si>
    <t>Regulatory Commission Expense - Account 928</t>
  </si>
  <si>
    <t>1</t>
  </si>
  <si>
    <t>3</t>
  </si>
  <si>
    <t>4</t>
  </si>
  <si>
    <t>Adjustments</t>
  </si>
  <si>
    <t>Rent from Electric Property FF1 Pg 300, Account 454</t>
  </si>
  <si>
    <t xml:space="preserve">Total Other Transmission Revenue Credits </t>
  </si>
  <si>
    <t>Note 4</t>
  </si>
  <si>
    <t>Total Account 454</t>
  </si>
  <si>
    <t>Note A</t>
  </si>
  <si>
    <t>Note B</t>
  </si>
  <si>
    <t>Note C</t>
  </si>
  <si>
    <t>Note D</t>
  </si>
  <si>
    <t>Note E</t>
  </si>
  <si>
    <t>Note H</t>
  </si>
  <si>
    <t>Note I</t>
  </si>
  <si>
    <t>Note J</t>
  </si>
  <si>
    <t>Note L</t>
  </si>
  <si>
    <t>Note N</t>
  </si>
  <si>
    <t>Development of Cost of Capital:</t>
  </si>
  <si>
    <t>(112.15.c)</t>
  </si>
  <si>
    <t xml:space="preserve">Less Account 216.1 </t>
  </si>
  <si>
    <t>(112.12.c)  (enter negative)</t>
  </si>
  <si>
    <t>Proprietary Capital</t>
  </si>
  <si>
    <t xml:space="preserve">ACCOUNT 454 (RENT FROM ELECTRIC PROPERTY) </t>
  </si>
  <si>
    <t xml:space="preserve">Effective TIER </t>
  </si>
  <si>
    <t>Note M</t>
  </si>
  <si>
    <t>Less transmission expenses included in OATT Ancillary Services</t>
  </si>
  <si>
    <t>Less transmission plant included in OATT Ancillary Services</t>
  </si>
  <si>
    <t xml:space="preserve">INCOME TAXES     </t>
  </si>
  <si>
    <t xml:space="preserve">TAXES OTHER THAN INCOME TAXES   </t>
  </si>
  <si>
    <t xml:space="preserve">  Prepayments (Account 165) </t>
  </si>
  <si>
    <t xml:space="preserve">  CWC  </t>
  </si>
  <si>
    <t xml:space="preserve">LAND HELD FOR FUTURE USE   </t>
  </si>
  <si>
    <t xml:space="preserve">1 CP   </t>
  </si>
  <si>
    <t xml:space="preserve">12 CP </t>
  </si>
  <si>
    <t xml:space="preserve">True-up Adjustment   </t>
  </si>
  <si>
    <t xml:space="preserve">REVENUE CREDITS </t>
  </si>
  <si>
    <t>Account No. 456.1 (Net of Revenues from Grandfathered Transactions)</t>
  </si>
  <si>
    <t xml:space="preserve">Revenues from Grandfathered Transactions </t>
  </si>
  <si>
    <t>On-Peak Rate</t>
  </si>
  <si>
    <t>East Kentucky Power Cooperative, Inc.</t>
  </si>
  <si>
    <t xml:space="preserve">Proprietary Capital Cost calculated to achieve TIER of </t>
  </si>
  <si>
    <t>Total Load Dispatch &amp; Scheduling (Account 561) excluding Steam</t>
  </si>
  <si>
    <t xml:space="preserve">     Subtotal Transmission for KU/LGE</t>
  </si>
  <si>
    <t>Per Books Total, Page 300 (Total Accts 440-459)</t>
  </si>
  <si>
    <t>214.Total.d, Note F</t>
  </si>
  <si>
    <t>calculated, Note G</t>
  </si>
  <si>
    <t>110.46.c, Note G</t>
  </si>
  <si>
    <t>Revenue Credits, Accounts 454, 456, 459 and GFA Revenues</t>
  </si>
  <si>
    <t>Less TVA Reliability Service Payments EKP Subaccount 561100</t>
  </si>
  <si>
    <t>Removes dollar amount of transmission plant included in the development of OATT ancillary services rates and generation step-up facilities,</t>
  </si>
  <si>
    <t>In accordance with RUS accounting standards, EKPC allocates all payroll and property taxes to the functional account.  Labor- and plant-related taxes</t>
  </si>
  <si>
    <t xml:space="preserve">    are already included in the appropriate transmission account.</t>
  </si>
  <si>
    <t xml:space="preserve">    which are deemed to be included in OATT ancillary services.  For these purposes, generation step-up facilities are those facilities</t>
  </si>
  <si>
    <t xml:space="preserve">    at a generator substation on which there is no through-flow when the generator is shut down. </t>
  </si>
  <si>
    <t xml:space="preserve">  General and Intangible</t>
  </si>
  <si>
    <t>5c</t>
  </si>
  <si>
    <t>Plus Prorated PJM Transition Expense</t>
  </si>
  <si>
    <t xml:space="preserve">   PJM Charges</t>
  </si>
  <si>
    <t xml:space="preserve">   Legal Fees</t>
  </si>
  <si>
    <t xml:space="preserve">   Consulting</t>
  </si>
  <si>
    <t>Amortize for 3 years</t>
  </si>
  <si>
    <t>Payroll</t>
  </si>
  <si>
    <t xml:space="preserve">         Property</t>
  </si>
  <si>
    <t>Safety and Non-Safety Related Advertising, Regulatory Expense, and PJM Integration Costs</t>
  </si>
  <si>
    <t>As a member-owned non-profit RUS generation and transmission cooperative, EKPC is exempt from state and from federal income taxes under 501(c)(12) of Internal Revenue Code</t>
  </si>
  <si>
    <t xml:space="preserve"> including True Up for 12 months ended </t>
  </si>
  <si>
    <t>Monthly Interest Rate--Final FERC rate (9)</t>
  </si>
  <si>
    <t>Supporting Exhibit</t>
  </si>
  <si>
    <t>(112.23c) See Supporting Exhibit, Page 7 of 8</t>
  </si>
  <si>
    <t>See Supporting Exhibit, Page 5 of 8, Line 4, (Note K)</t>
  </si>
  <si>
    <t>DO NOT CHANGE ANYTHING IN THE ABOVE BLOCK</t>
  </si>
  <si>
    <t>Supporting Exh, page 4 of 8, line 11</t>
  </si>
  <si>
    <t>Cost</t>
  </si>
  <si>
    <t>Note O</t>
  </si>
  <si>
    <t>See Supporting Exhibit, Page 6 of 8, Line 3 (Note P)</t>
  </si>
  <si>
    <t>See Supporting Exhibit, Page 6 of 8, Line 17 (Note Q)</t>
  </si>
  <si>
    <t>Total Capital</t>
  </si>
  <si>
    <t>Cash Working Capital assigned to transmission is one-eighth of O&amp;M allocated to transmission at page 3 of 5, line 8, column 5.</t>
  </si>
  <si>
    <t>Equipment / Software Upgrades (Transmission Only)</t>
  </si>
  <si>
    <t>Attachment H-24A</t>
  </si>
  <si>
    <t>Calculated in accordance with the EKPC Formulary Rate Protocols in Attachment H-24B of this Tariff.  See Appendix C</t>
  </si>
  <si>
    <t>Prepayments are the electric related prepayments booked to Account No. 165 and reported on EKPC Form FF1, Ref Pg 110, line 46.</t>
  </si>
  <si>
    <t>Project Depreciation Expense is the actual value booked for the project and included in the Depreciation Expense in Attachment H-24A page 3 line 12.</t>
  </si>
  <si>
    <t>Transmission Expense, EKPC Form FF1, Ref Pg 321, line 100, Current Year</t>
  </si>
  <si>
    <t>B.A. Costs in Transmission Expense on EKPC Form FF1, Ref Pg 321</t>
  </si>
  <si>
    <t>The Network Upgrade Charge is the value to be used in PJM OATT Schedule 26.</t>
  </si>
  <si>
    <t xml:space="preserve"> (1) Source:  EKPC Form FF1 Ref Pg 214, Account 105</t>
  </si>
  <si>
    <t xml:space="preserve">    Subtotal</t>
  </si>
  <si>
    <t>Net MWh</t>
  </si>
  <si>
    <t>(1) Source - EKPC Form FF1 Ref Pg 227, Column C</t>
  </si>
  <si>
    <t>Customer Account (Accounts 456054 and 456057)</t>
  </si>
  <si>
    <t>Administrative and General (Acct 456003)</t>
  </si>
  <si>
    <t>EKPC - Monthly Total Native Load (1)</t>
  </si>
  <si>
    <t>Rights of Way (No depr on land)</t>
  </si>
  <si>
    <t>General Advertising - Account 930.1</t>
  </si>
  <si>
    <t>Form FF1, P. 321, col. B</t>
  </si>
  <si>
    <t>PJM Integration Costs</t>
  </si>
  <si>
    <t>EKPC 1 CP is EKPC's highest Monthly Firm Transmission System Peak Load based on the source data as described in Note 1 of Attachment H-24A, Page 8 of 8,</t>
  </si>
  <si>
    <t xml:space="preserve">   See Attachment H-24A, Supporting Exhibit, Page 8 of 8</t>
  </si>
  <si>
    <t>EKPC 12 CP is EKPC's Monthly Firm Transmission System Peak Load based on the source data as described in Note 1 of Attachment H-24A, Page 8 of 8,</t>
  </si>
  <si>
    <t xml:space="preserve">    See Attachment H-24A, Supporting Exhibit, Page 8 of 8</t>
  </si>
  <si>
    <t>6b</t>
  </si>
  <si>
    <t>6c</t>
  </si>
  <si>
    <t>6d</t>
  </si>
  <si>
    <t xml:space="preserve">   Less allocated amount for steam production [(Line 6c/Line 6b) * Line 1]</t>
  </si>
  <si>
    <t>Production (Accts 456010, 456042, 456043 and 459000)</t>
  </si>
  <si>
    <t>MONTHLY PEAKS IN KILOWATTS</t>
  </si>
  <si>
    <t>EKPC Form FF1, Page 300, Accounts 456 - 459</t>
  </si>
  <si>
    <t>Adjusted Total Accounts 456 - 459</t>
  </si>
  <si>
    <t xml:space="preserve">   Plus Non-requirements Sales for Resale</t>
  </si>
  <si>
    <t>Sourced from EKPC Form FF1, Ref Pg 401, adjusted for equivalent steam sold</t>
  </si>
  <si>
    <t xml:space="preserve"> (1) GSU capital costs that are included in the Transmission capital Account 353; amounts sourced from EKPC's PeopleSoft Asset Management System.</t>
  </si>
  <si>
    <t>Note 5</t>
  </si>
  <si>
    <t>FF1, Ref Page 401, Line 23</t>
  </si>
  <si>
    <t>FF1, Ref Page 401, Line 24</t>
  </si>
  <si>
    <t>R =</t>
  </si>
  <si>
    <t>Note 6</t>
  </si>
  <si>
    <t>FF1, Ref Page 401, Footnote</t>
  </si>
  <si>
    <t xml:space="preserve">   Less Equivalent Steam</t>
  </si>
  <si>
    <t>Calculation of Prior Year Transmission Revenue Requirement True-up Adjustment</t>
  </si>
  <si>
    <t>Calculation of Prior Year EKPC Schedule 1A Revenue Requirement True-up Adjustment</t>
  </si>
  <si>
    <t>Depreciation Rates</t>
  </si>
  <si>
    <r>
      <t xml:space="preserve">Acct 163 </t>
    </r>
    <r>
      <rPr>
        <u/>
        <vertAlign val="superscript"/>
        <sz val="12"/>
        <rFont val="Arial"/>
        <family val="2"/>
      </rPr>
      <t>(2)</t>
    </r>
  </si>
  <si>
    <r>
      <t xml:space="preserve">Total M&amp;S </t>
    </r>
    <r>
      <rPr>
        <u/>
        <vertAlign val="superscript"/>
        <sz val="12"/>
        <rFont val="Arial"/>
        <family val="2"/>
      </rPr>
      <t>(3)</t>
    </r>
  </si>
  <si>
    <t>(3) The amount shown in account 456 in FF1 includes revenues from sales of renewable energy credits included in account 459.</t>
  </si>
  <si>
    <t xml:space="preserve">(1)  Rent from KU for joint use of Rights of Way, Ref Pg 300, Page 2 of 2 (Acct 456) </t>
  </si>
  <si>
    <t xml:space="preserve">Less:  AEP Revenue from retained legacy agreement </t>
  </si>
  <si>
    <t xml:space="preserve"> TIER value approved by KPSC in Case No. 2010-000167</t>
  </si>
  <si>
    <t xml:space="preserve"> (1) Costs related to BA activities not included in Schedule 1 Costs</t>
  </si>
  <si>
    <t xml:space="preserve">  Duke Kentucky </t>
  </si>
  <si>
    <t xml:space="preserve">  KU/LGE</t>
  </si>
  <si>
    <t>EKPC Total Load Excluding DUKE/AEP</t>
  </si>
  <si>
    <t>EKPC - Monthly Total Native Load (EKPTOT)</t>
  </si>
  <si>
    <t>EKPC Load on LGE/KU Transmission System (KU &amp; LGE)</t>
  </si>
  <si>
    <t>EKPC Total Load less Wheel-Out Load (EKP - WHEEL)</t>
  </si>
  <si>
    <t>EKPTOT less EKPC Total Load Excluding DUKE/AEP</t>
  </si>
  <si>
    <t>Check Difference</t>
  </si>
  <si>
    <t>EKPC Subs fed by DUKE/AEP</t>
  </si>
  <si>
    <t>EKPC Subs fed by DUKE (CINERGY)</t>
  </si>
  <si>
    <t>EKPC Subs fed by AEP (KP_TOTAL)</t>
  </si>
  <si>
    <t>``</t>
  </si>
  <si>
    <t>2015 Requirements Sales for Resale</t>
  </si>
  <si>
    <t>For Rates Effective January 1, 2015</t>
  </si>
  <si>
    <t>For the 12 months ended 12/31/2015</t>
  </si>
  <si>
    <t>Interest                                                                                             (Line 5 x Line 6 x Line 7)</t>
  </si>
  <si>
    <t>Interest                                                                                         (Line 14 x Line 15 x Line 16)</t>
  </si>
  <si>
    <t xml:space="preserve">True Up Principal &amp; Interest Under(Over) Recovery--Preliminary  (10)                (Line 14 + Line 17) </t>
  </si>
  <si>
    <t>True-Up Principal Under(Over) Recovery before Interest                                      (Line 3 - Line 4)</t>
  </si>
  <si>
    <t xml:space="preserve">True Up Principal &amp; Interest Under(Over) Recovery--Preliminary  (5)                    (Line 5 + Line 8) </t>
  </si>
  <si>
    <r>
      <t xml:space="preserve">See: </t>
    </r>
    <r>
      <rPr>
        <b/>
        <i/>
        <sz val="12"/>
        <color theme="4" tint="-0.249977111117893"/>
        <rFont val="Arial"/>
        <family val="2"/>
      </rPr>
      <t>http://www.ferc.gov/enforcement/acct-matts/interest-rates.asp</t>
    </r>
    <r>
      <rPr>
        <sz val="12"/>
        <rFont val="Arial"/>
        <family val="2"/>
      </rPr>
      <t xml:space="preserve"> for the appropriate Months</t>
    </r>
  </si>
  <si>
    <t xml:space="preserve">Include: True Up Under/(Over) Recovery Adjustment for EKPC Appendix H-24A: Adjustment for 12 mo. ended </t>
  </si>
  <si>
    <t xml:space="preserve">Include: True Up Under/(Over) Recovery Adjustment for EKPC Sch. 1A for for 12 mo. ended </t>
  </si>
  <si>
    <t xml:space="preserve">True-Up Principal Under(Over) Recovery before Interest                                   (Line 10 + Line 11 ) </t>
  </si>
  <si>
    <t>Utilizing EKPC 2015 Form FF1 Data (ver.FINAL AUDITED)</t>
  </si>
  <si>
    <t>Total Balancing Authority Costs (561.BA) in Adj Transmission Exp</t>
  </si>
  <si>
    <t>Regulatory Expense Assoc w FERC Transmission Tariff</t>
  </si>
  <si>
    <t>(2) Regulatory fees from Kentucky Public Service Commission,  EKPC Form FF1, Ref Pg 321, Account 928</t>
  </si>
  <si>
    <t>(5) Represents direct costs associated with EKPC's integration into PJM (transmission-related only) with three year amortization</t>
  </si>
  <si>
    <t>(4) Direct costs of preparing the annual update and True-up of Transmission rates and posting the results with PJM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</si>
</sst>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4">
    <numFmt numFmtId="5" formatCode="&quot;$&quot;#,##0_);\(&quot;$&quot;#,##0\)"/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%"/>
    <numFmt numFmtId="165" formatCode="#,##0.00000"/>
    <numFmt numFmtId="166" formatCode="0.00000"/>
    <numFmt numFmtId="167" formatCode="#,##0.0000"/>
    <numFmt numFmtId="168" formatCode="#,##0.000"/>
    <numFmt numFmtId="169" formatCode="0.0000"/>
    <numFmt numFmtId="170" formatCode="&quot;$&quot;#,##0"/>
    <numFmt numFmtId="171" formatCode="#,##0.0"/>
    <numFmt numFmtId="172" formatCode="&quot;$&quot;#,##0.000"/>
    <numFmt numFmtId="173" formatCode="&quot;$&quot;#,##0.00"/>
    <numFmt numFmtId="174" formatCode="_(* #,##0_);_(* \(#,##0\);_(* &quot;-&quot;??_);_(@_)"/>
    <numFmt numFmtId="175" formatCode="_(&quot;$&quot;* #,##0_);_(&quot;$&quot;* \(#,##0\);_(&quot;$&quot;* &quot;-&quot;??_);_(@_)"/>
    <numFmt numFmtId="176" formatCode="_(* #,##0.0%_);_(* \(#,##0.0%\);_(* &quot;- %&quot;??_);_(@_)"/>
    <numFmt numFmtId="177" formatCode="0_);\(0\)"/>
    <numFmt numFmtId="178" formatCode="_(* #,##0.0\¢_m;[Red]_(* \-#,##0.0\¢_m;[Green]_(* 0.0\¢_m;_(@_)_%"/>
    <numFmt numFmtId="179" formatCode="_(* #,##0.00\¢_m;[Red]_(* \-#,##0.00\¢_m;[Green]_(* 0.00\¢_m;_(@_)_%"/>
    <numFmt numFmtId="180" formatCode="_(* #,##0.000\¢_m;[Red]_(* \-#,##0.000\¢_m;[Green]_(* 0.000\¢_m;_(@_)_%"/>
    <numFmt numFmtId="181" formatCode="_(_(\£* #,##0_)_%;[Red]_(\(\£* #,##0\)_%;[Green]_(_(\£* #,##0_)_%;_(@_)_%"/>
    <numFmt numFmtId="182" formatCode="_(_(\£* #,##0.0_)_%;[Red]_(\(\£* #,##0.0\)_%;[Green]_(_(\£* #,##0.0_)_%;_(@_)_%"/>
    <numFmt numFmtId="183" formatCode="_(_(\£* #,##0.00_)_%;[Red]_(\(\£* #,##0.00\)_%;[Green]_(_(\£* #,##0.00_)_%;_(@_)_%"/>
    <numFmt numFmtId="184" formatCode="0.0%_);\(0.0%\)"/>
    <numFmt numFmtId="185" formatCode="\•\ \ @"/>
    <numFmt numFmtId="186" formatCode="_(_(\•_ #0_)_%;[Red]_(_(\•_ \-#0\)_%;[Green]_(_(\•_ #0_)_%;_(_(\•_ @_)_%"/>
    <numFmt numFmtId="187" formatCode="_(_(_•_ \•_ #0_)_%;[Red]_(_(_•_ \•_ \-#0\)_%;[Green]_(_(_•_ \•_ #0_)_%;_(_(_•_ \•_ @_)_%"/>
    <numFmt numFmtId="188" formatCode="_(_(_•_ _•_ \•_ #0_)_%;[Red]_(_(_•_ _•_ \•_ \-#0\)_%;[Green]_(_(_•_ _•_ \•_ #0_)_%;_(_(_•_ \•_ @_)_%"/>
    <numFmt numFmtId="189" formatCode="#,##0,_);\(#,##0,\)"/>
    <numFmt numFmtId="190" formatCode="#,##0.0_);\(#,##0.0\)"/>
    <numFmt numFmtId="191" formatCode="0.0,_);\(0.0,\)"/>
    <numFmt numFmtId="192" formatCode="0.00,_);\(0.00,\)"/>
    <numFmt numFmtId="193" formatCode="#,##0.000_);\(#,##0.000\)"/>
    <numFmt numFmtId="194" formatCode="_(_(_$* #,##0.0_)_%;[Red]_(\(_$* #,##0.0\)_%;[Green]_(_(_$* #,##0.0_)_%;_(@_)_%"/>
    <numFmt numFmtId="195" formatCode="_(_(_$* #,##0.00_)_%;[Red]_(\(_$* #,##0.00\)_%;[Green]_(_(_$* #,##0.00_)_%;_(@_)_%"/>
    <numFmt numFmtId="196" formatCode="_(_(_$* #,##0.000_)_%;[Red]_(\(_$* #,##0.000\)_%;[Green]_(_(_$* #,##0.000_)_%;_(@_)_%"/>
    <numFmt numFmtId="197" formatCode="_._.* #,##0.0_)_%;_._.* \(#,##0.0\)_%;_._.* \ ?_)_%"/>
    <numFmt numFmtId="198" formatCode="_._.* #,##0.00_)_%;_._.* \(#,##0.00\)_%;_._.* \ ?_)_%"/>
    <numFmt numFmtId="199" formatCode="_._.* #,##0.000_)_%;_._.* \(#,##0.000\)_%;_._.* \ ?_)_%"/>
    <numFmt numFmtId="200" formatCode="_._.* #,##0.0000_)_%;_._.* \(#,##0.0000\)_%;_._.* \ ?_)_%"/>
    <numFmt numFmtId="201" formatCode="_(_(&quot;$&quot;* #,##0.0_)_%;[Red]_(\(&quot;$&quot;* #,##0.0\)_%;[Green]_(_(&quot;$&quot;* #,##0.0_)_%;_(@_)_%"/>
    <numFmt numFmtId="202" formatCode="_(_(&quot;$&quot;* #,##0.00_)_%;[Red]_(\(&quot;$&quot;* #,##0.00\)_%;[Green]_(_(&quot;$&quot;* #,##0.00_)_%;_(@_)_%"/>
    <numFmt numFmtId="203" formatCode="_(_(&quot;$&quot;* #,##0.000_)_%;[Red]_(\(&quot;$&quot;* #,##0.000\)_%;[Green]_(_(&quot;$&quot;* #,##0.000_)_%;_(@_)_%"/>
    <numFmt numFmtId="204" formatCode="_._.&quot;$&quot;* #,##0.0_)_%;_._.&quot;$&quot;* \(#,##0.0\)_%;_._.&quot;$&quot;* \ ?_)_%"/>
    <numFmt numFmtId="205" formatCode="_._.&quot;$&quot;* #,##0.00_)_%;_._.&quot;$&quot;* \(#,##0.00\)_%;_._.&quot;$&quot;* \ ?_)_%"/>
    <numFmt numFmtId="206" formatCode="_._.&quot;$&quot;* #,##0.000_)_%;_._.&quot;$&quot;* \(#,##0.000\)_%;_._.&quot;$&quot;* \ ?_)_%"/>
    <numFmt numFmtId="207" formatCode="_._.&quot;$&quot;* #,##0.0000_)_%;_._.&quot;$&quot;* \(#,##0.0000\)_%;_._.&quot;$&quot;* \ ?_)_%"/>
    <numFmt numFmtId="208" formatCode="&quot;$&quot;#,##0,_);\(&quot;$&quot;#,##0,\)"/>
    <numFmt numFmtId="209" formatCode="&quot;$&quot;#,##0.0_);\(&quot;$&quot;#,##0.0\)"/>
    <numFmt numFmtId="210" formatCode="&quot;$&quot;0.0,_);\(&quot;$&quot;0.0,\)"/>
    <numFmt numFmtId="211" formatCode="&quot;$&quot;0.00,_);\(&quot;$&quot;0.00,\)"/>
    <numFmt numFmtId="212" formatCode="&quot;$&quot;#,##0.000_);\(&quot;$&quot;#,##0.000\)"/>
    <numFmt numFmtId="213" formatCode="_(* dd\-mmm\-yy_)_%"/>
    <numFmt numFmtId="214" formatCode="_(* dd\ mmmm\ yyyy_)_%"/>
    <numFmt numFmtId="215" formatCode="_(* mmmm\ dd\,\ yyyy_)_%"/>
    <numFmt numFmtId="216" formatCode="_(* dd\.mm\.yyyy_)_%"/>
    <numFmt numFmtId="217" formatCode="_(* mm/dd/yyyy_)_%"/>
    <numFmt numFmtId="218" formatCode="m/d/yy;@"/>
    <numFmt numFmtId="219" formatCode="#,##0.0\x_);\(#,##0.0\x\)"/>
    <numFmt numFmtId="220" formatCode="#,##0.00\x_);\(#,##0.00\x\)"/>
    <numFmt numFmtId="221" formatCode="[$€-2]\ #,##0_);\([$€-2]\ #,##0\)"/>
    <numFmt numFmtId="222" formatCode="[$€-2]\ #,##0.0_);\([$€-2]\ #,##0.0\)"/>
    <numFmt numFmtId="223" formatCode="_([$€-2]* #,##0.00_);_([$€-2]* \(#,##0.00\);_([$€-2]* &quot;-&quot;??_)"/>
    <numFmt numFmtId="224" formatCode="General_)_%"/>
    <numFmt numFmtId="225" formatCode="_(_(#0_)_%;[Red]_(_(\-#0\)_%;[Green]_(_(#0_)_%;_(_(@_)_%"/>
    <numFmt numFmtId="226" formatCode="_(_(_•_ #0_)_%;[Red]_(_(_•_ \-#0\)_%;[Green]_(_(_•_ #0_)_%;_(_(_•_ @_)_%"/>
    <numFmt numFmtId="227" formatCode="_(_(_•_ _•_ #0_)_%;[Red]_(_(_•_ _•_ \-#0\)_%;[Green]_(_(_•_ _•_ #0_)_%;_(_(_•_ _•_ @_)_%"/>
    <numFmt numFmtId="228" formatCode="_(_(_•_ _•_ _•_ #0_)_%;[Red]_(_(_•_ _•_ _•_ \-#0\)_%;[Green]_(_(_•_ _•_ _•_ #0_)_%;_(_(_•_ _•_ _•_ @_)_%"/>
    <numFmt numFmtId="229" formatCode="#,##0\x;\(#,##0\x\)"/>
    <numFmt numFmtId="230" formatCode="0.0\x;\(0.0\x\)"/>
    <numFmt numFmtId="231" formatCode="#,##0.00\x;\(#,##0.00\x\)"/>
    <numFmt numFmtId="232" formatCode="#,##0.000\x;\(#,##0.000\x\)"/>
    <numFmt numFmtId="233" formatCode="0.0_);\(0.0\)"/>
    <numFmt numFmtId="234" formatCode="0%;\(0%\)"/>
    <numFmt numFmtId="235" formatCode="0.00\ \x_);\(0.00\ \x\)"/>
    <numFmt numFmtId="236" formatCode="_(* #,##0_);_(* \(#,##0\);_(* &quot;-&quot;????_);_(@_)"/>
    <numFmt numFmtId="237" formatCode="0__"/>
    <numFmt numFmtId="238" formatCode="h:mmAM/PM"/>
    <numFmt numFmtId="239" formatCode="0&quot; E&quot;"/>
    <numFmt numFmtId="240" formatCode="yyyy"/>
    <numFmt numFmtId="241" formatCode="&quot;$&quot;#,##0.0"/>
    <numFmt numFmtId="242" formatCode="0.0%;\(0.0%\)"/>
    <numFmt numFmtId="243" formatCode="0.00%_);\(0.00%\)"/>
    <numFmt numFmtId="244" formatCode="0.000%_);\(0.000%\)"/>
    <numFmt numFmtId="245" formatCode="_(0_)%;\(0\)%;\ \ ?_)%"/>
    <numFmt numFmtId="246" formatCode="_._._(* 0_)%;_._.* \(0\)%;_._._(* \ ?_)%"/>
    <numFmt numFmtId="247" formatCode="0%_);\(0%\)"/>
    <numFmt numFmtId="248" formatCode="_(* #,##0_)_%;[Red]_(* \(#,##0\)_%;[Green]_(* 0_)_%;_(@_)_%"/>
    <numFmt numFmtId="249" formatCode="_(* #,##0.0%_);[Red]_(* \-#,##0.0%_);[Green]_(* 0.0%_);_(@_)_%"/>
    <numFmt numFmtId="250" formatCode="_(* #,##0.00%_);[Red]_(* \-#,##0.00%_);[Green]_(* 0.00%_);_(@_)_%"/>
    <numFmt numFmtId="251" formatCode="_(* #,##0.000%_);[Red]_(* \-#,##0.000%_);[Green]_(* 0.000%_);_(@_)_%"/>
    <numFmt numFmtId="252" formatCode="_(0.0_)%;\(0.0\)%;\ \ ?_)%"/>
    <numFmt numFmtId="253" formatCode="_._._(* 0.0_)%;_._.* \(0.0\)%;_._._(* \ ?_)%"/>
    <numFmt numFmtId="254" formatCode="_(0.00_)%;\(0.00\)%;\ \ ?_)%"/>
    <numFmt numFmtId="255" formatCode="_._._(* 0.00_)%;_._.* \(0.00\)%;_._._(* \ ?_)%"/>
    <numFmt numFmtId="256" formatCode="_(0.000_)%;\(0.000\)%;\ \ ?_)%"/>
    <numFmt numFmtId="257" formatCode="_._._(* 0.000_)%;_._.* \(0.000\)%;_._._(* \ ?_)%"/>
    <numFmt numFmtId="258" formatCode="_(0.0000_)%;\(0.0000\)%;\ \ ?_)%"/>
    <numFmt numFmtId="259" formatCode="_._._(* 0.0000_)%;_._.* \(0.0000\)%;_._._(* \ ?_)%"/>
    <numFmt numFmtId="260" formatCode="0.0%"/>
    <numFmt numFmtId="261" formatCode="mmmm\ dd\,\ yy"/>
    <numFmt numFmtId="262" formatCode="0.0\x"/>
    <numFmt numFmtId="263" formatCode="_(* #,##0_);_(* \(#,##0\);_(* \ ?_)"/>
    <numFmt numFmtId="264" formatCode="_(* #,##0.0_);_(* \(#,##0.0\);_(* \ ?_)"/>
    <numFmt numFmtId="265" formatCode="_(* #,##0.00_);_(* \(#,##0.00\);_(* \ ?_)"/>
    <numFmt numFmtId="266" formatCode="_(* #,##0.000_);_(* \(#,##0.000\);_(* \ ?_)"/>
    <numFmt numFmtId="267" formatCode="_(&quot;$&quot;* #,##0_);_(&quot;$&quot;* \(#,##0\);_(&quot;$&quot;* \ ?_)"/>
    <numFmt numFmtId="268" formatCode="_(&quot;$&quot;* #,##0.0_);_(&quot;$&quot;* \(#,##0.0\);_(&quot;$&quot;* \ ?_)"/>
    <numFmt numFmtId="269" formatCode="_(&quot;$&quot;* #,##0.00_);_(&quot;$&quot;* \(#,##0.00\);_(&quot;$&quot;* \ ?_)"/>
    <numFmt numFmtId="270" formatCode="_(&quot;$&quot;* #,##0.000_);_(&quot;$&quot;* \(#,##0.000\);_(&quot;$&quot;* \ ?_)"/>
    <numFmt numFmtId="271" formatCode="0000&quot;A&quot;"/>
    <numFmt numFmtId="272" formatCode="0&quot;E&quot;"/>
    <numFmt numFmtId="273" formatCode="0000&quot;E&quot;"/>
    <numFmt numFmtId="274" formatCode="&quot;$&quot;#,##0.0000"/>
    <numFmt numFmtId="275" formatCode="0.000000%"/>
    <numFmt numFmtId="276" formatCode="_(* #,##0.000_);_(* \(#,##0.000\);_(* &quot;-&quot;??_);_(@_)"/>
    <numFmt numFmtId="277" formatCode="_([$$-409]* #,##0.00_);_([$$-409]* \(#,##0.00\);_([$$-409]* &quot;-&quot;??_);_(@_)"/>
    <numFmt numFmtId="278" formatCode="_([$$-409]* #,##0_);_([$$-409]* \(#,##0\);_([$$-409]* &quot;-&quot;??_);_(@_)"/>
    <numFmt numFmtId="279" formatCode="_(&quot;$&quot;* #,##0.000_);_(&quot;$&quot;* \(#,##0.000\);_(&quot;$&quot;* &quot;-&quot;_);_(@_)"/>
    <numFmt numFmtId="280" formatCode="_(* #,##0.00000000_);_(* \(#,##0.00000000\);_(* &quot;-&quot;??_);_(@_)"/>
  </numFmts>
  <fonts count="119">
    <font>
      <sz val="12"/>
      <name val="Arial MT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2"/>
      <name val="Arial MT"/>
    </font>
    <font>
      <sz val="12"/>
      <name val="Times New Roman"/>
      <family val="1"/>
    </font>
    <font>
      <sz val="10"/>
      <name val="Arial MT"/>
    </font>
    <font>
      <sz val="12"/>
      <name val="Arial"/>
      <family val="2"/>
    </font>
    <font>
      <b/>
      <u/>
      <sz val="12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b/>
      <sz val="12"/>
      <name val="Arial MT"/>
    </font>
    <font>
      <sz val="12"/>
      <color indexed="10"/>
      <name val="Arial MT"/>
    </font>
    <font>
      <sz val="10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12"/>
      <name val="Arial"/>
      <family val="2"/>
    </font>
    <font>
      <sz val="12"/>
      <color indexed="12"/>
      <name val="Arial"/>
      <family val="2"/>
    </font>
    <font>
      <b/>
      <sz val="12"/>
      <color indexed="12"/>
      <name val="Arial"/>
      <family val="2"/>
    </font>
    <font>
      <u/>
      <sz val="10"/>
      <name val="Arial"/>
      <family val="2"/>
    </font>
    <font>
      <b/>
      <u val="singleAccounting"/>
      <sz val="10"/>
      <name val="Arial"/>
      <family val="2"/>
    </font>
    <font>
      <sz val="8"/>
      <name val="Arial"/>
      <family val="2"/>
    </font>
    <font>
      <b/>
      <u val="singleAccounting"/>
      <sz val="12"/>
      <name val="Arial"/>
      <family val="2"/>
    </font>
    <font>
      <u val="singleAccounting"/>
      <sz val="12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sz val="10"/>
      <name val="Arial Narrow"/>
      <family val="2"/>
    </font>
    <font>
      <sz val="10"/>
      <name val="MS Sans Serif"/>
      <family val="2"/>
    </font>
    <font>
      <u val="doubleAccounting"/>
      <sz val="12"/>
      <name val="Arial"/>
      <family val="2"/>
    </font>
    <font>
      <sz val="12"/>
      <color rgb="FF0000FF"/>
      <name val="Arial MT"/>
    </font>
    <font>
      <sz val="12"/>
      <color rgb="FF0000FF"/>
      <name val="Arial"/>
      <family val="2"/>
    </font>
    <font>
      <b/>
      <u/>
      <sz val="12"/>
      <name val="Arial MT"/>
    </font>
    <font>
      <sz val="10"/>
      <name val="MS Sans Serif"/>
      <family val="2"/>
    </font>
    <font>
      <sz val="14"/>
      <name val="Arial"/>
      <family val="2"/>
    </font>
    <font>
      <b/>
      <sz val="10"/>
      <color indexed="12"/>
      <name val="Arial"/>
      <family val="2"/>
    </font>
    <font>
      <sz val="9"/>
      <name val="Arial"/>
      <family val="2"/>
    </font>
    <font>
      <sz val="10"/>
      <name val="C Helvetica Condensed"/>
    </font>
    <font>
      <sz val="10"/>
      <color indexed="12"/>
      <name val="Times New Roman"/>
      <family val="1"/>
    </font>
    <font>
      <sz val="10"/>
      <name val="Times New Roman"/>
      <family val="1"/>
    </font>
    <font>
      <b/>
      <sz val="10"/>
      <color indexed="8"/>
      <name val="Times New Roman"/>
      <family val="1"/>
    </font>
    <font>
      <b/>
      <i/>
      <sz val="14"/>
      <name val="Arial"/>
      <family val="2"/>
    </font>
    <font>
      <b/>
      <sz val="24"/>
      <name val="Arial Narrow"/>
      <family val="2"/>
    </font>
    <font>
      <b/>
      <i/>
      <sz val="12"/>
      <name val="Arial"/>
      <family val="2"/>
    </font>
    <font>
      <i/>
      <sz val="12"/>
      <name val="Arial"/>
      <family val="2"/>
    </font>
    <font>
      <i/>
      <sz val="10"/>
      <name val="Arial"/>
      <family val="2"/>
    </font>
    <font>
      <sz val="9"/>
      <color indexed="18"/>
      <name val="Arial"/>
      <family val="2"/>
    </font>
    <font>
      <i/>
      <sz val="10"/>
      <color indexed="18"/>
      <name val="Arial"/>
      <family val="2"/>
    </font>
    <font>
      <sz val="10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Arial"/>
      <family val="2"/>
    </font>
    <font>
      <sz val="9"/>
      <color indexed="12"/>
      <name val="Arial"/>
      <family val="2"/>
    </font>
    <font>
      <sz val="9"/>
      <name val="Times New Roman"/>
      <family val="1"/>
    </font>
    <font>
      <b/>
      <sz val="9"/>
      <name val="Arial"/>
      <family val="2"/>
    </font>
    <font>
      <sz val="12"/>
      <name val="Helv"/>
    </font>
    <font>
      <sz val="11"/>
      <name val="Times New Roman"/>
      <family val="1"/>
    </font>
    <font>
      <u val="singleAccounting"/>
      <sz val="11"/>
      <name val="Times New Roman"/>
      <family val="1"/>
    </font>
    <font>
      <sz val="8"/>
      <name val="Times New Roman"/>
      <family val="1"/>
    </font>
    <font>
      <b/>
      <sz val="10"/>
      <name val="Times New Roman"/>
      <family val="1"/>
    </font>
    <font>
      <i/>
      <sz val="8"/>
      <name val="Arial"/>
      <family val="2"/>
    </font>
    <font>
      <sz val="8"/>
      <color indexed="22"/>
      <name val="Arial"/>
      <family val="2"/>
    </font>
    <font>
      <sz val="10"/>
      <name val="Book Antiqua"/>
      <family val="1"/>
    </font>
    <font>
      <b/>
      <i/>
      <sz val="14"/>
      <name val="Tms Rmn"/>
    </font>
    <font>
      <sz val="10"/>
      <color indexed="42"/>
      <name val="Arial"/>
      <family val="2"/>
    </font>
    <font>
      <sz val="10"/>
      <color indexed="46"/>
      <name val="Arial"/>
      <family val="2"/>
    </font>
    <font>
      <b/>
      <sz val="14"/>
      <name val="Book Antiqua"/>
      <family val="1"/>
    </font>
    <font>
      <i/>
      <sz val="10"/>
      <name val="Book Antiqua"/>
      <family val="1"/>
    </font>
    <font>
      <b/>
      <sz val="10"/>
      <color indexed="22"/>
      <name val="Arial"/>
      <family val="2"/>
    </font>
    <font>
      <sz val="10"/>
      <color indexed="12"/>
      <name val="Book Antiqua"/>
      <family val="1"/>
    </font>
    <font>
      <i/>
      <sz val="16"/>
      <name val="Times New Roman"/>
      <family val="1"/>
    </font>
    <font>
      <sz val="7"/>
      <name val="Small Fonts"/>
      <family val="2"/>
    </font>
    <font>
      <u/>
      <sz val="10"/>
      <name val="Times New Roman"/>
      <family val="1"/>
    </font>
    <font>
      <b/>
      <sz val="10"/>
      <name val="MS Sans Serif"/>
      <family val="2"/>
    </font>
    <font>
      <sz val="8"/>
      <color indexed="38"/>
      <name val="Arial"/>
      <family val="2"/>
    </font>
    <font>
      <b/>
      <i/>
      <sz val="16"/>
      <name val="Arial"/>
      <family val="2"/>
    </font>
    <font>
      <b/>
      <sz val="12"/>
      <color indexed="32"/>
      <name val="Arial"/>
      <family val="2"/>
    </font>
    <font>
      <i/>
      <sz val="11"/>
      <name val="Arial"/>
      <family val="2"/>
    </font>
    <font>
      <sz val="10"/>
      <color indexed="40"/>
      <name val="Arial"/>
      <family val="2"/>
    </font>
    <font>
      <sz val="10"/>
      <color indexed="8"/>
      <name val="Times New Roman"/>
      <family val="1"/>
    </font>
    <font>
      <b/>
      <i/>
      <sz val="12"/>
      <name val="Times New Roman"/>
      <family val="1"/>
    </font>
    <font>
      <sz val="10"/>
      <name val="Futura UBS Bk"/>
      <family val="2"/>
    </font>
    <font>
      <sz val="10"/>
      <color indexed="8"/>
      <name val="MS Sans Serif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9"/>
      <name val="Times New Roman"/>
      <family val="1"/>
    </font>
    <font>
      <b/>
      <sz val="10"/>
      <color indexed="10"/>
      <name val="Arial"/>
      <family val="2"/>
    </font>
    <font>
      <i/>
      <sz val="8"/>
      <name val="Times New Roman"/>
      <family val="1"/>
    </font>
    <font>
      <sz val="10"/>
      <color indexed="21"/>
      <name val="Arial"/>
      <family val="2"/>
    </font>
    <font>
      <b/>
      <sz val="8"/>
      <name val="Arial"/>
      <family val="2"/>
    </font>
    <font>
      <u/>
      <sz val="12"/>
      <name val="Arial"/>
      <family val="2"/>
    </font>
    <font>
      <u/>
      <sz val="11"/>
      <name val="Arial"/>
      <family val="2"/>
    </font>
    <font>
      <sz val="10"/>
      <name val="Arial"/>
      <family val="2"/>
    </font>
    <font>
      <u/>
      <sz val="12"/>
      <name val="Arial MT"/>
    </font>
    <font>
      <sz val="12"/>
      <name val="Courier"/>
      <family val="3"/>
    </font>
    <font>
      <vertAlign val="superscript"/>
      <sz val="10"/>
      <color theme="1"/>
      <name val="Arial"/>
      <family val="2"/>
    </font>
    <font>
      <b/>
      <sz val="12"/>
      <color rgb="FFFF0000"/>
      <name val="Arial"/>
      <family val="2"/>
    </font>
    <font>
      <b/>
      <u val="double"/>
      <sz val="10"/>
      <name val="Arial"/>
      <family val="2"/>
    </font>
    <font>
      <sz val="12"/>
      <color rgb="FFFF0000"/>
      <name val="Arial"/>
      <family val="2"/>
    </font>
    <font>
      <b/>
      <sz val="12"/>
      <color rgb="FF0000FF"/>
      <name val="Arial"/>
      <family val="2"/>
    </font>
    <font>
      <b/>
      <u val="double"/>
      <sz val="16"/>
      <name val="Arial"/>
      <family val="2"/>
    </font>
    <font>
      <sz val="10"/>
      <name val="Arial Unicode MS"/>
      <family val="2"/>
    </font>
    <font>
      <b/>
      <sz val="10"/>
      <name val="Arial Unicode MS"/>
      <family val="2"/>
    </font>
    <font>
      <sz val="11"/>
      <color rgb="FF006100"/>
      <name val="Calibri"/>
      <family val="2"/>
      <scheme val="minor"/>
    </font>
    <font>
      <sz val="10"/>
      <name val="Calibri"/>
      <family val="2"/>
      <scheme val="minor"/>
    </font>
    <font>
      <b/>
      <sz val="12"/>
      <color rgb="FFFF0000"/>
      <name val="Arial MT"/>
    </font>
    <font>
      <b/>
      <i/>
      <sz val="12"/>
      <color theme="4" tint="-0.249977111117893"/>
      <name val="Arial"/>
      <family val="2"/>
    </font>
    <font>
      <sz val="12"/>
      <color rgb="FFFF0000"/>
      <name val="Arial MT"/>
    </font>
    <font>
      <b/>
      <i/>
      <sz val="12"/>
      <name val="Arial MT"/>
    </font>
    <font>
      <b/>
      <i/>
      <u/>
      <sz val="12"/>
      <name val="Arial"/>
      <family val="2"/>
    </font>
    <font>
      <sz val="12"/>
      <color rgb="FFFF3300"/>
      <name val="Arial"/>
      <family val="2"/>
    </font>
    <font>
      <sz val="12"/>
      <color theme="1"/>
      <name val="Arial"/>
      <family val="2"/>
    </font>
    <font>
      <sz val="12"/>
      <name val="Calibri"/>
      <family val="2"/>
      <scheme val="minor"/>
    </font>
    <font>
      <sz val="12"/>
      <color indexed="10"/>
      <name val="Arial"/>
      <family val="2"/>
    </font>
    <font>
      <u/>
      <sz val="12"/>
      <color theme="1"/>
      <name val="Arial"/>
      <family val="2"/>
    </font>
    <font>
      <b/>
      <sz val="12"/>
      <color theme="1"/>
      <name val="Arial"/>
      <family val="2"/>
    </font>
    <font>
      <u/>
      <vertAlign val="superscript"/>
      <sz val="12"/>
      <name val="Arial"/>
      <family val="2"/>
    </font>
    <font>
      <sz val="10"/>
      <color rgb="FF0000FF"/>
      <name val="Arial"/>
      <family val="2"/>
    </font>
    <font>
      <u/>
      <sz val="12"/>
      <color theme="10"/>
      <name val="Arial MT"/>
    </font>
  </fonts>
  <fills count="1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3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8"/>
        <bgColor indexed="64"/>
      </patternFill>
    </fill>
    <fill>
      <patternFill patternType="solid">
        <fgColor indexed="26"/>
        <bgColor indexed="64"/>
      </patternFill>
    </fill>
    <fill>
      <patternFill patternType="lightGray">
        <fgColor indexed="38"/>
        <bgColor indexed="23"/>
      </patternFill>
    </fill>
    <fill>
      <patternFill patternType="mediumGray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C6EFCE"/>
      </patternFill>
    </fill>
  </fills>
  <borders count="2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hair">
        <color indexed="20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89">
    <xf numFmtId="173" fontId="0" fillId="0" borderId="0" applyProtection="0"/>
    <xf numFmtId="43" fontId="15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28" fillId="0" borderId="0">
      <alignment vertical="top"/>
    </xf>
    <xf numFmtId="173" fontId="3" fillId="0" borderId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9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4" fillId="0" borderId="0" applyFont="0" applyFill="0" applyBorder="0" applyAlignment="0" applyProtection="0"/>
    <xf numFmtId="0" fontId="12" fillId="0" borderId="0"/>
    <xf numFmtId="44" fontId="12" fillId="0" borderId="0" applyFont="0" applyFill="0" applyBorder="0" applyAlignment="0" applyProtection="0"/>
    <xf numFmtId="0" fontId="12" fillId="0" borderId="0"/>
    <xf numFmtId="178" fontId="38" fillId="0" borderId="0" applyFont="0" applyFill="0" applyBorder="0" applyAlignment="0" applyProtection="0"/>
    <xf numFmtId="179" fontId="38" fillId="0" borderId="0" applyFont="0" applyFill="0" applyBorder="0" applyAlignment="0" applyProtection="0"/>
    <xf numFmtId="180" fontId="38" fillId="0" borderId="0" applyFont="0" applyFill="0" applyBorder="0" applyAlignment="0" applyProtection="0"/>
    <xf numFmtId="181" fontId="38" fillId="0" borderId="0" applyFont="0" applyFill="0" applyBorder="0" applyAlignment="0" applyProtection="0"/>
    <xf numFmtId="182" fontId="38" fillId="0" borderId="0" applyFont="0" applyFill="0" applyBorder="0" applyAlignment="0" applyProtection="0"/>
    <xf numFmtId="183" fontId="38" fillId="0" borderId="0" applyFont="0" applyFill="0" applyBorder="0" applyAlignment="0" applyProtection="0"/>
    <xf numFmtId="0" fontId="37" fillId="0" borderId="0"/>
    <xf numFmtId="184" fontId="12" fillId="4" borderId="0" applyNumberFormat="0" applyFill="0" applyBorder="0" applyAlignment="0" applyProtection="0">
      <alignment horizontal="right" vertical="center"/>
    </xf>
    <xf numFmtId="184" fontId="16" fillId="0" borderId="0" applyNumberFormat="0" applyFill="0" applyBorder="0" applyAlignment="0" applyProtection="0"/>
    <xf numFmtId="0" fontId="12" fillId="0" borderId="6" applyNumberFormat="0" applyFont="0" applyFill="0" applyAlignment="0" applyProtection="0"/>
    <xf numFmtId="185" fontId="4" fillId="0" borderId="0" applyFont="0" applyFill="0" applyBorder="0" applyAlignment="0" applyProtection="0"/>
    <xf numFmtId="186" fontId="38" fillId="0" borderId="0" applyFont="0" applyFill="0" applyBorder="0" applyProtection="0">
      <alignment horizontal="left"/>
    </xf>
    <xf numFmtId="187" fontId="38" fillId="0" borderId="0" applyFont="0" applyFill="0" applyBorder="0" applyProtection="0">
      <alignment horizontal="left"/>
    </xf>
    <xf numFmtId="188" fontId="38" fillId="0" borderId="0" applyFont="0" applyFill="0" applyBorder="0" applyProtection="0">
      <alignment horizontal="left"/>
    </xf>
    <xf numFmtId="37" fontId="39" fillId="0" borderId="0" applyFont="0" applyFill="0" applyBorder="0" applyAlignment="0" applyProtection="0">
      <alignment vertical="center"/>
      <protection locked="0"/>
    </xf>
    <xf numFmtId="189" fontId="40" fillId="0" borderId="0" applyFont="0" applyFill="0" applyBorder="0" applyAlignment="0" applyProtection="0"/>
    <xf numFmtId="0" fontId="41" fillId="0" borderId="0"/>
    <xf numFmtId="0" fontId="41" fillId="0" borderId="0"/>
    <xf numFmtId="173" fontId="21" fillId="0" borderId="0" applyFill="0"/>
    <xf numFmtId="173" fontId="21" fillId="0" borderId="0">
      <alignment horizontal="center"/>
    </xf>
    <xf numFmtId="0" fontId="21" fillId="0" borderId="0" applyFill="0">
      <alignment horizontal="center"/>
    </xf>
    <xf numFmtId="173" fontId="24" fillId="0" borderId="14" applyFill="0"/>
    <xf numFmtId="0" fontId="12" fillId="0" borderId="0" applyFont="0" applyAlignment="0"/>
    <xf numFmtId="0" fontId="42" fillId="0" borderId="0" applyFill="0">
      <alignment vertical="top"/>
    </xf>
    <xf numFmtId="0" fontId="24" fillId="0" borderId="0" applyFill="0">
      <alignment horizontal="left" vertical="top"/>
    </xf>
    <xf numFmtId="173" fontId="8" fillId="0" borderId="8" applyFill="0"/>
    <xf numFmtId="0" fontId="12" fillId="0" borderId="0" applyNumberFormat="0" applyFont="0" applyAlignment="0"/>
    <xf numFmtId="0" fontId="42" fillId="0" borderId="0" applyFill="0">
      <alignment wrapText="1"/>
    </xf>
    <xf numFmtId="0" fontId="24" fillId="0" borderId="0" applyFill="0">
      <alignment horizontal="left" vertical="top" wrapText="1"/>
    </xf>
    <xf numFmtId="173" fontId="25" fillId="0" borderId="0" applyFill="0"/>
    <xf numFmtId="0" fontId="43" fillId="0" borderId="0" applyNumberFormat="0" applyFont="0" applyAlignment="0">
      <alignment horizontal="center"/>
    </xf>
    <xf numFmtId="0" fontId="44" fillId="0" borderId="0" applyFill="0">
      <alignment vertical="top" wrapText="1"/>
    </xf>
    <xf numFmtId="0" fontId="8" fillId="0" borderId="0" applyFill="0">
      <alignment horizontal="left" vertical="top" wrapText="1"/>
    </xf>
    <xf numFmtId="173" fontId="12" fillId="0" borderId="0" applyFill="0"/>
    <xf numFmtId="0" fontId="43" fillId="0" borderId="0" applyNumberFormat="0" applyFont="0" applyAlignment="0">
      <alignment horizontal="center"/>
    </xf>
    <xf numFmtId="0" fontId="45" fillId="0" borderId="0" applyFill="0">
      <alignment vertical="center" wrapText="1"/>
    </xf>
    <xf numFmtId="0" fontId="6" fillId="0" borderId="0">
      <alignment horizontal="left" vertical="center" wrapText="1"/>
    </xf>
    <xf numFmtId="173" fontId="37" fillId="0" borderId="0" applyFill="0"/>
    <xf numFmtId="0" fontId="43" fillId="0" borderId="0" applyNumberFormat="0" applyFont="0" applyAlignment="0">
      <alignment horizontal="center"/>
    </xf>
    <xf numFmtId="0" fontId="46" fillId="0" borderId="0" applyFill="0">
      <alignment horizontal="center" vertical="center" wrapText="1"/>
    </xf>
    <xf numFmtId="0" fontId="12" fillId="0" borderId="0" applyFill="0">
      <alignment horizontal="center" vertical="center" wrapText="1"/>
    </xf>
    <xf numFmtId="173" fontId="47" fillId="0" borderId="0" applyFill="0"/>
    <xf numFmtId="0" fontId="43" fillId="0" borderId="0" applyNumberFormat="0" applyFont="0" applyAlignment="0">
      <alignment horizontal="center"/>
    </xf>
    <xf numFmtId="0" fontId="48" fillId="0" borderId="0" applyFill="0">
      <alignment horizontal="center" vertical="center" wrapText="1"/>
    </xf>
    <xf numFmtId="0" fontId="49" fillId="0" borderId="0" applyFill="0">
      <alignment horizontal="center" vertical="center" wrapText="1"/>
    </xf>
    <xf numFmtId="173" fontId="50" fillId="0" borderId="0" applyFill="0"/>
    <xf numFmtId="0" fontId="43" fillId="0" borderId="0" applyNumberFormat="0" applyFont="0" applyAlignment="0">
      <alignment horizontal="center"/>
    </xf>
    <xf numFmtId="0" fontId="51" fillId="0" borderId="0">
      <alignment horizontal="center" wrapText="1"/>
    </xf>
    <xf numFmtId="0" fontId="47" fillId="0" borderId="0" applyFill="0">
      <alignment horizontal="center" wrapText="1"/>
    </xf>
    <xf numFmtId="190" fontId="52" fillId="0" borderId="0" applyFont="0" applyFill="0" applyBorder="0" applyAlignment="0" applyProtection="0">
      <protection locked="0"/>
    </xf>
    <xf numFmtId="191" fontId="52" fillId="0" borderId="0" applyFont="0" applyFill="0" applyBorder="0" applyAlignment="0" applyProtection="0">
      <protection locked="0"/>
    </xf>
    <xf numFmtId="39" fontId="12" fillId="0" borderId="0" applyFont="0" applyFill="0" applyBorder="0" applyAlignment="0" applyProtection="0"/>
    <xf numFmtId="192" fontId="53" fillId="0" borderId="0" applyFont="0" applyFill="0" applyBorder="0" applyAlignment="0" applyProtection="0"/>
    <xf numFmtId="193" fontId="40" fillId="0" borderId="0" applyFont="0" applyFill="0" applyBorder="0" applyAlignment="0" applyProtection="0"/>
    <xf numFmtId="0" fontId="12" fillId="0" borderId="6" applyNumberFormat="0" applyFont="0" applyFill="0" applyBorder="0" applyProtection="0">
      <alignment horizontal="centerContinuous" vertical="center"/>
    </xf>
    <xf numFmtId="0" fontId="54" fillId="0" borderId="0" applyFill="0" applyBorder="0" applyProtection="0">
      <alignment horizontal="center"/>
      <protection locked="0"/>
    </xf>
    <xf numFmtId="0" fontId="12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194" fontId="38" fillId="0" borderId="0" applyFont="0" applyFill="0" applyBorder="0" applyAlignment="0" applyProtection="0"/>
    <xf numFmtId="195" fontId="38" fillId="0" borderId="0" applyFont="0" applyFill="0" applyBorder="0" applyAlignment="0" applyProtection="0"/>
    <xf numFmtId="196" fontId="38" fillId="0" borderId="0" applyFont="0" applyFill="0" applyBorder="0" applyAlignment="0" applyProtection="0"/>
    <xf numFmtId="197" fontId="56" fillId="0" borderId="0" applyFont="0" applyFill="0" applyBorder="0" applyAlignment="0" applyProtection="0"/>
    <xf numFmtId="198" fontId="57" fillId="0" borderId="0" applyFont="0" applyFill="0" applyBorder="0" applyAlignment="0" applyProtection="0"/>
    <xf numFmtId="199" fontId="57" fillId="0" borderId="0" applyFont="0" applyFill="0" applyBorder="0" applyAlignment="0" applyProtection="0"/>
    <xf numFmtId="200" fontId="25" fillId="0" borderId="0" applyFont="0" applyFill="0" applyBorder="0" applyAlignment="0" applyProtection="0">
      <protection locked="0"/>
    </xf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2" fillId="0" borderId="0" applyFont="0" applyFill="0" applyBorder="0" applyAlignment="0" applyProtection="0"/>
    <xf numFmtId="37" fontId="58" fillId="0" borderId="0" applyFill="0" applyBorder="0" applyAlignment="0" applyProtection="0"/>
    <xf numFmtId="3" fontId="12" fillId="0" borderId="0" applyFont="0" applyFill="0" applyBorder="0" applyAlignment="0" applyProtection="0"/>
    <xf numFmtId="0" fontId="24" fillId="0" borderId="0" applyFill="0" applyBorder="0" applyAlignment="0" applyProtection="0">
      <protection locked="0"/>
    </xf>
    <xf numFmtId="201" fontId="38" fillId="0" borderId="0" applyFont="0" applyFill="0" applyBorder="0" applyAlignment="0" applyProtection="0"/>
    <xf numFmtId="202" fontId="38" fillId="0" borderId="0" applyFont="0" applyFill="0" applyBorder="0" applyAlignment="0" applyProtection="0"/>
    <xf numFmtId="203" fontId="38" fillId="0" borderId="0" applyFont="0" applyFill="0" applyBorder="0" applyAlignment="0" applyProtection="0"/>
    <xf numFmtId="204" fontId="57" fillId="0" borderId="0" applyFont="0" applyFill="0" applyBorder="0" applyAlignment="0" applyProtection="0"/>
    <xf numFmtId="205" fontId="57" fillId="0" borderId="0" applyFont="0" applyFill="0" applyBorder="0" applyAlignment="0" applyProtection="0"/>
    <xf numFmtId="206" fontId="57" fillId="0" borderId="0" applyFont="0" applyFill="0" applyBorder="0" applyAlignment="0" applyProtection="0"/>
    <xf numFmtId="207" fontId="25" fillId="0" borderId="0" applyFont="0" applyFill="0" applyBorder="0" applyAlignment="0" applyProtection="0">
      <protection locked="0"/>
    </xf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5" fontId="58" fillId="0" borderId="0" applyFill="0" applyBorder="0" applyAlignment="0" applyProtection="0"/>
    <xf numFmtId="5" fontId="12" fillId="0" borderId="0" applyFont="0" applyFill="0" applyBorder="0" applyAlignment="0" applyProtection="0"/>
    <xf numFmtId="5" fontId="12" fillId="0" borderId="0" applyFont="0" applyFill="0" applyBorder="0" applyAlignment="0" applyProtection="0"/>
    <xf numFmtId="208" fontId="40" fillId="0" borderId="0" applyFont="0" applyFill="0" applyBorder="0" applyAlignment="0" applyProtection="0"/>
    <xf numFmtId="209" fontId="12" fillId="0" borderId="0" applyFont="0" applyFill="0" applyBorder="0" applyAlignment="0" applyProtection="0"/>
    <xf numFmtId="210" fontId="52" fillId="0" borderId="0" applyFont="0" applyFill="0" applyBorder="0" applyAlignment="0" applyProtection="0">
      <protection locked="0"/>
    </xf>
    <xf numFmtId="7" fontId="21" fillId="0" borderId="0" applyFont="0" applyFill="0" applyBorder="0" applyAlignment="0" applyProtection="0"/>
    <xf numFmtId="211" fontId="53" fillId="0" borderId="0" applyFont="0" applyFill="0" applyBorder="0" applyAlignment="0" applyProtection="0"/>
    <xf numFmtId="212" fontId="59" fillId="0" borderId="0" applyFont="0" applyFill="0" applyBorder="0" applyAlignment="0" applyProtection="0"/>
    <xf numFmtId="0" fontId="60" fillId="5" borderId="15" applyNumberFormat="0" applyFont="0" applyFill="0" applyAlignment="0" applyProtection="0">
      <alignment horizontal="left" indent="1"/>
    </xf>
    <xf numFmtId="14" fontId="12" fillId="0" borderId="0" applyFont="0" applyFill="0" applyBorder="0" applyAlignment="0" applyProtection="0"/>
    <xf numFmtId="213" fontId="38" fillId="0" borderId="0" applyFont="0" applyFill="0" applyBorder="0" applyProtection="0"/>
    <xf numFmtId="214" fontId="38" fillId="0" borderId="0" applyFont="0" applyFill="0" applyBorder="0" applyProtection="0"/>
    <xf numFmtId="215" fontId="38" fillId="0" borderId="0" applyFont="0" applyFill="0" applyBorder="0" applyAlignment="0" applyProtection="0"/>
    <xf numFmtId="216" fontId="38" fillId="0" borderId="0" applyFont="0" applyFill="0" applyBorder="0" applyAlignment="0" applyProtection="0"/>
    <xf numFmtId="217" fontId="38" fillId="0" borderId="0" applyFont="0" applyFill="0" applyBorder="0" applyAlignment="0" applyProtection="0"/>
    <xf numFmtId="218" fontId="61" fillId="0" borderId="0" applyFont="0" applyFill="0" applyBorder="0" applyAlignment="0" applyProtection="0"/>
    <xf numFmtId="5" fontId="62" fillId="0" borderId="0" applyBorder="0"/>
    <xf numFmtId="209" fontId="62" fillId="0" borderId="0" applyBorder="0"/>
    <xf numFmtId="7" fontId="62" fillId="0" borderId="0" applyBorder="0"/>
    <xf numFmtId="37" fontId="62" fillId="0" borderId="0" applyBorder="0"/>
    <xf numFmtId="190" fontId="62" fillId="0" borderId="0" applyBorder="0"/>
    <xf numFmtId="219" fontId="62" fillId="0" borderId="0" applyBorder="0"/>
    <xf numFmtId="39" fontId="62" fillId="0" borderId="0" applyBorder="0"/>
    <xf numFmtId="220" fontId="62" fillId="0" borderId="0" applyBorder="0"/>
    <xf numFmtId="7" fontId="12" fillId="0" borderId="0" applyFont="0" applyFill="0" applyBorder="0" applyAlignment="0" applyProtection="0"/>
    <xf numFmtId="221" fontId="40" fillId="0" borderId="0" applyFont="0" applyFill="0" applyBorder="0" applyAlignment="0" applyProtection="0"/>
    <xf numFmtId="222" fontId="40" fillId="0" borderId="0" applyFont="0" applyFill="0" applyAlignment="0" applyProtection="0"/>
    <xf numFmtId="221" fontId="40" fillId="0" borderId="0" applyFont="0" applyFill="0" applyBorder="0" applyAlignment="0" applyProtection="0"/>
    <xf numFmtId="223" fontId="21" fillId="0" borderId="0" applyFont="0" applyFill="0" applyBorder="0" applyAlignment="0" applyProtection="0"/>
    <xf numFmtId="2" fontId="12" fillId="0" borderId="0" applyFont="0" applyFill="0" applyBorder="0" applyAlignment="0" applyProtection="0"/>
    <xf numFmtId="0" fontId="63" fillId="0" borderId="0"/>
    <xf numFmtId="190" fontId="64" fillId="0" borderId="0" applyNumberFormat="0" applyFill="0" applyBorder="0" applyAlignment="0" applyProtection="0"/>
    <xf numFmtId="0" fontId="21" fillId="0" borderId="0" applyFont="0" applyFill="0" applyBorder="0" applyAlignment="0" applyProtection="0"/>
    <xf numFmtId="0" fontId="38" fillId="0" borderId="0" applyFont="0" applyFill="0" applyBorder="0" applyProtection="0">
      <alignment horizontal="center" wrapText="1"/>
    </xf>
    <xf numFmtId="224" fontId="38" fillId="0" borderId="0" applyFont="0" applyFill="0" applyBorder="0" applyProtection="0">
      <alignment horizontal="right"/>
    </xf>
    <xf numFmtId="0" fontId="64" fillId="0" borderId="0" applyNumberFormat="0" applyFill="0" applyBorder="0" applyAlignment="0" applyProtection="0"/>
    <xf numFmtId="0" fontId="65" fillId="6" borderId="0" applyNumberFormat="0" applyFill="0" applyBorder="0" applyAlignment="0" applyProtection="0"/>
    <xf numFmtId="0" fontId="8" fillId="0" borderId="16" applyNumberFormat="0" applyAlignment="0" applyProtection="0">
      <alignment horizontal="left" vertical="center"/>
    </xf>
    <xf numFmtId="0" fontId="8" fillId="0" borderId="12">
      <alignment horizontal="left" vertical="center"/>
    </xf>
    <xf numFmtId="14" fontId="14" fillId="7" borderId="1">
      <alignment horizontal="center" vertical="center" wrapText="1"/>
    </xf>
    <xf numFmtId="0" fontId="54" fillId="0" borderId="0" applyFill="0" applyAlignment="0" applyProtection="0">
      <protection locked="0"/>
    </xf>
    <xf numFmtId="0" fontId="54" fillId="0" borderId="6" applyFill="0" applyAlignment="0" applyProtection="0">
      <protection locked="0"/>
    </xf>
    <xf numFmtId="0" fontId="66" fillId="0" borderId="1"/>
    <xf numFmtId="0" fontId="67" fillId="0" borderId="0"/>
    <xf numFmtId="0" fontId="68" fillId="0" borderId="6" applyNumberFormat="0" applyFill="0" applyAlignment="0" applyProtection="0"/>
    <xf numFmtId="0" fontId="61" fillId="8" borderId="0" applyNumberFormat="0" applyFont="0" applyBorder="0" applyAlignment="0" applyProtection="0"/>
    <xf numFmtId="0" fontId="36" fillId="2" borderId="10" applyNumberFormat="0" applyAlignment="0" applyProtection="0"/>
    <xf numFmtId="225" fontId="38" fillId="0" borderId="0" applyFont="0" applyFill="0" applyBorder="0" applyProtection="0">
      <alignment horizontal="left"/>
    </xf>
    <xf numFmtId="226" fontId="38" fillId="0" borderId="0" applyFont="0" applyFill="0" applyBorder="0" applyProtection="0">
      <alignment horizontal="left"/>
    </xf>
    <xf numFmtId="227" fontId="38" fillId="0" borderId="0" applyFont="0" applyFill="0" applyBorder="0" applyProtection="0">
      <alignment horizontal="left"/>
    </xf>
    <xf numFmtId="228" fontId="38" fillId="0" borderId="0" applyFont="0" applyFill="0" applyBorder="0" applyProtection="0">
      <alignment horizontal="left"/>
    </xf>
    <xf numFmtId="10" fontId="21" fillId="9" borderId="10" applyNumberFormat="0" applyBorder="0" applyAlignment="0" applyProtection="0"/>
    <xf numFmtId="5" fontId="69" fillId="0" borderId="0" applyBorder="0"/>
    <xf numFmtId="209" fontId="69" fillId="0" borderId="0" applyBorder="0"/>
    <xf numFmtId="7" fontId="69" fillId="0" borderId="0" applyBorder="0"/>
    <xf numFmtId="37" fontId="69" fillId="0" borderId="0" applyBorder="0"/>
    <xf numFmtId="190" fontId="69" fillId="0" borderId="0" applyBorder="0"/>
    <xf numFmtId="219" fontId="69" fillId="0" borderId="0" applyBorder="0"/>
    <xf numFmtId="39" fontId="69" fillId="0" borderId="0" applyBorder="0"/>
    <xf numFmtId="220" fontId="69" fillId="0" borderId="0" applyBorder="0"/>
    <xf numFmtId="0" fontId="61" fillId="0" borderId="3" applyNumberFormat="0" applyFont="0" applyFill="0" applyAlignment="0" applyProtection="0"/>
    <xf numFmtId="0" fontId="70" fillId="0" borderId="0"/>
    <xf numFmtId="229" fontId="12" fillId="0" borderId="0" applyFont="0" applyFill="0" applyBorder="0" applyAlignment="0" applyProtection="0"/>
    <xf numFmtId="230" fontId="12" fillId="0" borderId="0" applyFont="0" applyFill="0" applyBorder="0" applyAlignment="0" applyProtection="0"/>
    <xf numFmtId="231" fontId="12" fillId="0" borderId="0" applyFont="0" applyFill="0" applyBorder="0" applyAlignment="0" applyProtection="0"/>
    <xf numFmtId="232" fontId="12" fillId="0" borderId="0" applyFont="0" applyFill="0" applyBorder="0" applyAlignment="0" applyProtection="0"/>
    <xf numFmtId="0" fontId="12" fillId="0" borderId="0" applyFont="0" applyFill="0" applyBorder="0" applyAlignment="0" applyProtection="0">
      <alignment horizontal="right"/>
    </xf>
    <xf numFmtId="233" fontId="12" fillId="0" borderId="0" applyFont="0" applyFill="0" applyBorder="0" applyAlignment="0" applyProtection="0"/>
    <xf numFmtId="37" fontId="71" fillId="0" borderId="0"/>
    <xf numFmtId="0" fontId="40" fillId="0" borderId="0"/>
    <xf numFmtId="0" fontId="12" fillId="0" borderId="0"/>
    <xf numFmtId="0" fontId="12" fillId="0" borderId="0"/>
    <xf numFmtId="173" fontId="3" fillId="0" borderId="0" applyProtection="0"/>
    <xf numFmtId="0" fontId="12" fillId="0" borderId="0"/>
    <xf numFmtId="0" fontId="12" fillId="0" borderId="0"/>
    <xf numFmtId="0" fontId="12" fillId="0" borderId="0"/>
    <xf numFmtId="0" fontId="4" fillId="10" borderId="0" applyNumberFormat="0" applyFont="0" applyBorder="0" applyAlignment="0"/>
    <xf numFmtId="234" fontId="12" fillId="0" borderId="0" applyFont="0" applyFill="0" applyBorder="0" applyAlignment="0" applyProtection="0"/>
    <xf numFmtId="235" fontId="72" fillId="0" borderId="0"/>
    <xf numFmtId="234" fontId="12" fillId="0" borderId="0" applyFont="0" applyFill="0" applyBorder="0" applyAlignment="0" applyProtection="0"/>
    <xf numFmtId="234" fontId="12" fillId="0" borderId="0" applyFont="0" applyFill="0" applyBorder="0" applyAlignment="0" applyProtection="0"/>
    <xf numFmtId="234" fontId="12" fillId="0" borderId="0" applyFont="0" applyFill="0" applyBorder="0" applyAlignment="0" applyProtection="0"/>
    <xf numFmtId="236" fontId="12" fillId="0" borderId="0"/>
    <xf numFmtId="237" fontId="40" fillId="0" borderId="0"/>
    <xf numFmtId="237" fontId="40" fillId="0" borderId="0"/>
    <xf numFmtId="235" fontId="72" fillId="0" borderId="0"/>
    <xf numFmtId="0" fontId="40" fillId="0" borderId="0"/>
    <xf numFmtId="235" fontId="58" fillId="0" borderId="0"/>
    <xf numFmtId="236" fontId="12" fillId="0" borderId="0"/>
    <xf numFmtId="237" fontId="40" fillId="0" borderId="0"/>
    <xf numFmtId="237" fontId="40" fillId="0" borderId="0"/>
    <xf numFmtId="0" fontId="40" fillId="0" borderId="0"/>
    <xf numFmtId="0" fontId="40" fillId="0" borderId="0"/>
    <xf numFmtId="238" fontId="40" fillId="0" borderId="0"/>
    <xf numFmtId="170" fontId="40" fillId="0" borderId="0"/>
    <xf numFmtId="239" fontId="40" fillId="0" borderId="0"/>
    <xf numFmtId="238" fontId="40" fillId="0" borderId="0"/>
    <xf numFmtId="170" fontId="40" fillId="0" borderId="0"/>
    <xf numFmtId="240" fontId="40" fillId="0" borderId="0"/>
    <xf numFmtId="240" fontId="40" fillId="0" borderId="0"/>
    <xf numFmtId="241" fontId="40" fillId="0" borderId="0"/>
    <xf numFmtId="239" fontId="40" fillId="0" borderId="0"/>
    <xf numFmtId="169" fontId="40" fillId="0" borderId="0"/>
    <xf numFmtId="241" fontId="40" fillId="0" borderId="0"/>
    <xf numFmtId="241" fontId="40" fillId="0" borderId="0"/>
    <xf numFmtId="0" fontId="40" fillId="0" borderId="0"/>
    <xf numFmtId="234" fontId="12" fillId="0" borderId="0" applyFont="0" applyFill="0" applyBorder="0" applyAlignment="0" applyProtection="0"/>
    <xf numFmtId="234" fontId="12" fillId="0" borderId="0" applyFont="0" applyFill="0" applyBorder="0" applyAlignment="0" applyProtection="0"/>
    <xf numFmtId="234" fontId="12" fillId="0" borderId="0" applyFont="0" applyFill="0" applyBorder="0" applyAlignment="0" applyProtection="0"/>
    <xf numFmtId="235" fontId="72" fillId="0" borderId="0"/>
    <xf numFmtId="235" fontId="72" fillId="0" borderId="0"/>
    <xf numFmtId="234" fontId="12" fillId="0" borderId="0" applyFont="0" applyFill="0" applyBorder="0" applyAlignment="0" applyProtection="0"/>
    <xf numFmtId="235" fontId="72" fillId="0" borderId="0"/>
    <xf numFmtId="235" fontId="72" fillId="0" borderId="0"/>
    <xf numFmtId="238" fontId="40" fillId="0" borderId="0"/>
    <xf numFmtId="170" fontId="40" fillId="0" borderId="0"/>
    <xf numFmtId="239" fontId="40" fillId="0" borderId="0"/>
    <xf numFmtId="238" fontId="40" fillId="0" borderId="0"/>
    <xf numFmtId="170" fontId="40" fillId="0" borderId="0"/>
    <xf numFmtId="240" fontId="40" fillId="0" borderId="0"/>
    <xf numFmtId="240" fontId="40" fillId="0" borderId="0"/>
    <xf numFmtId="241" fontId="40" fillId="0" borderId="0"/>
    <xf numFmtId="239" fontId="40" fillId="0" borderId="0"/>
    <xf numFmtId="169" fontId="40" fillId="0" borderId="0"/>
    <xf numFmtId="241" fontId="40" fillId="0" borderId="0"/>
    <xf numFmtId="241" fontId="40" fillId="0" borderId="0"/>
    <xf numFmtId="242" fontId="37" fillId="3" borderId="0" applyFont="0" applyFill="0" applyBorder="0" applyAlignment="0" applyProtection="0"/>
    <xf numFmtId="243" fontId="37" fillId="3" borderId="0" applyFont="0" applyFill="0" applyBorder="0" applyAlignment="0" applyProtection="0"/>
    <xf numFmtId="244" fontId="12" fillId="0" borderId="0" applyFont="0" applyFill="0" applyBorder="0" applyAlignment="0" applyProtection="0"/>
    <xf numFmtId="245" fontId="57" fillId="0" borderId="0" applyFont="0" applyFill="0" applyBorder="0" applyAlignment="0" applyProtection="0"/>
    <xf numFmtId="246" fontId="56" fillId="0" borderId="0" applyFont="0" applyFill="0" applyBorder="0" applyAlignment="0" applyProtection="0"/>
    <xf numFmtId="247" fontId="12" fillId="0" borderId="0" applyFont="0" applyFill="0" applyBorder="0" applyAlignment="0" applyProtection="0"/>
    <xf numFmtId="248" fontId="38" fillId="0" borderId="0" applyFont="0" applyFill="0" applyBorder="0" applyAlignment="0" applyProtection="0"/>
    <xf numFmtId="249" fontId="38" fillId="0" borderId="0" applyFont="0" applyFill="0" applyBorder="0" applyAlignment="0" applyProtection="0"/>
    <xf numFmtId="250" fontId="38" fillId="0" borderId="0" applyFont="0" applyFill="0" applyBorder="0" applyAlignment="0" applyProtection="0"/>
    <xf numFmtId="251" fontId="38" fillId="0" borderId="0" applyFont="0" applyFill="0" applyBorder="0" applyAlignment="0" applyProtection="0"/>
    <xf numFmtId="252" fontId="57" fillId="0" borderId="0" applyFont="0" applyFill="0" applyBorder="0" applyAlignment="0" applyProtection="0"/>
    <xf numFmtId="253" fontId="56" fillId="0" borderId="0" applyFont="0" applyFill="0" applyBorder="0" applyAlignment="0" applyProtection="0"/>
    <xf numFmtId="254" fontId="57" fillId="0" borderId="0" applyFont="0" applyFill="0" applyBorder="0" applyAlignment="0" applyProtection="0"/>
    <xf numFmtId="255" fontId="56" fillId="0" borderId="0" applyFont="0" applyFill="0" applyBorder="0" applyAlignment="0" applyProtection="0"/>
    <xf numFmtId="256" fontId="57" fillId="0" borderId="0" applyFont="0" applyFill="0" applyBorder="0" applyAlignment="0" applyProtection="0"/>
    <xf numFmtId="257" fontId="56" fillId="0" borderId="0" applyFont="0" applyFill="0" applyBorder="0" applyAlignment="0" applyProtection="0"/>
    <xf numFmtId="258" fontId="25" fillId="0" borderId="0" applyFont="0" applyFill="0" applyBorder="0" applyAlignment="0" applyProtection="0">
      <protection locked="0"/>
    </xf>
    <xf numFmtId="259" fontId="56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184" fontId="58" fillId="0" borderId="0" applyFill="0" applyBorder="0" applyAlignment="0" applyProtection="0"/>
    <xf numFmtId="9" fontId="62" fillId="0" borderId="0" applyBorder="0"/>
    <xf numFmtId="260" fontId="62" fillId="0" borderId="0" applyBorder="0"/>
    <xf numFmtId="10" fontId="62" fillId="0" borderId="0" applyBorder="0"/>
    <xf numFmtId="0" fontId="29" fillId="0" borderId="0" applyNumberFormat="0" applyFont="0" applyFill="0" applyBorder="0" applyAlignment="0" applyProtection="0">
      <alignment horizontal="left"/>
    </xf>
    <xf numFmtId="15" fontId="29" fillId="0" borderId="0" applyFont="0" applyFill="0" applyBorder="0" applyAlignment="0" applyProtection="0"/>
    <xf numFmtId="4" fontId="29" fillId="0" borderId="0" applyFont="0" applyFill="0" applyBorder="0" applyAlignment="0" applyProtection="0"/>
    <xf numFmtId="3" fontId="12" fillId="0" borderId="0">
      <alignment horizontal="left" vertical="top"/>
    </xf>
    <xf numFmtId="0" fontId="73" fillId="0" borderId="1">
      <alignment horizontal="center"/>
    </xf>
    <xf numFmtId="3" fontId="29" fillId="0" borderId="0" applyFont="0" applyFill="0" applyBorder="0" applyAlignment="0" applyProtection="0"/>
    <xf numFmtId="0" fontId="29" fillId="11" borderId="0" applyNumberFormat="0" applyFont="0" applyBorder="0" applyAlignment="0" applyProtection="0"/>
    <xf numFmtId="3" fontId="12" fillId="0" borderId="0">
      <alignment horizontal="right" vertical="top"/>
    </xf>
    <xf numFmtId="41" fontId="6" fillId="12" borderId="13" applyFill="0"/>
    <xf numFmtId="0" fontId="74" fillId="0" borderId="0">
      <alignment horizontal="left" indent="7"/>
    </xf>
    <xf numFmtId="41" fontId="6" fillId="0" borderId="13" applyFill="0">
      <alignment horizontal="left" indent="2"/>
    </xf>
    <xf numFmtId="173" fontId="54" fillId="0" borderId="6" applyFill="0">
      <alignment horizontal="right"/>
    </xf>
    <xf numFmtId="0" fontId="14" fillId="0" borderId="10" applyNumberFormat="0" applyFont="0" applyBorder="0">
      <alignment horizontal="right"/>
    </xf>
    <xf numFmtId="0" fontId="75" fillId="0" borderId="0" applyFill="0"/>
    <xf numFmtId="0" fontId="8" fillId="0" borderId="0" applyFill="0"/>
    <xf numFmtId="4" fontId="54" fillId="0" borderId="6" applyFill="0"/>
    <xf numFmtId="0" fontId="12" fillId="0" borderId="0" applyNumberFormat="0" applyFont="0" applyBorder="0" applyAlignment="0"/>
    <xf numFmtId="0" fontId="44" fillId="0" borderId="0" applyFill="0">
      <alignment horizontal="left" indent="1"/>
    </xf>
    <xf numFmtId="0" fontId="76" fillId="0" borderId="0" applyFill="0">
      <alignment horizontal="left" indent="1"/>
    </xf>
    <xf numFmtId="4" fontId="37" fillId="0" borderId="0" applyFill="0"/>
    <xf numFmtId="0" fontId="12" fillId="0" borderId="0" applyNumberFormat="0" applyFont="0" applyFill="0" applyBorder="0" applyAlignment="0"/>
    <xf numFmtId="0" fontId="44" fillId="0" borderId="0" applyFill="0">
      <alignment horizontal="left" indent="2"/>
    </xf>
    <xf numFmtId="0" fontId="8" fillId="0" borderId="0" applyFill="0">
      <alignment horizontal="left" indent="2"/>
    </xf>
    <xf numFmtId="4" fontId="37" fillId="0" borderId="0" applyFill="0"/>
    <xf numFmtId="0" fontId="12" fillId="0" borderId="0" applyNumberFormat="0" applyFont="0" applyBorder="0" applyAlignment="0"/>
    <xf numFmtId="0" fontId="77" fillId="0" borderId="0">
      <alignment horizontal="left" indent="3"/>
    </xf>
    <xf numFmtId="0" fontId="9" fillId="0" borderId="0" applyFill="0">
      <alignment horizontal="left" indent="3"/>
    </xf>
    <xf numFmtId="4" fontId="37" fillId="0" borderId="0" applyFill="0"/>
    <xf numFmtId="0" fontId="12" fillId="0" borderId="0" applyNumberFormat="0" applyFont="0" applyBorder="0" applyAlignment="0"/>
    <xf numFmtId="0" fontId="46" fillId="0" borderId="0">
      <alignment horizontal="left" indent="4"/>
    </xf>
    <xf numFmtId="0" fontId="12" fillId="0" borderId="0" applyFill="0">
      <alignment horizontal="left" indent="4"/>
    </xf>
    <xf numFmtId="4" fontId="47" fillId="0" borderId="0" applyFill="0"/>
    <xf numFmtId="0" fontId="12" fillId="0" borderId="0" applyNumberFormat="0" applyFont="0" applyBorder="0" applyAlignment="0"/>
    <xf numFmtId="0" fontId="48" fillId="0" borderId="0">
      <alignment horizontal="left" indent="5"/>
    </xf>
    <xf numFmtId="0" fontId="49" fillId="0" borderId="0" applyFill="0">
      <alignment horizontal="left" indent="5"/>
    </xf>
    <xf numFmtId="4" fontId="50" fillId="0" borderId="0" applyFill="0"/>
    <xf numFmtId="0" fontId="12" fillId="0" borderId="0" applyNumberFormat="0" applyFont="0" applyFill="0" applyBorder="0" applyAlignment="0"/>
    <xf numFmtId="0" fontId="51" fillId="0" borderId="0" applyFill="0">
      <alignment horizontal="left" indent="6"/>
    </xf>
    <xf numFmtId="0" fontId="47" fillId="0" borderId="0" applyFill="0">
      <alignment horizontal="left" indent="6"/>
    </xf>
    <xf numFmtId="0" fontId="61" fillId="0" borderId="4" applyNumberFormat="0" applyFont="0" applyFill="0" applyAlignment="0" applyProtection="0"/>
    <xf numFmtId="0" fontId="78" fillId="0" borderId="0" applyNumberFormat="0" applyFill="0" applyBorder="0" applyAlignment="0" applyProtection="0"/>
    <xf numFmtId="0" fontId="79" fillId="0" borderId="0"/>
    <xf numFmtId="0" fontId="79" fillId="0" borderId="0"/>
    <xf numFmtId="0" fontId="80" fillId="0" borderId="1">
      <alignment horizontal="right"/>
    </xf>
    <xf numFmtId="261" fontId="59" fillId="0" borderId="0">
      <alignment horizontal="center"/>
    </xf>
    <xf numFmtId="262" fontId="81" fillId="0" borderId="0">
      <alignment horizontal="center"/>
    </xf>
    <xf numFmtId="0" fontId="82" fillId="0" borderId="0" applyNumberFormat="0" applyFill="0" applyBorder="0" applyAlignment="0" applyProtection="0"/>
    <xf numFmtId="0" fontId="83" fillId="0" borderId="0" applyNumberFormat="0" applyBorder="0" applyAlignment="0"/>
    <xf numFmtId="0" fontId="84" fillId="0" borderId="0" applyNumberFormat="0" applyBorder="0" applyAlignment="0"/>
    <xf numFmtId="0" fontId="61" fillId="5" borderId="0" applyNumberFormat="0" applyFont="0" applyBorder="0" applyAlignment="0" applyProtection="0"/>
    <xf numFmtId="242" fontId="85" fillId="0" borderId="12" applyNumberFormat="0" applyFont="0" applyFill="0" applyAlignment="0" applyProtection="0"/>
    <xf numFmtId="0" fontId="86" fillId="0" borderId="0" applyFill="0" applyBorder="0" applyProtection="0">
      <alignment horizontal="left" vertical="top"/>
    </xf>
    <xf numFmtId="0" fontId="87" fillId="0" borderId="0" applyAlignment="0">
      <alignment horizontal="centerContinuous"/>
    </xf>
    <xf numFmtId="0" fontId="12" fillId="0" borderId="8" applyNumberFormat="0" applyFont="0" applyFill="0" applyAlignment="0" applyProtection="0"/>
    <xf numFmtId="0" fontId="88" fillId="0" borderId="0" applyNumberFormat="0" applyFill="0" applyBorder="0" applyAlignment="0" applyProtection="0"/>
    <xf numFmtId="263" fontId="56" fillId="0" borderId="0" applyFont="0" applyFill="0" applyBorder="0" applyAlignment="0" applyProtection="0"/>
    <xf numFmtId="264" fontId="56" fillId="0" borderId="0" applyFont="0" applyFill="0" applyBorder="0" applyAlignment="0" applyProtection="0"/>
    <xf numFmtId="265" fontId="56" fillId="0" borderId="0" applyFont="0" applyFill="0" applyBorder="0" applyAlignment="0" applyProtection="0"/>
    <xf numFmtId="266" fontId="56" fillId="0" borderId="0" applyFont="0" applyFill="0" applyBorder="0" applyAlignment="0" applyProtection="0"/>
    <xf numFmtId="267" fontId="56" fillId="0" borderId="0" applyFont="0" applyFill="0" applyBorder="0" applyAlignment="0" applyProtection="0"/>
    <xf numFmtId="268" fontId="56" fillId="0" borderId="0" applyFont="0" applyFill="0" applyBorder="0" applyAlignment="0" applyProtection="0"/>
    <xf numFmtId="269" fontId="56" fillId="0" borderId="0" applyFont="0" applyFill="0" applyBorder="0" applyAlignment="0" applyProtection="0"/>
    <xf numFmtId="270" fontId="56" fillId="0" borderId="0" applyFont="0" applyFill="0" applyBorder="0" applyAlignment="0" applyProtection="0"/>
    <xf numFmtId="271" fontId="89" fillId="5" borderId="17" applyFont="0" applyFill="0" applyBorder="0" applyAlignment="0" applyProtection="0"/>
    <xf numFmtId="271" fontId="40" fillId="0" borderId="0" applyFont="0" applyFill="0" applyBorder="0" applyAlignment="0" applyProtection="0"/>
    <xf numFmtId="272" fontId="53" fillId="0" borderId="0" applyFont="0" applyFill="0" applyBorder="0" applyAlignment="0" applyProtection="0"/>
    <xf numFmtId="273" fontId="59" fillId="0" borderId="12" applyFont="0" applyFill="0" applyBorder="0" applyAlignment="0" applyProtection="0">
      <alignment horizontal="right"/>
      <protection locked="0"/>
    </xf>
    <xf numFmtId="173" fontId="3" fillId="0" borderId="0" applyProtection="0"/>
    <xf numFmtId="0" fontId="92" fillId="0" borderId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" fillId="0" borderId="0"/>
    <xf numFmtId="0" fontId="94" fillId="0" borderId="0"/>
    <xf numFmtId="0" fontId="4" fillId="0" borderId="0"/>
    <xf numFmtId="40" fontId="4" fillId="0" borderId="0" applyFont="0" applyFill="0" applyBorder="0" applyAlignment="0" applyProtection="0"/>
    <xf numFmtId="43" fontId="12" fillId="0" borderId="0" applyFont="0" applyFill="0" applyBorder="0" applyAlignment="0" applyProtection="0"/>
    <xf numFmtId="8" fontId="4" fillId="0" borderId="0" applyFont="0" applyFill="0" applyBorder="0" applyAlignment="0" applyProtection="0"/>
    <xf numFmtId="0" fontId="12" fillId="0" borderId="0"/>
    <xf numFmtId="40" fontId="4" fillId="0" borderId="0" applyFont="0" applyFill="0" applyBorder="0" applyAlignment="0" applyProtection="0"/>
    <xf numFmtId="0" fontId="4" fillId="0" borderId="0"/>
    <xf numFmtId="0" fontId="4" fillId="0" borderId="0"/>
    <xf numFmtId="8" fontId="4" fillId="0" borderId="0" applyFont="0" applyFill="0" applyBorder="0" applyAlignment="0" applyProtection="0"/>
    <xf numFmtId="8" fontId="4" fillId="0" borderId="0" applyFont="0" applyFill="0" applyBorder="0" applyAlignment="0" applyProtection="0"/>
    <xf numFmtId="8" fontId="4" fillId="0" borderId="0" applyFont="0" applyFill="0" applyBorder="0" applyAlignment="0" applyProtection="0"/>
    <xf numFmtId="40" fontId="4" fillId="0" borderId="0" applyFont="0" applyFill="0" applyBorder="0" applyAlignment="0" applyProtection="0"/>
    <xf numFmtId="0" fontId="4" fillId="0" borderId="0"/>
    <xf numFmtId="8" fontId="4" fillId="0" borderId="0" applyFont="0" applyFill="0" applyBorder="0" applyAlignment="0" applyProtection="0"/>
    <xf numFmtId="40" fontId="4" fillId="0" borderId="0" applyFont="0" applyFill="0" applyBorder="0" applyAlignment="0" applyProtection="0"/>
    <xf numFmtId="0" fontId="4" fillId="0" borderId="0"/>
    <xf numFmtId="40" fontId="4" fillId="0" borderId="0" applyFont="0" applyFill="0" applyBorder="0" applyAlignment="0" applyProtection="0"/>
    <xf numFmtId="40" fontId="4" fillId="0" borderId="0" applyFont="0" applyFill="0" applyBorder="0" applyAlignment="0" applyProtection="0"/>
    <xf numFmtId="40" fontId="4" fillId="0" borderId="0" applyFont="0" applyFill="0" applyBorder="0" applyAlignment="0" applyProtection="0"/>
    <xf numFmtId="0" fontId="4" fillId="0" borderId="0"/>
    <xf numFmtId="40" fontId="4" fillId="0" borderId="0" applyFont="0" applyFill="0" applyBorder="0" applyAlignment="0" applyProtection="0"/>
    <xf numFmtId="8" fontId="4" fillId="0" borderId="0" applyFont="0" applyFill="0" applyBorder="0" applyAlignment="0" applyProtection="0"/>
    <xf numFmtId="0" fontId="4" fillId="0" borderId="0"/>
    <xf numFmtId="8" fontId="4" fillId="0" borderId="0" applyFont="0" applyFill="0" applyBorder="0" applyAlignment="0" applyProtection="0"/>
    <xf numFmtId="0" fontId="4" fillId="0" borderId="0"/>
    <xf numFmtId="40" fontId="4" fillId="0" borderId="0" applyFont="0" applyFill="0" applyBorder="0" applyAlignment="0" applyProtection="0"/>
    <xf numFmtId="8" fontId="4" fillId="0" borderId="0" applyFont="0" applyFill="0" applyBorder="0" applyAlignment="0" applyProtection="0"/>
    <xf numFmtId="0" fontId="4" fillId="0" borderId="0"/>
    <xf numFmtId="8" fontId="4" fillId="0" borderId="0" applyFont="0" applyFill="0" applyBorder="0" applyAlignment="0" applyProtection="0"/>
    <xf numFmtId="8" fontId="4" fillId="0" borderId="0" applyFont="0" applyFill="0" applyBorder="0" applyAlignment="0" applyProtection="0"/>
    <xf numFmtId="8" fontId="4" fillId="0" borderId="0" applyFont="0" applyFill="0" applyBorder="0" applyAlignment="0" applyProtection="0"/>
    <xf numFmtId="40" fontId="4" fillId="0" borderId="0" applyFont="0" applyFill="0" applyBorder="0" applyAlignment="0" applyProtection="0"/>
    <xf numFmtId="0" fontId="4" fillId="0" borderId="0"/>
    <xf numFmtId="8" fontId="4" fillId="0" borderId="0" applyFont="0" applyFill="0" applyBorder="0" applyAlignment="0" applyProtection="0"/>
    <xf numFmtId="40" fontId="4" fillId="0" borderId="0" applyFont="0" applyFill="0" applyBorder="0" applyAlignment="0" applyProtection="0"/>
    <xf numFmtId="0" fontId="4" fillId="0" borderId="0"/>
    <xf numFmtId="8" fontId="4" fillId="0" borderId="0" applyFont="0" applyFill="0" applyBorder="0" applyAlignment="0" applyProtection="0"/>
    <xf numFmtId="40" fontId="4" fillId="0" borderId="0" applyFont="0" applyFill="0" applyBorder="0" applyAlignment="0" applyProtection="0"/>
    <xf numFmtId="0" fontId="4" fillId="0" borderId="0"/>
    <xf numFmtId="40" fontId="4" fillId="0" borderId="0" applyFont="0" applyFill="0" applyBorder="0" applyAlignment="0" applyProtection="0"/>
    <xf numFmtId="0" fontId="4" fillId="0" borderId="0"/>
    <xf numFmtId="9" fontId="3" fillId="0" borderId="0" applyFont="0" applyFill="0" applyBorder="0" applyAlignment="0" applyProtection="0"/>
    <xf numFmtId="0" fontId="101" fillId="0" borderId="0"/>
    <xf numFmtId="43" fontId="102" fillId="0" borderId="0" applyFont="0" applyFill="0" applyBorder="0" applyAlignment="0" applyProtection="0"/>
    <xf numFmtId="0" fontId="101" fillId="0" borderId="0"/>
    <xf numFmtId="0" fontId="101" fillId="0" borderId="0"/>
    <xf numFmtId="43" fontId="102" fillId="0" borderId="0" applyFont="0" applyFill="0" applyBorder="0" applyAlignment="0" applyProtection="0"/>
    <xf numFmtId="0" fontId="103" fillId="16" borderId="0" applyNumberFormat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2" fillId="0" borderId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73" fontId="118" fillId="0" borderId="0" applyNumberFormat="0" applyFill="0" applyBorder="0" applyAlignment="0" applyProtection="0"/>
  </cellStyleXfs>
  <cellXfs count="800">
    <xf numFmtId="173" fontId="0" fillId="0" borderId="0" xfId="0" applyAlignment="1"/>
    <xf numFmtId="173" fontId="6" fillId="0" borderId="0" xfId="0" applyFont="1" applyAlignment="1"/>
    <xf numFmtId="173" fontId="6" fillId="0" borderId="0" xfId="0" applyFont="1" applyFill="1" applyAlignment="1"/>
    <xf numFmtId="0" fontId="6" fillId="0" borderId="0" xfId="0" applyNumberFormat="1" applyFont="1" applyAlignment="1">
      <alignment horizontal="right"/>
    </xf>
    <xf numFmtId="0" fontId="19" fillId="0" borderId="0" xfId="10" applyFont="1" applyAlignment="1">
      <alignment horizontal="center"/>
    </xf>
    <xf numFmtId="0" fontId="20" fillId="0" borderId="0" xfId="10" applyFont="1" applyAlignment="1">
      <alignment horizontal="center"/>
    </xf>
    <xf numFmtId="0" fontId="6" fillId="0" borderId="0" xfId="0" applyNumberFormat="1" applyFont="1" applyAlignment="1" applyProtection="1">
      <alignment horizontal="right"/>
      <protection locked="0"/>
    </xf>
    <xf numFmtId="173" fontId="12" fillId="0" borderId="0" xfId="0" applyFont="1" applyFill="1" applyBorder="1" applyAlignment="1"/>
    <xf numFmtId="173" fontId="6" fillId="0" borderId="0" xfId="0" applyFont="1"/>
    <xf numFmtId="173" fontId="6" fillId="0" borderId="0" xfId="0" applyFont="1" applyFill="1" applyBorder="1" applyAlignment="1"/>
    <xf numFmtId="0" fontId="6" fillId="0" borderId="0" xfId="0" applyNumberFormat="1" applyFont="1" applyFill="1" applyBorder="1" applyAlignment="1"/>
    <xf numFmtId="0" fontId="6" fillId="0" borderId="0" xfId="0" applyNumberFormat="1" applyFont="1" applyFill="1" applyBorder="1" applyAlignment="1">
      <alignment horizontal="center"/>
    </xf>
    <xf numFmtId="0" fontId="6" fillId="0" borderId="0" xfId="0" applyNumberFormat="1" applyFont="1" applyFill="1" applyBorder="1"/>
    <xf numFmtId="3" fontId="6" fillId="0" borderId="0" xfId="0" applyNumberFormat="1" applyFont="1" applyFill="1" applyBorder="1" applyAlignment="1"/>
    <xf numFmtId="0" fontId="6" fillId="0" borderId="0" xfId="0" applyNumberFormat="1" applyFont="1" applyFill="1" applyBorder="1" applyAlignment="1" applyProtection="1">
      <protection locked="0"/>
    </xf>
    <xf numFmtId="173" fontId="6" fillId="0" borderId="0" xfId="0" applyFont="1" applyFill="1" applyBorder="1" applyAlignment="1">
      <alignment horizontal="center"/>
    </xf>
    <xf numFmtId="173" fontId="8" fillId="0" borderId="0" xfId="0" applyFont="1" applyAlignment="1">
      <alignment horizontal="centerContinuous"/>
    </xf>
    <xf numFmtId="173" fontId="6" fillId="0" borderId="0" xfId="0" applyFont="1" applyAlignment="1">
      <alignment horizontal="centerContinuous"/>
    </xf>
    <xf numFmtId="0" fontId="6" fillId="0" borderId="0" xfId="7" applyFont="1"/>
    <xf numFmtId="0" fontId="8" fillId="0" borderId="0" xfId="5" applyFont="1" applyBorder="1" applyAlignment="1">
      <alignment horizontal="center"/>
    </xf>
    <xf numFmtId="0" fontId="6" fillId="0" borderId="0" xfId="5" applyFont="1" applyAlignment="1">
      <alignment horizontal="centerContinuous"/>
    </xf>
    <xf numFmtId="0" fontId="22" fillId="0" borderId="0" xfId="7" applyFont="1" applyAlignment="1">
      <alignment horizontal="center"/>
    </xf>
    <xf numFmtId="0" fontId="6" fillId="0" borderId="0" xfId="5" applyFont="1" applyBorder="1" applyAlignment="1">
      <alignment horizontal="left"/>
    </xf>
    <xf numFmtId="0" fontId="6" fillId="0" borderId="0" xfId="7" applyFont="1" applyAlignment="1">
      <alignment horizontal="left"/>
    </xf>
    <xf numFmtId="0" fontId="6" fillId="0" borderId="0" xfId="7" applyFont="1" applyAlignment="1">
      <alignment horizontal="left" vertical="center"/>
    </xf>
    <xf numFmtId="173" fontId="24" fillId="0" borderId="0" xfId="0" applyFont="1" applyAlignment="1">
      <alignment horizontal="centerContinuous"/>
    </xf>
    <xf numFmtId="41" fontId="23" fillId="0" borderId="0" xfId="6" applyNumberFormat="1" applyFont="1" applyFill="1"/>
    <xf numFmtId="0" fontId="6" fillId="0" borderId="0" xfId="7" applyFont="1" applyAlignment="1">
      <alignment horizontal="left" vertical="center" indent="1"/>
    </xf>
    <xf numFmtId="0" fontId="6" fillId="0" borderId="0" xfId="6" applyFont="1"/>
    <xf numFmtId="0" fontId="8" fillId="0" borderId="7" xfId="7" applyFont="1" applyBorder="1" applyAlignment="1">
      <alignment horizontal="center"/>
    </xf>
    <xf numFmtId="173" fontId="0" fillId="0" borderId="0" xfId="0" applyFill="1" applyBorder="1" applyAlignment="1"/>
    <xf numFmtId="0" fontId="6" fillId="0" borderId="0" xfId="0" applyNumberFormat="1" applyFont="1" applyFill="1" applyBorder="1" applyAlignment="1" applyProtection="1">
      <alignment horizontal="right"/>
      <protection locked="0"/>
    </xf>
    <xf numFmtId="0" fontId="0" fillId="0" borderId="0" xfId="0" applyNumberFormat="1" applyFont="1" applyFill="1" applyBorder="1"/>
    <xf numFmtId="173" fontId="0" fillId="0" borderId="0" xfId="0" applyFont="1" applyFill="1" applyBorder="1" applyAlignment="1"/>
    <xf numFmtId="0" fontId="0" fillId="0" borderId="0" xfId="0" applyNumberFormat="1" applyFill="1" applyBorder="1" applyAlignment="1" applyProtection="1">
      <alignment horizontal="center"/>
      <protection locked="0"/>
    </xf>
    <xf numFmtId="49" fontId="6" fillId="0" borderId="0" xfId="0" applyNumberFormat="1" applyFont="1" applyFill="1" applyBorder="1"/>
    <xf numFmtId="49" fontId="6" fillId="0" borderId="0" xfId="0" applyNumberFormat="1" applyFont="1" applyFill="1" applyBorder="1" applyAlignment="1">
      <alignment horizontal="center"/>
    </xf>
    <xf numFmtId="3" fontId="0" fillId="0" borderId="0" xfId="0" applyNumberFormat="1" applyFont="1" applyFill="1" applyBorder="1" applyAlignment="1"/>
    <xf numFmtId="0" fontId="0" fillId="0" borderId="0" xfId="0" applyNumberFormat="1" applyFont="1" applyFill="1" applyBorder="1" applyAlignment="1"/>
    <xf numFmtId="3" fontId="8" fillId="0" borderId="0" xfId="0" applyNumberFormat="1" applyFont="1" applyFill="1" applyBorder="1" applyAlignment="1">
      <alignment horizontal="center"/>
    </xf>
    <xf numFmtId="0" fontId="8" fillId="0" borderId="0" xfId="0" applyNumberFormat="1" applyFont="1" applyFill="1" applyBorder="1" applyAlignment="1"/>
    <xf numFmtId="0" fontId="33" fillId="0" borderId="0" xfId="0" applyNumberFormat="1" applyFont="1" applyFill="1" applyBorder="1" applyAlignment="1" applyProtection="1">
      <alignment horizontal="center"/>
      <protection locked="0"/>
    </xf>
    <xf numFmtId="3" fontId="0" fillId="0" borderId="0" xfId="0" applyNumberFormat="1" applyFill="1" applyBorder="1" applyAlignment="1">
      <alignment horizontal="center"/>
    </xf>
    <xf numFmtId="3" fontId="6" fillId="0" borderId="0" xfId="0" applyNumberFormat="1" applyFont="1" applyFill="1" applyBorder="1" applyAlignment="1">
      <alignment horizontal="center"/>
    </xf>
    <xf numFmtId="10" fontId="6" fillId="0" borderId="0" xfId="0" applyNumberFormat="1" applyFont="1" applyFill="1" applyBorder="1" applyAlignment="1"/>
    <xf numFmtId="10" fontId="0" fillId="0" borderId="0" xfId="11" applyNumberFormat="1" applyFont="1" applyFill="1" applyBorder="1" applyAlignment="1"/>
    <xf numFmtId="10" fontId="8" fillId="0" borderId="0" xfId="0" applyNumberFormat="1" applyFont="1" applyFill="1" applyBorder="1" applyAlignment="1"/>
    <xf numFmtId="3" fontId="10" fillId="0" borderId="0" xfId="0" applyNumberFormat="1" applyFont="1" applyFill="1" applyBorder="1" applyAlignment="1"/>
    <xf numFmtId="49" fontId="0" fillId="0" borderId="0" xfId="0" applyNumberFormat="1" applyFill="1" applyBorder="1" applyAlignment="1">
      <alignment horizontal="center"/>
    </xf>
    <xf numFmtId="49" fontId="10" fillId="0" borderId="0" xfId="0" applyNumberFormat="1" applyFont="1" applyFill="1" applyBorder="1" applyAlignment="1">
      <alignment horizontal="center"/>
    </xf>
    <xf numFmtId="173" fontId="10" fillId="0" borderId="0" xfId="0" applyFont="1" applyFill="1" applyBorder="1" applyAlignment="1"/>
    <xf numFmtId="3" fontId="8" fillId="0" borderId="0" xfId="0" applyNumberFormat="1" applyFont="1" applyFill="1" applyBorder="1" applyAlignment="1"/>
    <xf numFmtId="10" fontId="8" fillId="0" borderId="0" xfId="11" applyNumberFormat="1" applyFont="1" applyFill="1" applyBorder="1" applyAlignment="1"/>
    <xf numFmtId="49" fontId="0" fillId="0" borderId="0" xfId="0" applyNumberFormat="1" applyFont="1" applyFill="1" applyBorder="1" applyAlignment="1">
      <alignment horizontal="center"/>
    </xf>
    <xf numFmtId="173" fontId="11" fillId="0" borderId="0" xfId="0" applyFont="1" applyFill="1" applyBorder="1" applyAlignment="1"/>
    <xf numFmtId="164" fontId="6" fillId="0" borderId="0" xfId="0" applyNumberFormat="1" applyFont="1" applyFill="1" applyBorder="1" applyAlignment="1">
      <alignment horizontal="center"/>
    </xf>
    <xf numFmtId="10" fontId="6" fillId="0" borderId="0" xfId="11" applyNumberFormat="1" applyFont="1" applyFill="1" applyBorder="1" applyAlignment="1"/>
    <xf numFmtId="49" fontId="4" fillId="0" borderId="0" xfId="0" applyNumberFormat="1" applyFont="1" applyFill="1" applyBorder="1" applyAlignment="1">
      <alignment horizontal="left"/>
    </xf>
    <xf numFmtId="0" fontId="4" fillId="0" borderId="0" xfId="0" applyNumberFormat="1" applyFont="1" applyFill="1" applyBorder="1" applyAlignment="1">
      <alignment horizontal="right"/>
    </xf>
    <xf numFmtId="173" fontId="6" fillId="0" borderId="0" xfId="0" applyFont="1" applyFill="1" applyBorder="1" applyAlignment="1">
      <alignment horizontal="right"/>
    </xf>
    <xf numFmtId="177" fontId="8" fillId="0" borderId="0" xfId="0" applyNumberFormat="1" applyFont="1" applyFill="1" applyBorder="1" applyAlignment="1">
      <alignment horizontal="center"/>
    </xf>
    <xf numFmtId="0" fontId="8" fillId="0" borderId="12" xfId="0" applyNumberFormat="1" applyFont="1" applyFill="1" applyBorder="1" applyAlignment="1">
      <alignment horizontal="center" wrapText="1"/>
    </xf>
    <xf numFmtId="3" fontId="8" fillId="0" borderId="10" xfId="0" applyNumberFormat="1" applyFont="1" applyFill="1" applyBorder="1" applyAlignment="1">
      <alignment horizontal="center" wrapText="1"/>
    </xf>
    <xf numFmtId="3" fontId="8" fillId="0" borderId="12" xfId="0" applyNumberFormat="1" applyFont="1" applyFill="1" applyBorder="1" applyAlignment="1">
      <alignment horizontal="center" wrapText="1"/>
    </xf>
    <xf numFmtId="0" fontId="6" fillId="0" borderId="11" xfId="0" applyNumberFormat="1" applyFont="1" applyFill="1" applyBorder="1"/>
    <xf numFmtId="0" fontId="6" fillId="0" borderId="12" xfId="0" applyNumberFormat="1" applyFont="1" applyFill="1" applyBorder="1"/>
    <xf numFmtId="0" fontId="6" fillId="0" borderId="12" xfId="0" applyNumberFormat="1" applyFont="1" applyFill="1" applyBorder="1" applyAlignment="1">
      <alignment horizontal="center"/>
    </xf>
    <xf numFmtId="0" fontId="6" fillId="0" borderId="10" xfId="0" applyNumberFormat="1" applyFont="1" applyFill="1" applyBorder="1" applyAlignment="1">
      <alignment horizontal="center"/>
    </xf>
    <xf numFmtId="3" fontId="6" fillId="0" borderId="12" xfId="0" applyNumberFormat="1" applyFont="1" applyFill="1" applyBorder="1" applyAlignment="1">
      <alignment horizontal="center"/>
    </xf>
    <xf numFmtId="3" fontId="6" fillId="0" borderId="10" xfId="0" applyNumberFormat="1" applyFont="1" applyFill="1" applyBorder="1" applyAlignment="1">
      <alignment horizontal="center" wrapText="1"/>
    </xf>
    <xf numFmtId="0" fontId="6" fillId="0" borderId="3" xfId="0" applyNumberFormat="1" applyFont="1" applyFill="1" applyBorder="1"/>
    <xf numFmtId="0" fontId="6" fillId="0" borderId="13" xfId="0" applyNumberFormat="1" applyFont="1" applyFill="1" applyBorder="1"/>
    <xf numFmtId="3" fontId="6" fillId="0" borderId="13" xfId="0" applyNumberFormat="1" applyFont="1" applyFill="1" applyBorder="1" applyAlignment="1"/>
    <xf numFmtId="173" fontId="5" fillId="0" borderId="0" xfId="0" applyFont="1" applyFill="1" applyBorder="1" applyAlignment="1"/>
    <xf numFmtId="1" fontId="6" fillId="0" borderId="0" xfId="13" applyNumberFormat="1" applyFont="1" applyFill="1" applyBorder="1" applyAlignment="1">
      <alignment horizontal="center"/>
    </xf>
    <xf numFmtId="170" fontId="6" fillId="0" borderId="0" xfId="0" applyNumberFormat="1" applyFont="1" applyFill="1" applyBorder="1" applyAlignment="1"/>
    <xf numFmtId="173" fontId="6" fillId="0" borderId="1" xfId="0" applyFont="1" applyFill="1" applyBorder="1" applyAlignment="1"/>
    <xf numFmtId="173" fontId="4" fillId="0" borderId="0" xfId="0" applyFont="1" applyFill="1" applyBorder="1" applyAlignment="1"/>
    <xf numFmtId="49" fontId="4" fillId="0" borderId="0" xfId="0" applyNumberFormat="1" applyFont="1" applyFill="1" applyBorder="1" applyAlignment="1">
      <alignment horizontal="center"/>
    </xf>
    <xf numFmtId="0" fontId="22" fillId="0" borderId="0" xfId="5" applyFont="1" applyFill="1" applyAlignment="1">
      <alignment horizontal="centerContinuous"/>
    </xf>
    <xf numFmtId="0" fontId="22" fillId="0" borderId="0" xfId="7" applyFont="1" applyFill="1" applyAlignment="1">
      <alignment horizontal="center"/>
    </xf>
    <xf numFmtId="42" fontId="6" fillId="0" borderId="0" xfId="7" applyNumberFormat="1" applyFont="1" applyFill="1"/>
    <xf numFmtId="0" fontId="6" fillId="0" borderId="0" xfId="7" applyFont="1" applyFill="1"/>
    <xf numFmtId="42" fontId="30" fillId="0" borderId="0" xfId="7" applyNumberFormat="1" applyFont="1" applyFill="1" applyAlignment="1">
      <alignment vertical="center"/>
    </xf>
    <xf numFmtId="0" fontId="6" fillId="0" borderId="0" xfId="0" applyNumberFormat="1" applyFont="1" applyFill="1" applyBorder="1" applyAlignment="1" applyProtection="1">
      <alignment horizontal="centerContinuous"/>
      <protection locked="0"/>
    </xf>
    <xf numFmtId="3" fontId="6" fillId="0" borderId="0" xfId="0" applyNumberFormat="1" applyFont="1" applyFill="1" applyBorder="1" applyAlignment="1">
      <alignment horizontal="centerContinuous"/>
    </xf>
    <xf numFmtId="0" fontId="6" fillId="0" borderId="0" xfId="0" applyNumberFormat="1" applyFont="1" applyFill="1" applyBorder="1" applyAlignment="1">
      <alignment horizontal="centerContinuous"/>
    </xf>
    <xf numFmtId="173" fontId="6" fillId="0" borderId="0" xfId="0" applyFont="1" applyFill="1" applyBorder="1" applyAlignment="1">
      <alignment horizontal="centerContinuous"/>
    </xf>
    <xf numFmtId="0" fontId="12" fillId="0" borderId="0" xfId="8" applyFont="1" applyAlignment="1">
      <alignment horizontal="right"/>
    </xf>
    <xf numFmtId="0" fontId="9" fillId="0" borderId="0" xfId="15" applyFont="1" applyFill="1"/>
    <xf numFmtId="0" fontId="9" fillId="0" borderId="0" xfId="15" applyFont="1" applyFill="1" applyBorder="1"/>
    <xf numFmtId="0" fontId="25" fillId="0" borderId="0" xfId="15" applyFont="1" applyFill="1"/>
    <xf numFmtId="0" fontId="9" fillId="0" borderId="0" xfId="15" quotePrefix="1" applyFont="1" applyFill="1"/>
    <xf numFmtId="175" fontId="9" fillId="0" borderId="0" xfId="15" applyNumberFormat="1" applyFont="1" applyFill="1"/>
    <xf numFmtId="173" fontId="0" fillId="0" borderId="0" xfId="0" applyFill="1" applyBorder="1" applyAlignment="1">
      <alignment horizontal="centerContinuous"/>
    </xf>
    <xf numFmtId="0" fontId="8" fillId="0" borderId="0" xfId="0" applyNumberFormat="1" applyFont="1" applyFill="1" applyBorder="1" applyAlignment="1">
      <alignment horizontal="centerContinuous"/>
    </xf>
    <xf numFmtId="49" fontId="6" fillId="0" borderId="0" xfId="0" applyNumberFormat="1" applyFont="1" applyFill="1" applyBorder="1" applyAlignment="1">
      <alignment horizontal="centerContinuous"/>
    </xf>
    <xf numFmtId="0" fontId="12" fillId="0" borderId="0" xfId="10" applyFont="1"/>
    <xf numFmtId="0" fontId="12" fillId="0" borderId="0" xfId="6" applyFont="1"/>
    <xf numFmtId="173" fontId="6" fillId="0" borderId="0" xfId="325" applyFont="1" applyAlignment="1"/>
    <xf numFmtId="173" fontId="3" fillId="0" borderId="0" xfId="325" applyFont="1" applyAlignment="1"/>
    <xf numFmtId="173" fontId="6" fillId="0" borderId="0" xfId="325" applyFont="1" applyFill="1" applyAlignment="1"/>
    <xf numFmtId="173" fontId="3" fillId="0" borderId="0" xfId="325" applyFont="1" applyFill="1" applyAlignment="1"/>
    <xf numFmtId="0" fontId="6" fillId="0" borderId="0" xfId="325" applyNumberFormat="1" applyFont="1" applyFill="1"/>
    <xf numFmtId="0" fontId="3" fillId="0" borderId="0" xfId="325" applyNumberFormat="1" applyFont="1" applyFill="1"/>
    <xf numFmtId="0" fontId="92" fillId="0" borderId="0" xfId="326"/>
    <xf numFmtId="0" fontId="6" fillId="0" borderId="0" xfId="325" applyNumberFormat="1" applyFont="1" applyFill="1" applyProtection="1">
      <protection locked="0"/>
    </xf>
    <xf numFmtId="0" fontId="6" fillId="0" borderId="0" xfId="326" applyFont="1"/>
    <xf numFmtId="173" fontId="6" fillId="0" borderId="0" xfId="325" applyFont="1" applyAlignment="1" applyProtection="1">
      <protection locked="0"/>
    </xf>
    <xf numFmtId="0" fontId="6" fillId="0" borderId="0" xfId="326" applyNumberFormat="1" applyFont="1" applyFill="1"/>
    <xf numFmtId="0" fontId="6" fillId="0" borderId="0" xfId="326" applyFont="1" applyFill="1"/>
    <xf numFmtId="0" fontId="3" fillId="0" borderId="0" xfId="325" applyNumberFormat="1" applyFont="1" applyFill="1" applyAlignment="1" applyProtection="1">
      <alignment horizontal="center"/>
      <protection locked="0"/>
    </xf>
    <xf numFmtId="274" fontId="6" fillId="0" borderId="0" xfId="325" applyNumberFormat="1" applyFont="1" applyAlignment="1"/>
    <xf numFmtId="0" fontId="6" fillId="0" borderId="0" xfId="326" quotePrefix="1" applyFont="1"/>
    <xf numFmtId="0" fontId="6" fillId="0" borderId="0" xfId="326" applyFont="1" applyAlignment="1">
      <alignment horizontal="center"/>
    </xf>
    <xf numFmtId="0" fontId="6" fillId="0" borderId="0" xfId="325" applyNumberFormat="1" applyFont="1" applyProtection="1">
      <protection locked="0"/>
    </xf>
    <xf numFmtId="43" fontId="6" fillId="0" borderId="0" xfId="89" applyFont="1" applyAlignment="1"/>
    <xf numFmtId="1" fontId="6" fillId="0" borderId="0" xfId="325" applyNumberFormat="1" applyFont="1" applyAlignment="1" applyProtection="1">
      <alignment horizontal="center"/>
      <protection locked="0"/>
    </xf>
    <xf numFmtId="0" fontId="6" fillId="0" borderId="0" xfId="325" applyNumberFormat="1" applyFont="1" applyAlignment="1" applyProtection="1">
      <alignment horizontal="center"/>
      <protection locked="0"/>
    </xf>
    <xf numFmtId="0" fontId="3" fillId="0" borderId="0" xfId="325" applyNumberFormat="1" applyFont="1" applyAlignment="1" applyProtection="1">
      <alignment horizontal="center"/>
      <protection locked="0"/>
    </xf>
    <xf numFmtId="0" fontId="6" fillId="0" borderId="0" xfId="325" applyNumberFormat="1" applyFont="1" applyBorder="1" applyAlignment="1" applyProtection="1">
      <alignment horizontal="center"/>
      <protection locked="0"/>
    </xf>
    <xf numFmtId="173" fontId="8" fillId="0" borderId="0" xfId="325" applyFont="1" applyAlignment="1">
      <alignment horizontal="center"/>
    </xf>
    <xf numFmtId="170" fontId="6" fillId="0" borderId="0" xfId="325" applyNumberFormat="1" applyFont="1" applyFill="1" applyBorder="1" applyAlignment="1" applyProtection="1">
      <protection locked="0"/>
    </xf>
    <xf numFmtId="0" fontId="6" fillId="0" borderId="0" xfId="325" applyNumberFormat="1" applyFont="1" applyFill="1" applyBorder="1" applyProtection="1">
      <protection locked="0"/>
    </xf>
    <xf numFmtId="0" fontId="6" fillId="0" borderId="0" xfId="326" applyNumberFormat="1" applyFont="1"/>
    <xf numFmtId="42" fontId="6" fillId="0" borderId="0" xfId="325" applyNumberFormat="1" applyFont="1" applyFill="1" applyBorder="1" applyProtection="1">
      <protection locked="0"/>
    </xf>
    <xf numFmtId="42" fontId="6" fillId="0" borderId="0" xfId="325" applyNumberFormat="1" applyFont="1" applyBorder="1" applyProtection="1">
      <protection locked="0"/>
    </xf>
    <xf numFmtId="0" fontId="3" fillId="0" borderId="0" xfId="325" applyNumberFormat="1" applyFont="1" applyBorder="1" applyAlignment="1" applyProtection="1">
      <alignment horizontal="center"/>
      <protection locked="0"/>
    </xf>
    <xf numFmtId="0" fontId="8" fillId="0" borderId="0" xfId="325" applyNumberFormat="1" applyFont="1" applyAlignment="1" applyProtection="1">
      <alignment horizontal="center"/>
      <protection locked="0"/>
    </xf>
    <xf numFmtId="49" fontId="6" fillId="0" borderId="0" xfId="325" applyNumberFormat="1" applyFont="1" applyAlignment="1" applyProtection="1">
      <alignment horizontal="center"/>
      <protection locked="0"/>
    </xf>
    <xf numFmtId="49" fontId="18" fillId="0" borderId="0" xfId="325" applyNumberFormat="1" applyFont="1" applyAlignment="1" applyProtection="1">
      <alignment horizontal="center"/>
      <protection locked="0"/>
    </xf>
    <xf numFmtId="49" fontId="18" fillId="0" borderId="0" xfId="325" applyNumberFormat="1" applyFont="1" applyAlignment="1" applyProtection="1">
      <alignment horizontal="left"/>
      <protection locked="0"/>
    </xf>
    <xf numFmtId="0" fontId="6" fillId="0" borderId="0" xfId="326" applyNumberFormat="1" applyFont="1" applyAlignment="1">
      <alignment horizontal="left"/>
    </xf>
    <xf numFmtId="0" fontId="6" fillId="0" borderId="0" xfId="326" applyNumberFormat="1" applyFont="1" applyAlignment="1">
      <alignment horizontal="centerContinuous"/>
    </xf>
    <xf numFmtId="3" fontId="6" fillId="0" borderId="0" xfId="326" applyNumberFormat="1" applyFont="1" applyAlignment="1">
      <alignment horizontal="left"/>
    </xf>
    <xf numFmtId="3" fontId="6" fillId="0" borderId="0" xfId="326" applyNumberFormat="1" applyFont="1" applyAlignment="1">
      <alignment horizontal="centerContinuous"/>
    </xf>
    <xf numFmtId="174" fontId="6" fillId="0" borderId="0" xfId="89" applyNumberFormat="1" applyFont="1" applyAlignment="1"/>
    <xf numFmtId="173" fontId="6" fillId="0" borderId="0" xfId="325" applyFont="1" applyAlignment="1">
      <alignment horizontal="right"/>
    </xf>
    <xf numFmtId="173" fontId="6" fillId="0" borderId="0" xfId="325" applyFont="1" applyAlignment="1">
      <alignment horizontal="center"/>
    </xf>
    <xf numFmtId="0" fontId="8" fillId="0" borderId="0" xfId="7" applyFont="1" applyAlignment="1">
      <alignment horizontal="left" vertical="center"/>
    </xf>
    <xf numFmtId="42" fontId="6" fillId="0" borderId="0" xfId="0" applyNumberFormat="1" applyFont="1" applyAlignment="1"/>
    <xf numFmtId="49" fontId="12" fillId="0" borderId="0" xfId="0" applyNumberFormat="1" applyFont="1" applyFill="1" applyBorder="1" applyAlignment="1">
      <alignment horizontal="center"/>
    </xf>
    <xf numFmtId="0" fontId="6" fillId="0" borderId="0" xfId="0" applyNumberFormat="1" applyFont="1" applyFill="1" applyBorder="1" applyAlignment="1" applyProtection="1">
      <alignment horizontal="center"/>
      <protection locked="0"/>
    </xf>
    <xf numFmtId="173" fontId="6" fillId="0" borderId="0" xfId="0" applyFont="1" applyAlignment="1">
      <alignment horizontal="center"/>
    </xf>
    <xf numFmtId="173" fontId="23" fillId="0" borderId="0" xfId="0" applyFont="1" applyAlignment="1">
      <alignment horizontal="center"/>
    </xf>
    <xf numFmtId="173" fontId="23" fillId="0" borderId="0" xfId="0" applyFont="1" applyAlignment="1">
      <alignment horizontal="center" wrapText="1"/>
    </xf>
    <xf numFmtId="173" fontId="23" fillId="0" borderId="0" xfId="0" applyFont="1" applyAlignment="1"/>
    <xf numFmtId="41" fontId="6" fillId="0" borderId="0" xfId="0" applyNumberFormat="1" applyFont="1" applyAlignment="1"/>
    <xf numFmtId="41" fontId="23" fillId="0" borderId="0" xfId="0" applyNumberFormat="1" applyFont="1" applyAlignment="1"/>
    <xf numFmtId="42" fontId="30" fillId="0" borderId="0" xfId="0" applyNumberFormat="1" applyFont="1" applyAlignment="1"/>
    <xf numFmtId="173" fontId="0" fillId="0" borderId="0" xfId="0" applyFont="1" applyAlignment="1"/>
    <xf numFmtId="173" fontId="6" fillId="0" borderId="0" xfId="0" applyFont="1" applyFill="1"/>
    <xf numFmtId="0" fontId="6" fillId="0" borderId="0" xfId="5" applyFont="1"/>
    <xf numFmtId="0" fontId="6" fillId="0" borderId="0" xfId="5" applyFont="1" applyAlignment="1">
      <alignment horizontal="center"/>
    </xf>
    <xf numFmtId="0" fontId="23" fillId="0" borderId="0" xfId="5" applyFont="1" applyBorder="1" applyAlignment="1">
      <alignment horizontal="centerContinuous"/>
    </xf>
    <xf numFmtId="0" fontId="6" fillId="0" borderId="0" xfId="5" applyFont="1" applyBorder="1" applyAlignment="1">
      <alignment horizontal="left" indent="1"/>
    </xf>
    <xf numFmtId="0" fontId="6" fillId="0" borderId="0" xfId="7" applyFont="1" applyAlignment="1">
      <alignment horizontal="left" indent="1"/>
    </xf>
    <xf numFmtId="173" fontId="0" fillId="0" borderId="0" xfId="0" applyFont="1" applyFill="1" applyAlignment="1"/>
    <xf numFmtId="42" fontId="30" fillId="0" borderId="0" xfId="7" applyNumberFormat="1" applyFont="1" applyFill="1"/>
    <xf numFmtId="0" fontId="6" fillId="0" borderId="0" xfId="7" applyFont="1" applyAlignment="1">
      <alignment horizontal="right"/>
    </xf>
    <xf numFmtId="0" fontId="93" fillId="0" borderId="0" xfId="325" applyNumberFormat="1" applyFont="1" applyBorder="1" applyAlignment="1" applyProtection="1">
      <alignment horizontal="left"/>
      <protection locked="0"/>
    </xf>
    <xf numFmtId="0" fontId="3" fillId="0" borderId="6" xfId="325" applyNumberFormat="1" applyFont="1" applyBorder="1" applyAlignment="1" applyProtection="1">
      <alignment horizontal="center"/>
      <protection locked="0"/>
    </xf>
    <xf numFmtId="0" fontId="90" fillId="0" borderId="0" xfId="0" applyNumberFormat="1" applyFont="1" applyFill="1" applyBorder="1" applyAlignment="1" applyProtection="1">
      <alignment horizontal="center"/>
      <protection locked="0"/>
    </xf>
    <xf numFmtId="173" fontId="93" fillId="0" borderId="0" xfId="0" applyFont="1" applyFill="1" applyBorder="1" applyAlignment="1"/>
    <xf numFmtId="0" fontId="90" fillId="0" borderId="0" xfId="0" applyNumberFormat="1" applyFont="1" applyFill="1" applyBorder="1" applyAlignment="1"/>
    <xf numFmtId="173" fontId="90" fillId="0" borderId="0" xfId="0" applyFont="1" applyFill="1" applyBorder="1" applyAlignment="1">
      <alignment horizontal="center"/>
    </xf>
    <xf numFmtId="0" fontId="0" fillId="0" borderId="0" xfId="0" applyNumberFormat="1" applyFill="1" applyBorder="1" applyAlignment="1" applyProtection="1">
      <alignment horizontal="centerContinuous"/>
      <protection locked="0"/>
    </xf>
    <xf numFmtId="0" fontId="6" fillId="0" borderId="0" xfId="0" applyNumberFormat="1" applyFont="1" applyFill="1" applyBorder="1" applyAlignment="1">
      <alignment horizontal="right"/>
    </xf>
    <xf numFmtId="0" fontId="6" fillId="0" borderId="0" xfId="8" applyFont="1" applyAlignment="1">
      <alignment horizontal="right"/>
    </xf>
    <xf numFmtId="173" fontId="8" fillId="0" borderId="0" xfId="0" applyFont="1" applyBorder="1" applyAlignment="1">
      <alignment horizontal="left"/>
    </xf>
    <xf numFmtId="41" fontId="6" fillId="0" borderId="0" xfId="7" applyNumberFormat="1" applyFont="1" applyFill="1"/>
    <xf numFmtId="0" fontId="6" fillId="0" borderId="0" xfId="7" applyFont="1" applyAlignment="1">
      <alignment horizontal="left" vertical="center" wrapText="1" indent="1"/>
    </xf>
    <xf numFmtId="41" fontId="23" fillId="0" borderId="0" xfId="7" applyNumberFormat="1" applyFont="1" applyFill="1"/>
    <xf numFmtId="0" fontId="6" fillId="0" borderId="0" xfId="7" applyFont="1" applyBorder="1"/>
    <xf numFmtId="0" fontId="6" fillId="0" borderId="0" xfId="7" applyFont="1" applyBorder="1" applyAlignment="1">
      <alignment horizontal="right"/>
    </xf>
    <xf numFmtId="0" fontId="6" fillId="0" borderId="0" xfId="7" applyFont="1" applyFill="1" applyBorder="1"/>
    <xf numFmtId="0" fontId="6" fillId="0" borderId="0" xfId="5" applyFont="1" applyFill="1" applyBorder="1" applyAlignment="1">
      <alignment horizontal="left"/>
    </xf>
    <xf numFmtId="0" fontId="9" fillId="0" borderId="0" xfId="9" applyFont="1" applyFill="1"/>
    <xf numFmtId="0" fontId="2" fillId="0" borderId="0" xfId="329"/>
    <xf numFmtId="0" fontId="2" fillId="0" borderId="0" xfId="329" applyAlignment="1">
      <alignment horizontal="center"/>
    </xf>
    <xf numFmtId="0" fontId="2" fillId="0" borderId="0" xfId="329" applyFill="1"/>
    <xf numFmtId="0" fontId="6" fillId="0" borderId="0" xfId="330" applyFont="1" applyAlignment="1" applyProtection="1">
      <alignment horizontal="center"/>
    </xf>
    <xf numFmtId="0" fontId="95" fillId="0" borderId="0" xfId="329" quotePrefix="1" applyFont="1"/>
    <xf numFmtId="0" fontId="9" fillId="0" borderId="0" xfId="0" applyNumberFormat="1" applyFont="1" applyFill="1"/>
    <xf numFmtId="0" fontId="6" fillId="0" borderId="0" xfId="7" applyFont="1" applyFill="1" applyAlignment="1">
      <alignment horizontal="right"/>
    </xf>
    <xf numFmtId="0" fontId="8" fillId="0" borderId="0" xfId="7" applyFont="1" applyFill="1"/>
    <xf numFmtId="0" fontId="32" fillId="0" borderId="0" xfId="7" applyFont="1" applyFill="1"/>
    <xf numFmtId="0" fontId="8" fillId="0" borderId="0" xfId="7" applyFont="1" applyFill="1" applyAlignment="1">
      <alignment horizontal="right"/>
    </xf>
    <xf numFmtId="174" fontId="6" fillId="0" borderId="0" xfId="7" applyNumberFormat="1" applyFont="1" applyFill="1"/>
    <xf numFmtId="174" fontId="6" fillId="0" borderId="0" xfId="89" applyNumberFormat="1" applyFont="1" applyFill="1"/>
    <xf numFmtId="173" fontId="35" fillId="13" borderId="0" xfId="0" applyFont="1" applyFill="1" applyAlignment="1"/>
    <xf numFmtId="173" fontId="6" fillId="13" borderId="0" xfId="0" applyFont="1" applyFill="1" applyAlignment="1"/>
    <xf numFmtId="0" fontId="6" fillId="13" borderId="0" xfId="0" applyNumberFormat="1" applyFont="1" applyFill="1" applyAlignment="1" applyProtection="1">
      <protection locked="0"/>
    </xf>
    <xf numFmtId="0" fontId="6" fillId="13" borderId="0" xfId="0" applyNumberFormat="1" applyFont="1" applyFill="1" applyAlignment="1" applyProtection="1">
      <alignment horizontal="left"/>
      <protection locked="0"/>
    </xf>
    <xf numFmtId="0" fontId="6" fillId="13" borderId="0" xfId="0" applyNumberFormat="1" applyFont="1" applyFill="1" applyProtection="1">
      <protection locked="0"/>
    </xf>
    <xf numFmtId="0" fontId="6" fillId="13" borderId="0" xfId="0" applyNumberFormat="1" applyFont="1" applyFill="1" applyAlignment="1">
      <alignment horizontal="right"/>
    </xf>
    <xf numFmtId="0" fontId="6" fillId="13" borderId="0" xfId="0" applyNumberFormat="1" applyFont="1" applyFill="1"/>
    <xf numFmtId="173" fontId="6" fillId="13" borderId="0" xfId="0" applyFont="1" applyFill="1" applyAlignment="1">
      <alignment horizontal="centerContinuous"/>
    </xf>
    <xf numFmtId="0" fontId="6" fillId="13" borderId="0" xfId="0" applyNumberFormat="1" applyFont="1" applyFill="1" applyAlignment="1" applyProtection="1">
      <alignment horizontal="centerContinuous"/>
      <protection locked="0"/>
    </xf>
    <xf numFmtId="3" fontId="6" fillId="13" borderId="0" xfId="0" applyNumberFormat="1" applyFont="1" applyFill="1" applyAlignment="1">
      <alignment horizontal="centerContinuous"/>
    </xf>
    <xf numFmtId="0" fontId="6" fillId="13" borderId="0" xfId="0" applyNumberFormat="1" applyFont="1" applyFill="1" applyAlignment="1">
      <alignment horizontal="centerContinuous"/>
    </xf>
    <xf numFmtId="0" fontId="6" fillId="13" borderId="0" xfId="0" applyNumberFormat="1" applyFont="1" applyFill="1" applyAlignment="1" applyProtection="1">
      <alignment horizontal="center"/>
      <protection locked="0"/>
    </xf>
    <xf numFmtId="49" fontId="6" fillId="13" borderId="0" xfId="0" applyNumberFormat="1" applyFont="1" applyFill="1"/>
    <xf numFmtId="0" fontId="90" fillId="13" borderId="0" xfId="0" applyNumberFormat="1" applyFont="1" applyFill="1" applyBorder="1" applyAlignment="1" applyProtection="1">
      <alignment horizontal="center"/>
      <protection locked="0"/>
    </xf>
    <xf numFmtId="173" fontId="6" fillId="13" borderId="0" xfId="0" applyFont="1" applyFill="1" applyBorder="1" applyAlignment="1"/>
    <xf numFmtId="0" fontId="6" fillId="13" borderId="0" xfId="0" applyNumberFormat="1" applyFont="1" applyFill="1" applyBorder="1"/>
    <xf numFmtId="3" fontId="6" fillId="13" borderId="0" xfId="0" applyNumberFormat="1" applyFont="1" applyFill="1"/>
    <xf numFmtId="42" fontId="6" fillId="13" borderId="0" xfId="0" applyNumberFormat="1" applyFont="1" applyFill="1"/>
    <xf numFmtId="0" fontId="6" fillId="13" borderId="0" xfId="0" quotePrefix="1" applyNumberFormat="1" applyFont="1" applyFill="1" applyAlignment="1">
      <alignment horizontal="left"/>
    </xf>
    <xf numFmtId="0" fontId="6" fillId="13" borderId="1" xfId="0" applyNumberFormat="1" applyFont="1" applyFill="1" applyBorder="1" applyAlignment="1" applyProtection="1">
      <alignment horizontal="center"/>
      <protection locked="0"/>
    </xf>
    <xf numFmtId="3" fontId="6" fillId="13" borderId="0" xfId="0" applyNumberFormat="1" applyFont="1" applyFill="1" applyAlignment="1"/>
    <xf numFmtId="0" fontId="6" fillId="13" borderId="1" xfId="0" applyNumberFormat="1" applyFont="1" applyFill="1" applyBorder="1" applyAlignment="1" applyProtection="1">
      <alignment horizontal="centerContinuous"/>
      <protection locked="0"/>
    </xf>
    <xf numFmtId="0" fontId="6" fillId="13" borderId="0" xfId="0" applyNumberFormat="1" applyFont="1" applyFill="1" applyAlignment="1"/>
    <xf numFmtId="42" fontId="6" fillId="13" borderId="0" xfId="0" applyNumberFormat="1" applyFont="1" applyFill="1" applyAlignment="1"/>
    <xf numFmtId="166" fontId="6" fillId="13" borderId="0" xfId="0" applyNumberFormat="1" applyFont="1" applyFill="1" applyAlignment="1"/>
    <xf numFmtId="37" fontId="6" fillId="13" borderId="0" xfId="0" applyNumberFormat="1" applyFont="1" applyFill="1" applyAlignment="1"/>
    <xf numFmtId="3" fontId="6" fillId="13" borderId="0" xfId="0" applyNumberFormat="1" applyFont="1" applyFill="1" applyAlignment="1">
      <alignment horizontal="fill"/>
    </xf>
    <xf numFmtId="37" fontId="6" fillId="13" borderId="0" xfId="0" applyNumberFormat="1" applyFont="1" applyFill="1"/>
    <xf numFmtId="172" fontId="6" fillId="13" borderId="0" xfId="0" applyNumberFormat="1" applyFont="1" applyFill="1" applyAlignment="1"/>
    <xf numFmtId="172" fontId="6" fillId="13" borderId="0" xfId="0" applyNumberFormat="1" applyFont="1" applyFill="1" applyAlignment="1">
      <alignment horizontal="center"/>
    </xf>
    <xf numFmtId="42" fontId="6" fillId="13" borderId="0" xfId="0" applyNumberFormat="1" applyFont="1" applyFill="1" applyAlignment="1">
      <alignment horizontal="center"/>
    </xf>
    <xf numFmtId="0" fontId="6" fillId="13" borderId="0" xfId="0" applyNumberFormat="1" applyFont="1" applyFill="1" applyAlignment="1">
      <alignment wrapText="1"/>
    </xf>
    <xf numFmtId="0" fontId="6" fillId="13" borderId="0" xfId="0" applyNumberFormat="1" applyFont="1" applyFill="1" applyAlignment="1" applyProtection="1">
      <alignment horizontal="right"/>
      <protection locked="0"/>
    </xf>
    <xf numFmtId="0" fontId="6" fillId="13" borderId="0" xfId="0" applyNumberFormat="1" applyFont="1" applyFill="1" applyAlignment="1">
      <alignment horizontal="center"/>
    </xf>
    <xf numFmtId="49" fontId="6" fillId="13" borderId="0" xfId="0" applyNumberFormat="1" applyFont="1" applyFill="1" applyAlignment="1">
      <alignment horizontal="left"/>
    </xf>
    <xf numFmtId="49" fontId="6" fillId="13" borderId="0" xfId="0" applyNumberFormat="1" applyFont="1" applyFill="1" applyAlignment="1">
      <alignment horizontal="center"/>
    </xf>
    <xf numFmtId="0" fontId="8" fillId="13" borderId="0" xfId="0" applyNumberFormat="1" applyFont="1" applyFill="1" applyAlignment="1" applyProtection="1">
      <alignment horizontal="center"/>
      <protection locked="0"/>
    </xf>
    <xf numFmtId="0" fontId="8" fillId="13" borderId="0" xfId="0" applyNumberFormat="1" applyFont="1" applyFill="1" applyAlignment="1"/>
    <xf numFmtId="3" fontId="8" fillId="13" borderId="0" xfId="0" applyNumberFormat="1" applyFont="1" applyFill="1" applyAlignment="1"/>
    <xf numFmtId="3" fontId="7" fillId="13" borderId="0" xfId="0" applyNumberFormat="1" applyFont="1" applyFill="1" applyAlignment="1"/>
    <xf numFmtId="165" fontId="6" fillId="13" borderId="0" xfId="0" applyNumberFormat="1" applyFont="1" applyFill="1" applyAlignment="1"/>
    <xf numFmtId="37" fontId="6" fillId="13" borderId="1" xfId="0" applyNumberFormat="1" applyFont="1" applyFill="1" applyBorder="1" applyAlignment="1"/>
    <xf numFmtId="164" fontId="6" fillId="13" borderId="0" xfId="0" applyNumberFormat="1" applyFont="1" applyFill="1" applyAlignment="1">
      <alignment horizontal="right"/>
    </xf>
    <xf numFmtId="164" fontId="6" fillId="13" borderId="0" xfId="0" applyNumberFormat="1" applyFont="1" applyFill="1" applyAlignment="1">
      <alignment horizontal="center"/>
    </xf>
    <xf numFmtId="0" fontId="6" fillId="13" borderId="0" xfId="0" applyNumberFormat="1" applyFont="1" applyFill="1" applyAlignment="1">
      <alignment horizontal="fill"/>
    </xf>
    <xf numFmtId="0" fontId="6" fillId="13" borderId="0" xfId="0" quotePrefix="1" applyNumberFormat="1" applyFont="1" applyFill="1" applyAlignment="1" applyProtection="1">
      <alignment horizontal="left"/>
      <protection locked="0"/>
    </xf>
    <xf numFmtId="37" fontId="6" fillId="13" borderId="0" xfId="0" applyNumberFormat="1" applyFont="1" applyFill="1" applyBorder="1" applyAlignment="1"/>
    <xf numFmtId="3" fontId="6" fillId="13" borderId="0" xfId="0" applyNumberFormat="1" applyFont="1" applyFill="1" applyAlignment="1">
      <alignment horizontal="center"/>
    </xf>
    <xf numFmtId="42" fontId="6" fillId="13" borderId="2" xfId="0" applyNumberFormat="1" applyFont="1" applyFill="1" applyBorder="1" applyAlignment="1"/>
    <xf numFmtId="3" fontId="6" fillId="13" borderId="0" xfId="0" applyNumberFormat="1" applyFont="1" applyFill="1" applyAlignment="1" applyProtection="1">
      <alignment horizontal="centerContinuous"/>
      <protection locked="0"/>
    </xf>
    <xf numFmtId="0" fontId="6" fillId="13" borderId="0" xfId="0" applyNumberFormat="1" applyFont="1" applyFill="1" applyBorder="1" applyAlignment="1" applyProtection="1">
      <alignment horizontal="center"/>
      <protection locked="0"/>
    </xf>
    <xf numFmtId="173" fontId="90" fillId="13" borderId="0" xfId="0" applyFont="1" applyFill="1" applyAlignment="1"/>
    <xf numFmtId="0" fontId="90" fillId="13" borderId="0" xfId="0" applyNumberFormat="1" applyFont="1" applyFill="1" applyAlignment="1"/>
    <xf numFmtId="173" fontId="90" fillId="13" borderId="0" xfId="0" applyFont="1" applyFill="1" applyAlignment="1">
      <alignment horizontal="center"/>
    </xf>
    <xf numFmtId="0" fontId="90" fillId="13" borderId="0" xfId="0" applyNumberFormat="1" applyFont="1" applyFill="1" applyAlignment="1" applyProtection="1">
      <alignment horizontal="center"/>
      <protection locked="0"/>
    </xf>
    <xf numFmtId="3" fontId="90" fillId="13" borderId="0" xfId="0" applyNumberFormat="1" applyFont="1" applyFill="1" applyAlignment="1"/>
    <xf numFmtId="0" fontId="90" fillId="13" borderId="0" xfId="0" applyNumberFormat="1" applyFont="1" applyFill="1" applyAlignment="1" applyProtection="1">
      <alignment horizontal="centerContinuous"/>
      <protection locked="0"/>
    </xf>
    <xf numFmtId="173" fontId="90" fillId="13" borderId="0" xfId="0" applyFont="1" applyFill="1" applyAlignment="1">
      <alignment horizontal="centerContinuous"/>
    </xf>
    <xf numFmtId="0" fontId="91" fillId="13" borderId="0" xfId="0" applyNumberFormat="1" applyFont="1" applyFill="1" applyAlignment="1" applyProtection="1">
      <alignment horizontal="center"/>
      <protection locked="0"/>
    </xf>
    <xf numFmtId="0" fontId="8" fillId="13" borderId="0" xfId="0" applyNumberFormat="1" applyFont="1" applyFill="1" applyProtection="1">
      <protection locked="0"/>
    </xf>
    <xf numFmtId="0" fontId="7" fillId="13" borderId="0" xfId="0" applyNumberFormat="1" applyFont="1" applyFill="1" applyAlignment="1">
      <alignment horizontal="center"/>
    </xf>
    <xf numFmtId="0" fontId="8" fillId="13" borderId="0" xfId="0" applyNumberFormat="1" applyFont="1" applyFill="1" applyAlignment="1">
      <alignment horizontal="center"/>
    </xf>
    <xf numFmtId="0" fontId="6" fillId="13" borderId="0" xfId="0" applyNumberFormat="1" applyFont="1" applyFill="1" applyAlignment="1">
      <alignment horizontal="left" indent="1"/>
    </xf>
    <xf numFmtId="0" fontId="6" fillId="13" borderId="0" xfId="0" quotePrefix="1" applyNumberFormat="1" applyFont="1" applyFill="1" applyAlignment="1" applyProtection="1">
      <alignment horizontal="center"/>
      <protection locked="0"/>
    </xf>
    <xf numFmtId="0" fontId="6" fillId="13" borderId="0" xfId="0" applyNumberFormat="1" applyFont="1" applyFill="1" applyAlignment="1">
      <alignment horizontal="left" indent="3"/>
    </xf>
    <xf numFmtId="166" fontId="6" fillId="13" borderId="0" xfId="0" applyNumberFormat="1" applyFont="1" applyFill="1" applyAlignment="1">
      <alignment horizontal="center"/>
    </xf>
    <xf numFmtId="164" fontId="6" fillId="13" borderId="0" xfId="0" applyNumberFormat="1" applyFont="1" applyFill="1" applyAlignment="1">
      <alignment horizontal="left"/>
    </xf>
    <xf numFmtId="275" fontId="6" fillId="13" borderId="0" xfId="0" applyNumberFormat="1" applyFont="1" applyFill="1" applyAlignment="1">
      <alignment horizontal="right"/>
    </xf>
    <xf numFmtId="169" fontId="6" fillId="13" borderId="0" xfId="0" applyNumberFormat="1" applyFont="1" applyFill="1" applyAlignment="1">
      <alignment horizontal="right"/>
    </xf>
    <xf numFmtId="10" fontId="6" fillId="13" borderId="0" xfId="0" applyNumberFormat="1" applyFont="1" applyFill="1" applyAlignment="1">
      <alignment horizontal="left"/>
    </xf>
    <xf numFmtId="3" fontId="6" fillId="13" borderId="0" xfId="0" applyNumberFormat="1" applyFont="1" applyFill="1" applyAlignment="1">
      <alignment horizontal="left"/>
    </xf>
    <xf numFmtId="164" fontId="6" fillId="13" borderId="0" xfId="0" applyNumberFormat="1" applyFont="1" applyFill="1" applyAlignment="1" applyProtection="1">
      <alignment horizontal="left"/>
      <protection locked="0"/>
    </xf>
    <xf numFmtId="42" fontId="6" fillId="13" borderId="0" xfId="0" applyNumberFormat="1" applyFont="1" applyFill="1" applyAlignment="1">
      <alignment horizontal="right"/>
    </xf>
    <xf numFmtId="167" fontId="6" fillId="13" borderId="0" xfId="0" applyNumberFormat="1" applyFont="1" applyFill="1" applyAlignment="1"/>
    <xf numFmtId="3" fontId="6" fillId="13" borderId="0" xfId="0" applyNumberFormat="1" applyFont="1" applyFill="1" applyBorder="1" applyAlignment="1"/>
    <xf numFmtId="0" fontId="8" fillId="13" borderId="0" xfId="0" applyNumberFormat="1" applyFont="1" applyFill="1" applyAlignment="1">
      <alignment horizontal="centerContinuous"/>
    </xf>
    <xf numFmtId="0" fontId="8" fillId="13" borderId="0" xfId="0" applyNumberFormat="1" applyFont="1" applyFill="1" applyBorder="1" applyAlignment="1" applyProtection="1">
      <protection locked="0"/>
    </xf>
    <xf numFmtId="3" fontId="6" fillId="13" borderId="1" xfId="0" applyNumberFormat="1" applyFont="1" applyFill="1" applyBorder="1" applyAlignment="1"/>
    <xf numFmtId="49" fontId="6" fillId="13" borderId="0" xfId="0" applyNumberFormat="1" applyFont="1" applyFill="1" applyAlignment="1"/>
    <xf numFmtId="165" fontId="6" fillId="13" borderId="0" xfId="0" applyNumberFormat="1" applyFont="1" applyFill="1" applyAlignment="1">
      <alignment horizontal="right"/>
    </xf>
    <xf numFmtId="165" fontId="6" fillId="13" borderId="0" xfId="0" applyNumberFormat="1" applyFont="1" applyFill="1"/>
    <xf numFmtId="166" fontId="6" fillId="13" borderId="0" xfId="0" applyNumberFormat="1" applyFont="1" applyFill="1"/>
    <xf numFmtId="3" fontId="6" fillId="13" borderId="1" xfId="0" applyNumberFormat="1" applyFont="1" applyFill="1" applyBorder="1" applyAlignment="1">
      <alignment horizontal="center"/>
    </xf>
    <xf numFmtId="4" fontId="6" fillId="13" borderId="0" xfId="0" applyNumberFormat="1" applyFont="1" applyFill="1" applyAlignment="1"/>
    <xf numFmtId="3" fontId="6" fillId="13" borderId="0" xfId="0" applyNumberFormat="1" applyFont="1" applyFill="1" applyBorder="1" applyAlignment="1">
      <alignment horizontal="center"/>
    </xf>
    <xf numFmtId="166" fontId="6" fillId="13" borderId="0" xfId="0" applyNumberFormat="1" applyFont="1" applyFill="1" applyAlignment="1" applyProtection="1">
      <alignment horizontal="center"/>
      <protection locked="0"/>
    </xf>
    <xf numFmtId="0" fontId="6" fillId="13" borderId="0" xfId="0" applyNumberFormat="1" applyFont="1" applyFill="1" applyAlignment="1">
      <alignment horizontal="left"/>
    </xf>
    <xf numFmtId="0" fontId="6" fillId="13" borderId="1" xfId="0" applyNumberFormat="1" applyFont="1" applyFill="1" applyBorder="1" applyAlignment="1"/>
    <xf numFmtId="0" fontId="8" fillId="13" borderId="0" xfId="0" applyNumberFormat="1" applyFont="1" applyFill="1" applyAlignment="1" applyProtection="1">
      <protection locked="0"/>
    </xf>
    <xf numFmtId="173" fontId="6" fillId="13" borderId="0" xfId="0" applyFont="1" applyFill="1" applyAlignment="1" applyProtection="1"/>
    <xf numFmtId="38" fontId="6" fillId="13" borderId="0" xfId="0" applyNumberFormat="1" applyFont="1" applyFill="1" applyAlignment="1" applyProtection="1"/>
    <xf numFmtId="173" fontId="6" fillId="13" borderId="1" xfId="0" applyFont="1" applyFill="1" applyBorder="1" applyAlignment="1"/>
    <xf numFmtId="0" fontId="6" fillId="13" borderId="1" xfId="0" applyNumberFormat="1" applyFont="1" applyFill="1" applyBorder="1" applyProtection="1">
      <protection locked="0"/>
    </xf>
    <xf numFmtId="38" fontId="6" fillId="13" borderId="0" xfId="0" applyNumberFormat="1" applyFont="1" applyFill="1" applyAlignment="1"/>
    <xf numFmtId="172" fontId="6" fillId="13" borderId="0" xfId="0" applyNumberFormat="1" applyFont="1" applyFill="1" applyProtection="1">
      <protection locked="0"/>
    </xf>
    <xf numFmtId="170" fontId="6" fillId="13" borderId="0" xfId="0" applyNumberFormat="1" applyFont="1" applyFill="1" applyBorder="1" applyProtection="1"/>
    <xf numFmtId="1" fontId="6" fillId="13" borderId="0" xfId="0" applyNumberFormat="1" applyFont="1" applyFill="1" applyProtection="1"/>
    <xf numFmtId="168" fontId="6" fillId="13" borderId="0" xfId="0" applyNumberFormat="1" applyFont="1" applyFill="1" applyProtection="1">
      <protection locked="0"/>
    </xf>
    <xf numFmtId="173" fontId="6" fillId="13" borderId="0" xfId="0" applyNumberFormat="1" applyFont="1" applyFill="1" applyAlignment="1" applyProtection="1">
      <protection locked="0"/>
    </xf>
    <xf numFmtId="3" fontId="6" fillId="13" borderId="0" xfId="0" applyNumberFormat="1" applyFont="1" applyFill="1" applyAlignment="1" applyProtection="1"/>
    <xf numFmtId="0" fontId="27" fillId="13" borderId="0" xfId="0" applyNumberFormat="1" applyFont="1" applyFill="1" applyProtection="1">
      <protection locked="0"/>
    </xf>
    <xf numFmtId="0" fontId="35" fillId="13" borderId="0" xfId="0" applyNumberFormat="1" applyFont="1" applyFill="1" applyAlignment="1" applyProtection="1">
      <alignment horizontal="center"/>
      <protection locked="0"/>
    </xf>
    <xf numFmtId="0" fontId="35" fillId="13" borderId="0" xfId="0" applyNumberFormat="1" applyFont="1" applyFill="1" applyAlignment="1" applyProtection="1">
      <alignment horizontal="left"/>
      <protection locked="0"/>
    </xf>
    <xf numFmtId="3" fontId="35" fillId="13" borderId="0" xfId="0" applyNumberFormat="1" applyFont="1" applyFill="1" applyAlignment="1">
      <alignment horizontal="center"/>
    </xf>
    <xf numFmtId="173" fontId="6" fillId="13" borderId="0" xfId="0" applyFont="1" applyFill="1" applyAlignment="1">
      <alignment horizontal="center"/>
    </xf>
    <xf numFmtId="49" fontId="6" fillId="13" borderId="0" xfId="0" applyNumberFormat="1" applyFont="1" applyFill="1" applyAlignment="1" applyProtection="1">
      <alignment horizontal="centerContinuous"/>
      <protection locked="0"/>
    </xf>
    <xf numFmtId="49" fontId="6" fillId="0" borderId="0" xfId="326" applyNumberFormat="1" applyFont="1" applyAlignment="1">
      <alignment horizontal="centerContinuous"/>
    </xf>
    <xf numFmtId="43" fontId="6" fillId="0" borderId="0" xfId="1" applyFont="1"/>
    <xf numFmtId="43" fontId="96" fillId="0" borderId="0" xfId="1" applyFont="1"/>
    <xf numFmtId="43" fontId="6" fillId="14" borderId="0" xfId="1" applyFont="1" applyFill="1"/>
    <xf numFmtId="0" fontId="6" fillId="14" borderId="0" xfId="6" applyFont="1" applyFill="1"/>
    <xf numFmtId="43" fontId="6" fillId="14" borderId="12" xfId="1" applyFont="1" applyFill="1" applyBorder="1"/>
    <xf numFmtId="174" fontId="6" fillId="0" borderId="0" xfId="1" applyNumberFormat="1" applyFont="1"/>
    <xf numFmtId="174" fontId="6" fillId="0" borderId="0" xfId="1" applyNumberFormat="1" applyFont="1" applyBorder="1"/>
    <xf numFmtId="174" fontId="6" fillId="0" borderId="0" xfId="1" applyNumberFormat="1" applyFont="1" applyFill="1"/>
    <xf numFmtId="0" fontId="97" fillId="0" borderId="0" xfId="10" applyFont="1" applyAlignment="1">
      <alignment horizontal="centerContinuous"/>
    </xf>
    <xf numFmtId="0" fontId="6" fillId="0" borderId="0" xfId="0" quotePrefix="1" applyNumberFormat="1" applyFont="1" applyFill="1" applyAlignment="1">
      <alignment horizontal="left" indent="1"/>
    </xf>
    <xf numFmtId="3" fontId="6" fillId="0" borderId="0" xfId="0" applyNumberFormat="1" applyFont="1" applyFill="1"/>
    <xf numFmtId="0" fontId="6" fillId="0" borderId="0" xfId="0" applyNumberFormat="1" applyFont="1" applyFill="1"/>
    <xf numFmtId="0" fontId="6" fillId="0" borderId="0" xfId="0" applyNumberFormat="1" applyFont="1" applyFill="1" applyProtection="1">
      <protection locked="0"/>
    </xf>
    <xf numFmtId="3" fontId="6" fillId="0" borderId="0" xfId="0" applyNumberFormat="1" applyFont="1" applyFill="1" applyAlignment="1"/>
    <xf numFmtId="0" fontId="6" fillId="0" borderId="0" xfId="0" applyNumberFormat="1" applyFont="1" applyAlignment="1"/>
    <xf numFmtId="0" fontId="6" fillId="0" borderId="0" xfId="0" applyNumberFormat="1" applyFont="1" applyAlignment="1">
      <alignment horizontal="center"/>
    </xf>
    <xf numFmtId="0" fontId="6" fillId="0" borderId="0" xfId="0" applyNumberFormat="1" applyFont="1"/>
    <xf numFmtId="0" fontId="6" fillId="0" borderId="6" xfId="0" applyNumberFormat="1" applyFont="1" applyBorder="1" applyAlignment="1">
      <alignment horizontal="center"/>
    </xf>
    <xf numFmtId="0" fontId="6" fillId="0" borderId="6" xfId="0" applyNumberFormat="1" applyFont="1" applyBorder="1"/>
    <xf numFmtId="0" fontId="6" fillId="0" borderId="0" xfId="0" applyNumberFormat="1" applyFont="1" applyBorder="1"/>
    <xf numFmtId="0" fontId="6" fillId="0" borderId="0" xfId="0" applyNumberFormat="1" applyFont="1" applyBorder="1" applyAlignment="1">
      <alignment horizontal="right"/>
    </xf>
    <xf numFmtId="0" fontId="8" fillId="0" borderId="0" xfId="0" applyNumberFormat="1" applyFont="1" applyAlignment="1">
      <alignment horizontal="center"/>
    </xf>
    <xf numFmtId="164" fontId="6" fillId="0" borderId="0" xfId="0" applyNumberFormat="1" applyFont="1" applyAlignment="1">
      <alignment horizontal="center"/>
    </xf>
    <xf numFmtId="0" fontId="6" fillId="0" borderId="0" xfId="0" applyNumberFormat="1" applyFont="1" applyFill="1" applyAlignment="1" applyProtection="1">
      <alignment horizontal="center"/>
      <protection locked="0"/>
    </xf>
    <xf numFmtId="42" fontId="6" fillId="0" borderId="0" xfId="0" applyNumberFormat="1" applyFont="1" applyFill="1" applyAlignment="1"/>
    <xf numFmtId="166" fontId="6" fillId="0" borderId="0" xfId="0" applyNumberFormat="1" applyFont="1" applyFill="1" applyAlignment="1"/>
    <xf numFmtId="37" fontId="6" fillId="0" borderId="0" xfId="0" applyNumberFormat="1" applyFont="1" applyFill="1" applyAlignment="1"/>
    <xf numFmtId="37" fontId="6" fillId="13" borderId="6" xfId="0" applyNumberFormat="1" applyFont="1" applyFill="1" applyBorder="1" applyAlignment="1"/>
    <xf numFmtId="37" fontId="6" fillId="13" borderId="0" xfId="0" quotePrefix="1" applyNumberFormat="1" applyFont="1" applyFill="1" applyAlignment="1"/>
    <xf numFmtId="0" fontId="25" fillId="0" borderId="0" xfId="9" applyFont="1" applyFill="1" applyAlignment="1">
      <alignment horizontal="center"/>
    </xf>
    <xf numFmtId="0" fontId="12" fillId="0" borderId="0" xfId="8" applyFont="1"/>
    <xf numFmtId="41" fontId="12" fillId="0" borderId="0" xfId="13" applyNumberFormat="1" applyFont="1" applyBorder="1"/>
    <xf numFmtId="173" fontId="12" fillId="0" borderId="0" xfId="0" applyFont="1" applyAlignment="1"/>
    <xf numFmtId="0" fontId="12" fillId="0" borderId="0" xfId="1" applyNumberFormat="1" applyFont="1" applyAlignment="1">
      <alignment horizontal="center"/>
    </xf>
    <xf numFmtId="0" fontId="12" fillId="0" borderId="0" xfId="0" applyNumberFormat="1" applyFont="1" applyAlignment="1">
      <alignment horizontal="center"/>
    </xf>
    <xf numFmtId="49" fontId="100" fillId="0" borderId="0" xfId="10" applyNumberFormat="1" applyFont="1" applyAlignment="1">
      <alignment horizontal="centerContinuous"/>
    </xf>
    <xf numFmtId="0" fontId="26" fillId="0" borderId="0" xfId="9" applyFont="1" applyFill="1" applyAlignment="1">
      <alignment horizontal="center"/>
    </xf>
    <xf numFmtId="0" fontId="9" fillId="0" borderId="0" xfId="15" applyFont="1" applyFill="1" applyAlignment="1">
      <alignment horizontal="center"/>
    </xf>
    <xf numFmtId="15" fontId="9" fillId="0" borderId="0" xfId="15" quotePrefix="1" applyNumberFormat="1" applyFont="1" applyFill="1" applyAlignment="1">
      <alignment horizontal="center"/>
    </xf>
    <xf numFmtId="0" fontId="6" fillId="0" borderId="0" xfId="8" applyFont="1" applyAlignment="1">
      <alignment horizontal="centerContinuous"/>
    </xf>
    <xf numFmtId="173" fontId="8" fillId="0" borderId="0" xfId="0" applyFont="1" applyAlignment="1">
      <alignment horizontal="center"/>
    </xf>
    <xf numFmtId="173" fontId="6" fillId="0" borderId="0" xfId="0" applyFont="1" applyAlignment="1">
      <alignment horizontal="right"/>
    </xf>
    <xf numFmtId="0" fontId="6" fillId="0" borderId="0" xfId="0" applyNumberFormat="1" applyFont="1" applyFill="1" applyAlignment="1" applyProtection="1">
      <protection locked="0"/>
    </xf>
    <xf numFmtId="0" fontId="6" fillId="0" borderId="0" xfId="0" applyNumberFormat="1" applyFont="1" applyFill="1" applyBorder="1" applyProtection="1">
      <protection locked="0"/>
    </xf>
    <xf numFmtId="37" fontId="6" fillId="13" borderId="0" xfId="0" applyNumberFormat="1" applyFont="1" applyFill="1" applyBorder="1" applyProtection="1">
      <protection locked="0"/>
    </xf>
    <xf numFmtId="10" fontId="6" fillId="0" borderId="0" xfId="0" applyNumberFormat="1" applyFont="1" applyFill="1"/>
    <xf numFmtId="43" fontId="6" fillId="13" borderId="0" xfId="1" applyFont="1" applyFill="1" applyAlignment="1">
      <alignment horizontal="left"/>
    </xf>
    <xf numFmtId="39" fontId="6" fillId="13" borderId="0" xfId="0" applyNumberFormat="1" applyFont="1" applyFill="1" applyAlignment="1"/>
    <xf numFmtId="39" fontId="6" fillId="13" borderId="1" xfId="0" applyNumberFormat="1" applyFont="1" applyFill="1" applyBorder="1" applyAlignment="1"/>
    <xf numFmtId="43" fontId="6" fillId="13" borderId="0" xfId="1" applyFont="1" applyFill="1"/>
    <xf numFmtId="173" fontId="6" fillId="13" borderId="0" xfId="0" applyNumberFormat="1" applyFont="1" applyFill="1" applyAlignment="1" applyProtection="1">
      <alignment horizontal="left"/>
      <protection locked="0"/>
    </xf>
    <xf numFmtId="174" fontId="12" fillId="0" borderId="0" xfId="1" applyNumberFormat="1" applyFont="1" applyFill="1" applyAlignment="1"/>
    <xf numFmtId="174" fontId="12" fillId="0" borderId="0" xfId="1" applyNumberFormat="1" applyFont="1" applyFill="1"/>
    <xf numFmtId="41" fontId="12" fillId="0" borderId="0" xfId="1" applyNumberFormat="1" applyFont="1" applyFill="1"/>
    <xf numFmtId="173" fontId="0" fillId="0" borderId="0" xfId="0" applyFill="1" applyAlignment="1"/>
    <xf numFmtId="174" fontId="12" fillId="0" borderId="6" xfId="1" applyNumberFormat="1" applyFont="1" applyFill="1" applyBorder="1"/>
    <xf numFmtId="0" fontId="20" fillId="0" borderId="0" xfId="10" applyFont="1" applyFill="1" applyAlignment="1">
      <alignment horizontal="center"/>
    </xf>
    <xf numFmtId="41" fontId="12" fillId="0" borderId="6" xfId="1" applyNumberFormat="1" applyFont="1" applyFill="1" applyBorder="1"/>
    <xf numFmtId="174" fontId="12" fillId="0" borderId="8" xfId="1" applyNumberFormat="1" applyFont="1" applyFill="1" applyBorder="1" applyAlignment="1"/>
    <xf numFmtId="174" fontId="12" fillId="0" borderId="2" xfId="1" applyNumberFormat="1" applyFont="1" applyFill="1" applyBorder="1"/>
    <xf numFmtId="10" fontId="6" fillId="0" borderId="0" xfId="372" applyNumberFormat="1" applyFont="1"/>
    <xf numFmtId="164" fontId="6" fillId="0" borderId="0" xfId="11" applyNumberFormat="1" applyFont="1" applyAlignment="1"/>
    <xf numFmtId="164" fontId="6" fillId="0" borderId="2" xfId="11" applyNumberFormat="1" applyFont="1" applyBorder="1" applyAlignment="1"/>
    <xf numFmtId="3" fontId="6" fillId="0" borderId="0" xfId="0" applyNumberFormat="1" applyFont="1" applyBorder="1" applyAlignment="1"/>
    <xf numFmtId="175" fontId="8" fillId="0" borderId="0" xfId="0" applyNumberFormat="1" applyFont="1" applyBorder="1"/>
    <xf numFmtId="174" fontId="6" fillId="0" borderId="0" xfId="89" applyNumberFormat="1" applyFont="1" applyFill="1" applyBorder="1"/>
    <xf numFmtId="175" fontId="6" fillId="13" borderId="0" xfId="327" applyNumberFormat="1" applyFont="1" applyFill="1" applyAlignment="1"/>
    <xf numFmtId="164" fontId="6" fillId="13" borderId="0" xfId="372" applyNumberFormat="1" applyFont="1" applyFill="1" applyAlignment="1"/>
    <xf numFmtId="164" fontId="6" fillId="13" borderId="1" xfId="372" applyNumberFormat="1" applyFont="1" applyFill="1" applyBorder="1" applyAlignment="1"/>
    <xf numFmtId="43" fontId="8" fillId="13" borderId="0" xfId="1" applyFont="1" applyFill="1" applyAlignment="1"/>
    <xf numFmtId="164" fontId="8" fillId="13" borderId="0" xfId="372" applyNumberFormat="1" applyFont="1" applyFill="1" applyBorder="1" applyAlignment="1"/>
    <xf numFmtId="0" fontId="12" fillId="0" borderId="6" xfId="8" applyFont="1" applyFill="1" applyBorder="1"/>
    <xf numFmtId="173" fontId="6" fillId="0" borderId="6" xfId="0" applyFont="1" applyBorder="1" applyAlignment="1"/>
    <xf numFmtId="0" fontId="93" fillId="0" borderId="6" xfId="325" applyNumberFormat="1" applyFont="1" applyFill="1" applyBorder="1" applyAlignment="1" applyProtection="1">
      <alignment horizontal="center"/>
      <protection locked="0"/>
    </xf>
    <xf numFmtId="0" fontId="6" fillId="0" borderId="6" xfId="326" applyFont="1" applyFill="1" applyBorder="1"/>
    <xf numFmtId="0" fontId="6" fillId="0" borderId="6" xfId="326" applyNumberFormat="1" applyFont="1" applyFill="1" applyBorder="1"/>
    <xf numFmtId="173" fontId="6" fillId="0" borderId="0" xfId="0" applyFont="1" applyBorder="1" applyAlignment="1"/>
    <xf numFmtId="173" fontId="6" fillId="0" borderId="0" xfId="0" quotePrefix="1" applyFont="1" applyAlignment="1"/>
    <xf numFmtId="0" fontId="6" fillId="0" borderId="0" xfId="7" applyFont="1" applyFill="1" applyAlignment="1">
      <alignment horizontal="left" vertical="center"/>
    </xf>
    <xf numFmtId="0" fontId="6" fillId="0" borderId="0" xfId="7" applyFont="1" applyFill="1" applyAlignment="1">
      <alignment horizontal="left"/>
    </xf>
    <xf numFmtId="0" fontId="6" fillId="0" borderId="0" xfId="7" applyFont="1" applyFill="1" applyAlignment="1">
      <alignment horizontal="left" vertical="center" wrapText="1"/>
    </xf>
    <xf numFmtId="42" fontId="30" fillId="0" borderId="0" xfId="6" applyNumberFormat="1" applyFont="1" applyFill="1" applyAlignment="1">
      <alignment vertical="center"/>
    </xf>
    <xf numFmtId="41" fontId="17" fillId="0" borderId="0" xfId="7" applyNumberFormat="1" applyFont="1" applyBorder="1"/>
    <xf numFmtId="0" fontId="6" fillId="0" borderId="6" xfId="7" quotePrefix="1" applyFont="1" applyBorder="1"/>
    <xf numFmtId="43" fontId="99" fillId="0" borderId="0" xfId="1" applyFont="1"/>
    <xf numFmtId="173" fontId="6" fillId="0" borderId="0" xfId="0" applyFont="1" applyFill="1" applyAlignment="1">
      <alignment horizontal="center"/>
    </xf>
    <xf numFmtId="0" fontId="8" fillId="0" borderId="0" xfId="7" applyFont="1" applyBorder="1" applyAlignment="1">
      <alignment horizontal="center"/>
    </xf>
    <xf numFmtId="0" fontId="27" fillId="0" borderId="0" xfId="0" applyNumberFormat="1" applyFont="1" applyFill="1" applyProtection="1">
      <protection locked="0"/>
    </xf>
    <xf numFmtId="0" fontId="35" fillId="0" borderId="0" xfId="0" applyNumberFormat="1" applyFont="1" applyFill="1" applyAlignment="1" applyProtection="1">
      <alignment horizontal="center"/>
      <protection locked="0"/>
    </xf>
    <xf numFmtId="165" fontId="6" fillId="0" borderId="0" xfId="0" applyNumberFormat="1" applyFont="1" applyFill="1" applyAlignment="1"/>
    <xf numFmtId="3" fontId="6" fillId="0" borderId="0" xfId="0" applyNumberFormat="1" applyFont="1" applyFill="1" applyBorder="1" applyAlignment="1">
      <alignment horizontal="center"/>
    </xf>
    <xf numFmtId="3" fontId="6" fillId="0" borderId="0" xfId="0" applyNumberFormat="1" applyFont="1" applyFill="1" applyBorder="1" applyAlignment="1">
      <alignment horizontal="center"/>
    </xf>
    <xf numFmtId="173" fontId="6" fillId="0" borderId="0" xfId="0" applyFont="1" applyAlignment="1">
      <alignment wrapText="1"/>
    </xf>
    <xf numFmtId="173" fontId="0" fillId="0" borderId="0" xfId="0" applyAlignment="1">
      <alignment wrapText="1"/>
    </xf>
    <xf numFmtId="172" fontId="6" fillId="0" borderId="0" xfId="0" applyNumberFormat="1" applyFont="1" applyFill="1" applyBorder="1" applyAlignment="1"/>
    <xf numFmtId="0" fontId="104" fillId="0" borderId="0" xfId="0" applyNumberFormat="1" applyFont="1"/>
    <xf numFmtId="0" fontId="104" fillId="0" borderId="0" xfId="0" applyNumberFormat="1" applyFont="1" applyBorder="1"/>
    <xf numFmtId="164" fontId="8" fillId="0" borderId="0" xfId="0" applyNumberFormat="1" applyFont="1" applyAlignment="1">
      <alignment horizontal="right"/>
    </xf>
    <xf numFmtId="43" fontId="8" fillId="0" borderId="0" xfId="89" applyFont="1" applyAlignment="1"/>
    <xf numFmtId="171" fontId="6" fillId="0" borderId="0" xfId="0" applyNumberFormat="1" applyFont="1" applyFill="1" applyAlignment="1">
      <alignment horizontal="left"/>
    </xf>
    <xf numFmtId="277" fontId="6" fillId="0" borderId="0" xfId="325" applyNumberFormat="1" applyFont="1" applyFill="1" applyBorder="1" applyAlignment="1" applyProtection="1">
      <protection locked="0"/>
    </xf>
    <xf numFmtId="277" fontId="6" fillId="0" borderId="0" xfId="325" applyNumberFormat="1" applyFont="1" applyFill="1" applyAlignment="1"/>
    <xf numFmtId="277" fontId="6" fillId="0" borderId="0" xfId="0" applyNumberFormat="1" applyFont="1" applyAlignment="1"/>
    <xf numFmtId="0" fontId="6" fillId="0" borderId="0" xfId="1" applyNumberFormat="1" applyFont="1" applyAlignment="1">
      <alignment horizontal="center"/>
    </xf>
    <xf numFmtId="277" fontId="6" fillId="0" borderId="8" xfId="0" applyNumberFormat="1" applyFont="1" applyBorder="1" applyAlignment="1"/>
    <xf numFmtId="164" fontId="6" fillId="0" borderId="0" xfId="372" applyNumberFormat="1" applyFont="1" applyAlignment="1"/>
    <xf numFmtId="277" fontId="6" fillId="0" borderId="18" xfId="0" applyNumberFormat="1" applyFont="1" applyBorder="1" applyAlignment="1"/>
    <xf numFmtId="0" fontId="6" fillId="0" borderId="0" xfId="325" quotePrefix="1" applyNumberFormat="1" applyFont="1" applyFill="1" applyAlignment="1" applyProtection="1">
      <alignment horizontal="center" vertical="center"/>
      <protection locked="0"/>
    </xf>
    <xf numFmtId="173" fontId="6" fillId="0" borderId="0" xfId="0" quotePrefix="1" applyFont="1" applyAlignment="1">
      <alignment vertical="center"/>
    </xf>
    <xf numFmtId="174" fontId="6" fillId="0" borderId="0" xfId="1" applyNumberFormat="1" applyFont="1" applyFill="1" applyAlignment="1"/>
    <xf numFmtId="173" fontId="0" fillId="0" borderId="0" xfId="0" applyBorder="1" applyAlignment="1" applyProtection="1">
      <protection hidden="1"/>
    </xf>
    <xf numFmtId="173" fontId="0" fillId="0" borderId="6" xfId="0" applyBorder="1" applyAlignment="1" applyProtection="1">
      <protection hidden="1"/>
    </xf>
    <xf numFmtId="173" fontId="0" fillId="0" borderId="19" xfId="0" applyBorder="1" applyAlignment="1" applyProtection="1">
      <protection hidden="1"/>
    </xf>
    <xf numFmtId="173" fontId="0" fillId="0" borderId="8" xfId="0" applyBorder="1" applyAlignment="1" applyProtection="1">
      <protection hidden="1"/>
    </xf>
    <xf numFmtId="173" fontId="0" fillId="0" borderId="3" xfId="0" quotePrefix="1" applyBorder="1" applyAlignment="1" applyProtection="1">
      <protection hidden="1"/>
    </xf>
    <xf numFmtId="173" fontId="0" fillId="0" borderId="3" xfId="0" applyBorder="1" applyAlignment="1" applyProtection="1">
      <protection hidden="1"/>
    </xf>
    <xf numFmtId="14" fontId="0" fillId="0" borderId="3" xfId="0" applyNumberFormat="1" applyBorder="1" applyAlignment="1" applyProtection="1">
      <protection hidden="1"/>
    </xf>
    <xf numFmtId="173" fontId="0" fillId="0" borderId="5" xfId="0" applyBorder="1" applyAlignment="1" applyProtection="1">
      <protection hidden="1"/>
    </xf>
    <xf numFmtId="0" fontId="6" fillId="0" borderId="0" xfId="7" quotePrefix="1" applyFont="1" applyAlignment="1">
      <alignment horizontal="left"/>
    </xf>
    <xf numFmtId="0" fontId="6" fillId="0" borderId="0" xfId="0" applyNumberFormat="1" applyFont="1" applyFill="1" applyAlignment="1" applyProtection="1">
      <alignment horizontal="centerContinuous"/>
      <protection locked="0"/>
    </xf>
    <xf numFmtId="3" fontId="6" fillId="0" borderId="0" xfId="0" applyNumberFormat="1" applyFont="1" applyFill="1" applyAlignment="1">
      <alignment horizontal="centerContinuous"/>
    </xf>
    <xf numFmtId="173" fontId="6" fillId="0" borderId="0" xfId="0" applyFont="1" applyFill="1" applyAlignment="1">
      <alignment horizontal="centerContinuous"/>
    </xf>
    <xf numFmtId="0" fontId="6" fillId="0" borderId="0" xfId="326" applyNumberFormat="1" applyFont="1" applyBorder="1"/>
    <xf numFmtId="0" fontId="6" fillId="0" borderId="0" xfId="325" applyNumberFormat="1" applyFont="1" applyBorder="1" applyProtection="1">
      <protection locked="0"/>
    </xf>
    <xf numFmtId="1" fontId="6" fillId="0" borderId="0" xfId="325" applyNumberFormat="1" applyFont="1" applyBorder="1" applyAlignment="1" applyProtection="1">
      <alignment horizontal="center"/>
      <protection locked="0"/>
    </xf>
    <xf numFmtId="41" fontId="6" fillId="0" borderId="0" xfId="0" applyNumberFormat="1" applyFont="1" applyFill="1" applyBorder="1" applyAlignment="1"/>
    <xf numFmtId="173" fontId="7" fillId="0" borderId="0" xfId="0" applyFont="1" applyAlignment="1">
      <alignment horizontal="center"/>
    </xf>
    <xf numFmtId="0" fontId="12" fillId="0" borderId="0" xfId="1" applyNumberFormat="1" applyFont="1" applyFill="1" applyAlignment="1">
      <alignment horizontal="center"/>
    </xf>
    <xf numFmtId="174" fontId="12" fillId="0" borderId="0" xfId="1" quotePrefix="1" applyNumberFormat="1" applyFont="1" applyFill="1" applyAlignment="1">
      <alignment horizontal="center"/>
    </xf>
    <xf numFmtId="0" fontId="6" fillId="15" borderId="0" xfId="0" applyNumberFormat="1" applyFont="1" applyFill="1" applyAlignment="1"/>
    <xf numFmtId="0" fontId="32" fillId="0" borderId="0" xfId="5" applyFont="1" applyFill="1" applyBorder="1" applyAlignment="1">
      <alignment horizontal="left" indent="1"/>
    </xf>
    <xf numFmtId="173" fontId="107" fillId="0" borderId="0" xfId="0" applyFont="1" applyAlignment="1"/>
    <xf numFmtId="173" fontId="6" fillId="0" borderId="0" xfId="0" applyFont="1" applyAlignment="1">
      <alignment horizontal="center"/>
    </xf>
    <xf numFmtId="0" fontId="96" fillId="0" borderId="0" xfId="7" applyFont="1"/>
    <xf numFmtId="173" fontId="6" fillId="0" borderId="0" xfId="0" quotePrefix="1" applyFont="1" applyAlignment="1">
      <alignment horizontal="center"/>
    </xf>
    <xf numFmtId="173" fontId="90" fillId="0" borderId="0" xfId="0" applyFont="1" applyAlignment="1">
      <alignment horizontal="center"/>
    </xf>
    <xf numFmtId="0" fontId="6" fillId="0" borderId="0" xfId="6" applyFont="1" applyFill="1" applyAlignment="1">
      <alignment horizontal="center"/>
    </xf>
    <xf numFmtId="0" fontId="8" fillId="0" borderId="0" xfId="5" applyFont="1" applyBorder="1" applyAlignment="1">
      <alignment horizontal="left"/>
    </xf>
    <xf numFmtId="0" fontId="8" fillId="0" borderId="0" xfId="7" applyFont="1" applyAlignment="1">
      <alignment horizontal="left"/>
    </xf>
    <xf numFmtId="173" fontId="8" fillId="0" borderId="0" xfId="0" applyFont="1" applyAlignment="1"/>
    <xf numFmtId="175" fontId="8" fillId="0" borderId="12" xfId="7" applyNumberFormat="1" applyFont="1" applyBorder="1" applyAlignment="1">
      <alignment horizontal="center"/>
    </xf>
    <xf numFmtId="173" fontId="98" fillId="0" borderId="0" xfId="0" applyFont="1" applyAlignment="1">
      <alignment horizontal="center"/>
    </xf>
    <xf numFmtId="0" fontId="98" fillId="0" borderId="0" xfId="7" applyFont="1" applyAlignment="1">
      <alignment horizontal="center"/>
    </xf>
    <xf numFmtId="0" fontId="98" fillId="0" borderId="0" xfId="7" applyFont="1" applyBorder="1" applyAlignment="1">
      <alignment horizontal="center"/>
    </xf>
    <xf numFmtId="0" fontId="96" fillId="0" borderId="0" xfId="7" applyFont="1" applyAlignment="1">
      <alignment horizontal="left"/>
    </xf>
    <xf numFmtId="0" fontId="6" fillId="0" borderId="0" xfId="7" applyFont="1" applyAlignment="1">
      <alignment horizontal="center"/>
    </xf>
    <xf numFmtId="0" fontId="6" fillId="0" borderId="0" xfId="7" applyFont="1" applyFill="1" applyAlignment="1">
      <alignment horizontal="center"/>
    </xf>
    <xf numFmtId="0" fontId="6" fillId="0" borderId="0" xfId="5" applyFont="1" applyBorder="1" applyAlignment="1">
      <alignment horizontal="center"/>
    </xf>
    <xf numFmtId="0" fontId="6" fillId="0" borderId="0" xfId="5" applyFont="1" applyFill="1" applyBorder="1" applyAlignment="1">
      <alignment horizontal="center"/>
    </xf>
    <xf numFmtId="0" fontId="6" fillId="0" borderId="0" xfId="0" applyNumberFormat="1" applyFont="1" applyFill="1" applyAlignment="1"/>
    <xf numFmtId="0" fontId="6" fillId="0" borderId="0" xfId="0" quotePrefix="1" applyNumberFormat="1" applyFont="1" applyFill="1" applyAlignment="1" applyProtection="1">
      <alignment horizontal="left"/>
      <protection locked="0"/>
    </xf>
    <xf numFmtId="0" fontId="6" fillId="0" borderId="0" xfId="6" quotePrefix="1" applyFont="1" applyAlignment="1">
      <alignment horizontal="center"/>
    </xf>
    <xf numFmtId="0" fontId="6" fillId="0" borderId="0" xfId="6" applyFont="1" applyAlignment="1">
      <alignment horizontal="center"/>
    </xf>
    <xf numFmtId="173" fontId="90" fillId="0" borderId="6" xfId="0" applyFont="1" applyBorder="1" applyAlignment="1">
      <alignment horizontal="center"/>
    </xf>
    <xf numFmtId="0" fontId="90" fillId="0" borderId="0" xfId="6" applyFont="1" applyAlignment="1">
      <alignment horizontal="center"/>
    </xf>
    <xf numFmtId="0" fontId="90" fillId="0" borderId="0" xfId="7" applyFont="1" applyAlignment="1">
      <alignment horizontal="center"/>
    </xf>
    <xf numFmtId="0" fontId="6" fillId="0" borderId="0" xfId="0" quotePrefix="1" applyNumberFormat="1" applyFont="1" applyFill="1" applyAlignment="1">
      <alignment horizontal="left"/>
    </xf>
    <xf numFmtId="3" fontId="6" fillId="0" borderId="0" xfId="0" quotePrefix="1" applyNumberFormat="1" applyFont="1" applyFill="1" applyAlignment="1"/>
    <xf numFmtId="0" fontId="6" fillId="0" borderId="0" xfId="0" applyNumberFormat="1" applyFont="1" applyFill="1" applyAlignment="1">
      <alignment wrapText="1"/>
    </xf>
    <xf numFmtId="172" fontId="90" fillId="13" borderId="0" xfId="0" applyNumberFormat="1" applyFont="1" applyFill="1" applyAlignment="1">
      <alignment horizontal="center"/>
    </xf>
    <xf numFmtId="173" fontId="6" fillId="13" borderId="0" xfId="0" applyFont="1" applyFill="1" applyAlignment="1">
      <alignment horizontal="left"/>
    </xf>
    <xf numFmtId="0" fontId="6" fillId="13" borderId="1" xfId="0" applyNumberFormat="1" applyFont="1" applyFill="1" applyBorder="1" applyAlignment="1">
      <alignment horizontal="left"/>
    </xf>
    <xf numFmtId="0" fontId="6" fillId="0" borderId="0" xfId="1" applyNumberFormat="1" applyFont="1" applyAlignment="1">
      <alignment horizontal="center" vertical="center"/>
    </xf>
    <xf numFmtId="0" fontId="6" fillId="0" borderId="0" xfId="0" applyNumberFormat="1" applyFont="1" applyFill="1" applyAlignment="1">
      <alignment horizontal="fill"/>
    </xf>
    <xf numFmtId="3" fontId="6" fillId="0" borderId="0" xfId="0" applyNumberFormat="1" applyFont="1" applyFill="1" applyAlignment="1">
      <alignment horizontal="fill"/>
    </xf>
    <xf numFmtId="164" fontId="6" fillId="0" borderId="0" xfId="0" applyNumberFormat="1" applyFont="1" applyFill="1" applyAlignment="1">
      <alignment horizontal="center"/>
    </xf>
    <xf numFmtId="3" fontId="6" fillId="0" borderId="0" xfId="0" applyNumberFormat="1" applyFont="1" applyFill="1" applyAlignment="1">
      <alignment horizontal="left"/>
    </xf>
    <xf numFmtId="173" fontId="31" fillId="0" borderId="0" xfId="0" applyFont="1" applyFill="1" applyAlignment="1"/>
    <xf numFmtId="174" fontId="6" fillId="0" borderId="0" xfId="1" applyNumberFormat="1" applyFont="1" applyFill="1" applyBorder="1"/>
    <xf numFmtId="173" fontId="6" fillId="0" borderId="0" xfId="0" applyFont="1" applyAlignment="1">
      <alignment horizontal="center"/>
    </xf>
    <xf numFmtId="173" fontId="6" fillId="0" borderId="0" xfId="0" applyFont="1" applyAlignment="1">
      <alignment wrapText="1"/>
    </xf>
    <xf numFmtId="0" fontId="6" fillId="0" borderId="0" xfId="7" applyFont="1" applyFill="1" applyAlignment="1">
      <alignment horizontal="left" wrapText="1"/>
    </xf>
    <xf numFmtId="173" fontId="6" fillId="0" borderId="0" xfId="325" applyFont="1" applyFill="1" applyAlignment="1">
      <alignment horizontal="center"/>
    </xf>
    <xf numFmtId="10" fontId="0" fillId="0" borderId="0" xfId="372" applyNumberFormat="1" applyFont="1" applyAlignment="1"/>
    <xf numFmtId="173" fontId="0" fillId="0" borderId="6" xfId="0" applyFont="1" applyFill="1" applyBorder="1" applyAlignment="1"/>
    <xf numFmtId="173" fontId="108" fillId="0" borderId="0" xfId="0" applyFont="1" applyAlignment="1"/>
    <xf numFmtId="42" fontId="6" fillId="0" borderId="0" xfId="6" applyNumberFormat="1" applyFont="1" applyFill="1" applyBorder="1" applyAlignment="1">
      <alignment horizontal="center" vertical="center"/>
    </xf>
    <xf numFmtId="42" fontId="6" fillId="0" borderId="0" xfId="6" applyNumberFormat="1" applyFont="1" applyFill="1" applyAlignment="1">
      <alignment horizontal="center" vertical="center"/>
    </xf>
    <xf numFmtId="49" fontId="8" fillId="13" borderId="0" xfId="0" applyNumberFormat="1" applyFont="1" applyFill="1" applyAlignment="1">
      <alignment horizontal="centerContinuous"/>
    </xf>
    <xf numFmtId="173" fontId="6" fillId="0" borderId="0" xfId="0" applyFont="1" applyFill="1" applyAlignment="1">
      <alignment horizontal="left"/>
    </xf>
    <xf numFmtId="0" fontId="6" fillId="0" borderId="0" xfId="0" applyNumberFormat="1" applyFont="1" applyFill="1" applyAlignment="1">
      <alignment horizontal="left" indent="1"/>
    </xf>
    <xf numFmtId="0" fontId="6" fillId="13" borderId="1" xfId="0" quotePrefix="1" applyNumberFormat="1" applyFont="1" applyFill="1" applyBorder="1" applyAlignment="1" applyProtection="1">
      <alignment horizontal="left"/>
      <protection locked="0"/>
    </xf>
    <xf numFmtId="170" fontId="6" fillId="13" borderId="0" xfId="0" applyNumberFormat="1" applyFont="1" applyFill="1" applyAlignment="1"/>
    <xf numFmtId="42" fontId="6" fillId="13" borderId="0" xfId="0" applyNumberFormat="1" applyFont="1" applyFill="1" applyBorder="1" applyProtection="1"/>
    <xf numFmtId="3" fontId="109" fillId="0" borderId="0" xfId="0" applyNumberFormat="1" applyFont="1" applyFill="1" applyAlignment="1"/>
    <xf numFmtId="3" fontId="109" fillId="0" borderId="0" xfId="0" applyNumberFormat="1" applyFont="1" applyFill="1" applyBorder="1" applyAlignment="1"/>
    <xf numFmtId="15" fontId="9" fillId="0" borderId="0" xfId="15" applyNumberFormat="1" applyFont="1" applyFill="1" applyAlignment="1">
      <alignment horizontal="center"/>
    </xf>
    <xf numFmtId="173" fontId="3" fillId="0" borderId="0" xfId="0" applyFont="1" applyAlignment="1"/>
    <xf numFmtId="164" fontId="6" fillId="0" borderId="0" xfId="11" applyNumberFormat="1" applyFont="1" applyFill="1" applyAlignment="1">
      <alignment horizontal="center"/>
    </xf>
    <xf numFmtId="0" fontId="12" fillId="0" borderId="0" xfId="6" applyFont="1" applyFill="1"/>
    <xf numFmtId="173" fontId="110" fillId="0" borderId="0" xfId="325" applyFont="1" applyFill="1" applyAlignment="1">
      <alignment horizontal="center"/>
    </xf>
    <xf numFmtId="1" fontId="110" fillId="0" borderId="0" xfId="325" applyNumberFormat="1" applyFont="1" applyAlignment="1" applyProtection="1">
      <alignment horizontal="center"/>
      <protection locked="0"/>
    </xf>
    <xf numFmtId="173" fontId="6" fillId="0" borderId="0" xfId="325" applyFont="1" applyFill="1" applyBorder="1" applyAlignment="1"/>
    <xf numFmtId="43" fontId="6" fillId="0" borderId="0" xfId="1" applyFont="1" applyAlignment="1">
      <alignment horizontal="centerContinuous"/>
    </xf>
    <xf numFmtId="173" fontId="0" fillId="0" borderId="0" xfId="0" applyFont="1" applyFill="1" applyAlignment="1">
      <alignment wrapText="1"/>
    </xf>
    <xf numFmtId="1" fontId="6" fillId="0" borderId="0" xfId="0" applyNumberFormat="1" applyFont="1" applyFill="1" applyProtection="1"/>
    <xf numFmtId="3" fontId="6" fillId="0" borderId="0" xfId="0" applyNumberFormat="1" applyFont="1" applyFill="1" applyAlignment="1">
      <alignment horizontal="center"/>
    </xf>
    <xf numFmtId="1" fontId="6" fillId="0" borderId="0" xfId="0" applyNumberFormat="1" applyFont="1" applyFill="1" applyAlignment="1" applyProtection="1"/>
    <xf numFmtId="0" fontId="6" fillId="0" borderId="0" xfId="0" applyNumberFormat="1" applyFont="1" applyFill="1" applyAlignment="1" applyProtection="1">
      <alignment horizontal="right"/>
      <protection locked="0"/>
    </xf>
    <xf numFmtId="0" fontId="6" fillId="0" borderId="0" xfId="0" applyNumberFormat="1" applyFont="1" applyFill="1" applyAlignment="1">
      <alignment horizontal="right"/>
    </xf>
    <xf numFmtId="0" fontId="35" fillId="0" borderId="0" xfId="0" applyNumberFormat="1" applyFont="1" applyFill="1" applyAlignment="1" applyProtection="1">
      <alignment horizontal="left"/>
      <protection locked="0"/>
    </xf>
    <xf numFmtId="173" fontId="6" fillId="13" borderId="0" xfId="0" applyFont="1" applyFill="1" applyAlignment="1">
      <alignment horizontal="center"/>
    </xf>
    <xf numFmtId="0" fontId="6" fillId="0" borderId="0" xfId="0" applyNumberFormat="1" applyFont="1" applyFill="1" applyAlignment="1">
      <alignment horizontal="left" indent="3"/>
    </xf>
    <xf numFmtId="0" fontId="6" fillId="0" borderId="0" xfId="0" applyNumberFormat="1" applyFont="1" applyFill="1" applyAlignment="1">
      <alignment horizontal="center"/>
    </xf>
    <xf numFmtId="173" fontId="6" fillId="13" borderId="0" xfId="0" applyFont="1" applyFill="1" applyAlignment="1">
      <alignment horizontal="center"/>
    </xf>
    <xf numFmtId="173" fontId="6" fillId="0" borderId="0" xfId="0" applyFont="1" applyAlignment="1">
      <alignment wrapText="1"/>
    </xf>
    <xf numFmtId="278" fontId="6" fillId="0" borderId="8" xfId="325" applyNumberFormat="1" applyFont="1" applyFill="1" applyBorder="1" applyAlignment="1" applyProtection="1">
      <protection locked="0"/>
    </xf>
    <xf numFmtId="278" fontId="6" fillId="0" borderId="0" xfId="325" applyNumberFormat="1" applyFont="1" applyFill="1" applyBorder="1" applyAlignment="1" applyProtection="1">
      <protection locked="0"/>
    </xf>
    <xf numFmtId="278" fontId="6" fillId="0" borderId="0" xfId="325" applyNumberFormat="1" applyFont="1" applyBorder="1" applyAlignment="1" applyProtection="1">
      <protection locked="0"/>
    </xf>
    <xf numFmtId="0" fontId="8" fillId="0" borderId="0" xfId="0" applyNumberFormat="1" applyFont="1" applyFill="1"/>
    <xf numFmtId="0" fontId="8" fillId="0" borderId="0" xfId="0" applyNumberFormat="1" applyFont="1" applyFill="1" applyAlignment="1">
      <alignment horizontal="right"/>
    </xf>
    <xf numFmtId="0" fontId="111" fillId="0" borderId="0" xfId="329" applyFont="1" applyAlignment="1">
      <alignment horizontal="centerContinuous"/>
    </xf>
    <xf numFmtId="0" fontId="6" fillId="0" borderId="0" xfId="8" applyFont="1" applyFill="1" applyAlignment="1">
      <alignment horizontal="right"/>
    </xf>
    <xf numFmtId="173" fontId="6" fillId="13" borderId="0" xfId="0" applyFont="1" applyFill="1" applyAlignment="1">
      <alignment horizontal="center"/>
    </xf>
    <xf numFmtId="173" fontId="3" fillId="0" borderId="0" xfId="0" applyFont="1" applyFill="1" applyBorder="1" applyAlignment="1">
      <alignment horizontal="left"/>
    </xf>
    <xf numFmtId="173" fontId="3" fillId="0" borderId="0" xfId="0" applyFont="1" applyFill="1" applyBorder="1" applyAlignment="1">
      <alignment horizontal="left" wrapText="1"/>
    </xf>
    <xf numFmtId="0" fontId="96" fillId="0" borderId="0" xfId="7" applyFont="1" applyFill="1"/>
    <xf numFmtId="173" fontId="12" fillId="0" borderId="6" xfId="0" applyFont="1" applyBorder="1" applyAlignment="1"/>
    <xf numFmtId="173" fontId="0" fillId="0" borderId="6" xfId="0" applyFont="1" applyBorder="1" applyAlignment="1"/>
    <xf numFmtId="0" fontId="6" fillId="0" borderId="0" xfId="7" applyFont="1" applyFill="1" applyAlignment="1"/>
    <xf numFmtId="173" fontId="6" fillId="0" borderId="0" xfId="0" applyFont="1" applyAlignment="1">
      <alignment wrapText="1"/>
    </xf>
    <xf numFmtId="173" fontId="0" fillId="0" borderId="0" xfId="0" applyFont="1" applyFill="1" applyBorder="1" applyAlignment="1">
      <alignment horizontal="left"/>
    </xf>
    <xf numFmtId="173" fontId="3" fillId="0" borderId="0" xfId="0" applyFont="1" applyFill="1" applyBorder="1" applyAlignment="1">
      <alignment horizontal="left"/>
    </xf>
    <xf numFmtId="173" fontId="3" fillId="0" borderId="0" xfId="0" applyFont="1" applyFill="1" applyBorder="1" applyAlignment="1">
      <alignment horizontal="left" wrapText="1"/>
    </xf>
    <xf numFmtId="173" fontId="6" fillId="0" borderId="0" xfId="325" applyFont="1" applyBorder="1" applyAlignment="1"/>
    <xf numFmtId="276" fontId="6" fillId="0" borderId="0" xfId="1" applyNumberFormat="1" applyFont="1" applyFill="1" applyBorder="1" applyAlignment="1">
      <alignment horizontal="center"/>
    </xf>
    <xf numFmtId="173" fontId="6" fillId="0" borderId="0" xfId="325" applyFont="1" applyBorder="1" applyAlignment="1">
      <alignment horizontal="left"/>
    </xf>
    <xf numFmtId="10" fontId="6" fillId="0" borderId="0" xfId="372" applyNumberFormat="1" applyFont="1" applyFill="1" applyBorder="1" applyAlignment="1">
      <alignment horizontal="center"/>
    </xf>
    <xf numFmtId="0" fontId="92" fillId="0" borderId="0" xfId="326" applyFill="1"/>
    <xf numFmtId="0" fontId="12" fillId="0" borderId="0" xfId="326" applyFont="1" applyFill="1"/>
    <xf numFmtId="42" fontId="6" fillId="0" borderId="0" xfId="0" applyNumberFormat="1" applyFont="1" applyFill="1"/>
    <xf numFmtId="0" fontId="96" fillId="0" borderId="0" xfId="0" applyNumberFormat="1" applyFont="1" applyFill="1"/>
    <xf numFmtId="279" fontId="8" fillId="0" borderId="0" xfId="0" applyNumberFormat="1" applyFont="1" applyFill="1" applyAlignment="1"/>
    <xf numFmtId="42" fontId="8" fillId="0" borderId="0" xfId="0" applyNumberFormat="1" applyFont="1" applyFill="1" applyAlignment="1"/>
    <xf numFmtId="0" fontId="6" fillId="0" borderId="1" xfId="0" applyNumberFormat="1" applyFont="1" applyFill="1" applyBorder="1" applyAlignment="1">
      <alignment horizontal="left"/>
    </xf>
    <xf numFmtId="3" fontId="6" fillId="0" borderId="1" xfId="0" applyNumberFormat="1" applyFont="1" applyFill="1" applyBorder="1" applyAlignment="1"/>
    <xf numFmtId="0" fontId="6" fillId="0" borderId="1" xfId="0" applyNumberFormat="1" applyFont="1" applyFill="1" applyBorder="1" applyAlignment="1" applyProtection="1">
      <alignment horizontal="center"/>
      <protection locked="0"/>
    </xf>
    <xf numFmtId="0" fontId="6" fillId="0" borderId="0" xfId="0" applyNumberFormat="1" applyFont="1" applyFill="1" applyBorder="1" applyAlignment="1" applyProtection="1">
      <alignment horizontal="left"/>
      <protection locked="0"/>
    </xf>
    <xf numFmtId="10" fontId="6" fillId="0" borderId="0" xfId="0" applyNumberFormat="1" applyFont="1" applyFill="1" applyAlignment="1"/>
    <xf numFmtId="169" fontId="6" fillId="0" borderId="0" xfId="0" applyNumberFormat="1" applyFont="1" applyFill="1" applyAlignment="1"/>
    <xf numFmtId="164" fontId="6" fillId="0" borderId="0" xfId="372" applyNumberFormat="1" applyFont="1" applyFill="1" applyAlignment="1"/>
    <xf numFmtId="37" fontId="6" fillId="0" borderId="1" xfId="0" applyNumberFormat="1" applyFont="1" applyFill="1" applyBorder="1" applyAlignment="1"/>
    <xf numFmtId="164" fontId="8" fillId="0" borderId="0" xfId="372" applyNumberFormat="1" applyFont="1" applyFill="1" applyAlignment="1"/>
    <xf numFmtId="37" fontId="6" fillId="0" borderId="0" xfId="0" applyNumberFormat="1" applyFont="1" applyFill="1" applyBorder="1" applyAlignment="1"/>
    <xf numFmtId="3" fontId="8" fillId="0" borderId="0" xfId="0" applyNumberFormat="1" applyFont="1" applyFill="1" applyAlignment="1">
      <alignment horizontal="right"/>
    </xf>
    <xf numFmtId="0" fontId="6" fillId="0" borderId="0" xfId="0" applyNumberFormat="1" applyFont="1" applyFill="1" applyAlignment="1">
      <alignment horizontal="left"/>
    </xf>
    <xf numFmtId="0" fontId="6" fillId="0" borderId="0" xfId="0" applyNumberFormat="1" applyFont="1" applyFill="1" applyAlignment="1" applyProtection="1">
      <alignment horizontal="left"/>
      <protection locked="0"/>
    </xf>
    <xf numFmtId="0" fontId="24" fillId="0" borderId="0" xfId="0" applyNumberFormat="1" applyFont="1" applyFill="1" applyAlignment="1" applyProtection="1">
      <alignment horizontal="left"/>
      <protection locked="0"/>
    </xf>
    <xf numFmtId="173" fontId="105" fillId="0" borderId="0" xfId="0" applyFont="1" applyFill="1" applyBorder="1" applyAlignment="1"/>
    <xf numFmtId="0" fontId="6" fillId="0" borderId="0" xfId="6" applyFont="1" applyFill="1"/>
    <xf numFmtId="0" fontId="6" fillId="0" borderId="0" xfId="5" applyFont="1" applyFill="1" applyBorder="1" applyAlignment="1"/>
    <xf numFmtId="0" fontId="6" fillId="0" borderId="0" xfId="5" quotePrefix="1" applyFont="1" applyFill="1" applyBorder="1" applyAlignment="1"/>
    <xf numFmtId="0" fontId="6" fillId="0" borderId="0" xfId="7" quotePrefix="1" applyFont="1" applyFill="1" applyAlignment="1">
      <alignment vertical="center"/>
    </xf>
    <xf numFmtId="0" fontId="6" fillId="0" borderId="0" xfId="7" quotePrefix="1" applyFont="1" applyFill="1" applyAlignment="1"/>
    <xf numFmtId="0" fontId="0" fillId="0" borderId="0" xfId="325" applyNumberFormat="1" applyFont="1" applyFill="1" applyAlignment="1" applyProtection="1">
      <alignment horizontal="center"/>
      <protection locked="0"/>
    </xf>
    <xf numFmtId="173" fontId="9" fillId="0" borderId="0" xfId="325" applyFont="1" applyFill="1" applyAlignment="1">
      <alignment horizontal="center"/>
    </xf>
    <xf numFmtId="49" fontId="8" fillId="0" borderId="0" xfId="325" applyNumberFormat="1" applyFont="1" applyAlignment="1" applyProtection="1">
      <alignment horizontal="centerContinuous"/>
      <protection locked="0"/>
    </xf>
    <xf numFmtId="43" fontId="6" fillId="0" borderId="0" xfId="1" applyFont="1" applyFill="1" applyBorder="1" applyAlignment="1">
      <alignment horizontal="left" indent="1"/>
    </xf>
    <xf numFmtId="43" fontId="6" fillId="0" borderId="0" xfId="1" applyFont="1" applyBorder="1" applyAlignment="1">
      <alignment horizontal="left" indent="1"/>
    </xf>
    <xf numFmtId="43" fontId="6" fillId="0" borderId="0" xfId="1" applyFont="1" applyFill="1" applyAlignment="1">
      <alignment horizontal="left" indent="1"/>
    </xf>
    <xf numFmtId="173" fontId="0" fillId="0" borderId="0" xfId="0" applyFont="1" applyFill="1" applyBorder="1" applyAlignment="1">
      <alignment horizontal="center" vertical="center"/>
    </xf>
    <xf numFmtId="173" fontId="90" fillId="0" borderId="6" xfId="0" applyFont="1" applyFill="1" applyBorder="1" applyAlignment="1">
      <alignment horizontal="center"/>
    </xf>
    <xf numFmtId="164" fontId="6" fillId="0" borderId="0" xfId="0" applyNumberFormat="1" applyFont="1" applyFill="1" applyAlignment="1">
      <alignment horizontal="left"/>
    </xf>
    <xf numFmtId="164" fontId="96" fillId="0" borderId="0" xfId="0" applyNumberFormat="1" applyFont="1" applyFill="1" applyAlignment="1">
      <alignment horizontal="left"/>
    </xf>
    <xf numFmtId="10" fontId="6" fillId="0" borderId="0" xfId="372" applyNumberFormat="1" applyFont="1" applyFill="1" applyAlignment="1"/>
    <xf numFmtId="43" fontId="6" fillId="0" borderId="0" xfId="1" applyFont="1" applyFill="1"/>
    <xf numFmtId="173" fontId="6" fillId="0" borderId="0" xfId="0" quotePrefix="1" applyFont="1" applyFill="1" applyAlignment="1"/>
    <xf numFmtId="0" fontId="6" fillId="0" borderId="0" xfId="0" applyNumberFormat="1" applyFont="1" applyFill="1" applyAlignment="1">
      <alignment horizontal="centerContinuous"/>
    </xf>
    <xf numFmtId="174" fontId="0" fillId="0" borderId="0" xfId="1" applyNumberFormat="1" applyFont="1" applyFill="1" applyAlignment="1"/>
    <xf numFmtId="173" fontId="108" fillId="0" borderId="0" xfId="0" applyFont="1" applyFill="1" applyAlignment="1"/>
    <xf numFmtId="173" fontId="6" fillId="0" borderId="0" xfId="0" applyFont="1" applyFill="1" applyAlignment="1"/>
    <xf numFmtId="173" fontId="0" fillId="0" borderId="0" xfId="0" applyFont="1" applyFill="1" applyBorder="1" applyAlignment="1"/>
    <xf numFmtId="173" fontId="0" fillId="0" borderId="0" xfId="0" applyFont="1" applyAlignment="1"/>
    <xf numFmtId="173" fontId="0" fillId="0" borderId="0" xfId="0" applyFont="1" applyFill="1" applyAlignment="1"/>
    <xf numFmtId="0" fontId="2" fillId="0" borderId="0" xfId="329" applyFill="1"/>
    <xf numFmtId="0" fontId="6" fillId="0" borderId="0" xfId="0" applyNumberFormat="1" applyFont="1" applyFill="1"/>
    <xf numFmtId="3" fontId="6" fillId="0" borderId="0" xfId="0" applyNumberFormat="1" applyFont="1" applyFill="1" applyAlignment="1"/>
    <xf numFmtId="0" fontId="6" fillId="0" borderId="0" xfId="0" applyNumberFormat="1" applyFont="1" applyFill="1" applyAlignment="1" applyProtection="1">
      <alignment horizontal="center"/>
      <protection locked="0"/>
    </xf>
    <xf numFmtId="166" fontId="6" fillId="0" borderId="0" xfId="0" applyNumberFormat="1" applyFont="1" applyFill="1" applyAlignment="1"/>
    <xf numFmtId="37" fontId="6" fillId="0" borderId="0" xfId="0" applyNumberFormat="1" applyFont="1" applyFill="1" applyAlignment="1"/>
    <xf numFmtId="173" fontId="0" fillId="0" borderId="0" xfId="0" applyFill="1" applyAlignment="1"/>
    <xf numFmtId="173" fontId="12" fillId="0" borderId="0" xfId="0" quotePrefix="1" applyFont="1" applyFill="1" applyAlignment="1"/>
    <xf numFmtId="173" fontId="6" fillId="0" borderId="0" xfId="0" applyFont="1" applyFill="1" applyAlignment="1">
      <alignment horizontal="centerContinuous"/>
    </xf>
    <xf numFmtId="0" fontId="6" fillId="0" borderId="0" xfId="0" applyNumberFormat="1" applyFont="1" applyFill="1" applyAlignment="1"/>
    <xf numFmtId="164" fontId="6" fillId="0" borderId="0" xfId="0" applyNumberFormat="1" applyFont="1" applyFill="1" applyAlignment="1">
      <alignment horizontal="center"/>
    </xf>
    <xf numFmtId="3" fontId="6" fillId="0" borderId="0" xfId="0" applyNumberFormat="1" applyFont="1" applyFill="1" applyAlignment="1">
      <alignment horizontal="left"/>
    </xf>
    <xf numFmtId="3" fontId="6" fillId="0" borderId="0" xfId="0" applyNumberFormat="1" applyFont="1" applyFill="1" applyAlignment="1">
      <alignment horizontal="center"/>
    </xf>
    <xf numFmtId="0" fontId="6" fillId="0" borderId="0" xfId="0" applyNumberFormat="1" applyFont="1" applyFill="1" applyAlignment="1" applyProtection="1">
      <alignment horizontal="right"/>
      <protection locked="0"/>
    </xf>
    <xf numFmtId="0" fontId="6" fillId="0" borderId="0" xfId="0" applyNumberFormat="1" applyFont="1" applyFill="1" applyAlignment="1">
      <alignment horizontal="right"/>
    </xf>
    <xf numFmtId="166" fontId="6" fillId="0" borderId="0" xfId="0" applyNumberFormat="1" applyFont="1" applyFill="1" applyAlignment="1">
      <alignment horizontal="right"/>
    </xf>
    <xf numFmtId="174" fontId="12" fillId="0" borderId="0" xfId="89" applyNumberFormat="1" applyFont="1" applyFill="1" applyAlignment="1"/>
    <xf numFmtId="0" fontId="6" fillId="0" borderId="0" xfId="0" applyNumberFormat="1" applyFont="1" applyFill="1" applyProtection="1">
      <protection locked="0"/>
    </xf>
    <xf numFmtId="3" fontId="6" fillId="0" borderId="0" xfId="0" applyNumberFormat="1" applyFont="1" applyFill="1" applyAlignment="1"/>
    <xf numFmtId="0" fontId="6" fillId="0" borderId="0" xfId="0" applyNumberFormat="1" applyFont="1" applyFill="1" applyAlignment="1" applyProtection="1">
      <protection locked="0"/>
    </xf>
    <xf numFmtId="0" fontId="13" fillId="0" borderId="0" xfId="10" applyFont="1" applyFill="1" applyAlignment="1">
      <alignment horizontal="centerContinuous"/>
    </xf>
    <xf numFmtId="0" fontId="12" fillId="0" borderId="0" xfId="10" applyNumberFormat="1" applyFont="1" applyAlignment="1">
      <alignment horizontal="left" indent="1"/>
    </xf>
    <xf numFmtId="0" fontId="0" fillId="0" borderId="0" xfId="0" applyNumberFormat="1" applyFont="1" applyAlignment="1"/>
    <xf numFmtId="0" fontId="12" fillId="0" borderId="0" xfId="0" quotePrefix="1" applyNumberFormat="1" applyFont="1" applyFill="1" applyAlignment="1"/>
    <xf numFmtId="0" fontId="13" fillId="0" borderId="0" xfId="10" applyFont="1" applyAlignment="1">
      <alignment horizontal="center"/>
    </xf>
    <xf numFmtId="173" fontId="0" fillId="0" borderId="0" xfId="0" quotePrefix="1" applyFont="1" applyFill="1" applyAlignment="1">
      <alignment horizontal="center"/>
    </xf>
    <xf numFmtId="173" fontId="0" fillId="0" borderId="0" xfId="0" quotePrefix="1" applyFont="1" applyAlignment="1">
      <alignment horizontal="center"/>
    </xf>
    <xf numFmtId="174" fontId="6" fillId="0" borderId="12" xfId="1" applyNumberFormat="1" applyFont="1" applyFill="1" applyBorder="1" applyAlignment="1"/>
    <xf numFmtId="174" fontId="6" fillId="0" borderId="22" xfId="1" applyNumberFormat="1" applyFont="1" applyFill="1" applyBorder="1" applyAlignment="1"/>
    <xf numFmtId="3" fontId="8" fillId="0" borderId="0" xfId="0" applyNumberFormat="1" applyFont="1" applyBorder="1" applyAlignment="1">
      <alignment horizontal="center"/>
    </xf>
    <xf numFmtId="0" fontId="6" fillId="0" borderId="0" xfId="15" applyFont="1" applyFill="1" applyAlignment="1">
      <alignment horizontal="center"/>
    </xf>
    <xf numFmtId="15" fontId="6" fillId="0" borderId="0" xfId="15" quotePrefix="1" applyNumberFormat="1" applyFont="1" applyFill="1" applyAlignment="1">
      <alignment horizontal="center"/>
    </xf>
    <xf numFmtId="169" fontId="8" fillId="0" borderId="0" xfId="0" applyNumberFormat="1" applyFont="1" applyFill="1" applyAlignment="1">
      <alignment horizontal="right"/>
    </xf>
    <xf numFmtId="173" fontId="6" fillId="0" borderId="0" xfId="0" applyFont="1" applyFill="1" applyAlignment="1">
      <alignment wrapText="1"/>
    </xf>
    <xf numFmtId="173" fontId="6" fillId="13" borderId="1" xfId="0" applyFont="1" applyFill="1" applyBorder="1" applyAlignment="1">
      <alignment horizontal="center"/>
    </xf>
    <xf numFmtId="0" fontId="9" fillId="13" borderId="1" xfId="0" applyNumberFormat="1" applyFont="1" applyFill="1" applyBorder="1" applyAlignment="1" applyProtection="1">
      <alignment horizontal="center"/>
      <protection locked="0"/>
    </xf>
    <xf numFmtId="0" fontId="6" fillId="0" borderId="6" xfId="6" quotePrefix="1" applyFont="1" applyBorder="1"/>
    <xf numFmtId="0" fontId="6" fillId="0" borderId="6" xfId="6" applyFont="1" applyBorder="1"/>
    <xf numFmtId="0" fontId="6" fillId="0" borderId="0" xfId="6" applyFont="1" applyFill="1" applyBorder="1"/>
    <xf numFmtId="0" fontId="6" fillId="0" borderId="0" xfId="6" quotePrefix="1" applyFont="1" applyFill="1" applyBorder="1"/>
    <xf numFmtId="0" fontId="8" fillId="0" borderId="0" xfId="6" applyFont="1" applyFill="1"/>
    <xf numFmtId="0" fontId="111" fillId="0" borderId="0" xfId="329" quotePrefix="1" applyFont="1" applyAlignment="1">
      <alignment horizontal="center"/>
    </xf>
    <xf numFmtId="0" fontId="6" fillId="0" borderId="0" xfId="326" quotePrefix="1" applyFont="1" applyFill="1" applyAlignment="1">
      <alignment horizontal="center" vertical="center"/>
    </xf>
    <xf numFmtId="0" fontId="6" fillId="0" borderId="6" xfId="6" quotePrefix="1" applyFont="1" applyBorder="1" applyAlignment="1">
      <alignment horizontal="center"/>
    </xf>
    <xf numFmtId="0" fontId="6" fillId="0" borderId="6" xfId="15" applyFont="1" applyFill="1" applyBorder="1"/>
    <xf numFmtId="0" fontId="112" fillId="0" borderId="6" xfId="0" applyNumberFormat="1" applyFont="1" applyBorder="1"/>
    <xf numFmtId="0" fontId="6" fillId="0" borderId="0" xfId="0" quotePrefix="1" applyNumberFormat="1" applyFont="1" applyAlignment="1">
      <alignment horizontal="center"/>
    </xf>
    <xf numFmtId="0" fontId="6" fillId="0" borderId="0" xfId="378" applyFont="1" applyFill="1" applyBorder="1"/>
    <xf numFmtId="0" fontId="112" fillId="0" borderId="0" xfId="0" applyNumberFormat="1" applyFont="1"/>
    <xf numFmtId="0" fontId="6" fillId="0" borderId="0" xfId="378" applyFont="1" applyFill="1"/>
    <xf numFmtId="172" fontId="6" fillId="0" borderId="0" xfId="0" applyNumberFormat="1" applyFont="1" applyFill="1" applyAlignment="1"/>
    <xf numFmtId="37" fontId="6" fillId="0" borderId="0" xfId="0" applyNumberFormat="1" applyFont="1" applyFill="1" applyBorder="1" applyProtection="1">
      <protection locked="0"/>
    </xf>
    <xf numFmtId="173" fontId="6" fillId="0" borderId="0" xfId="0" applyFont="1" applyFill="1" applyBorder="1" applyAlignment="1">
      <alignment horizontal="left"/>
    </xf>
    <xf numFmtId="173" fontId="8" fillId="0" borderId="11" xfId="0" applyFont="1" applyFill="1" applyBorder="1" applyAlignment="1">
      <alignment horizontal="center" wrapText="1"/>
    </xf>
    <xf numFmtId="173" fontId="8" fillId="0" borderId="12" xfId="0" applyFont="1" applyFill="1" applyBorder="1" applyAlignment="1"/>
    <xf numFmtId="173" fontId="8" fillId="0" borderId="12" xfId="0" applyFont="1" applyFill="1" applyBorder="1" applyAlignment="1">
      <alignment horizontal="center" wrapText="1"/>
    </xf>
    <xf numFmtId="173" fontId="8" fillId="0" borderId="10" xfId="0" applyFont="1" applyFill="1" applyBorder="1" applyAlignment="1">
      <alignment horizontal="center" wrapText="1"/>
    </xf>
    <xf numFmtId="173" fontId="6" fillId="0" borderId="13" xfId="0" applyFont="1" applyFill="1" applyBorder="1" applyAlignment="1"/>
    <xf numFmtId="173" fontId="6" fillId="0" borderId="3" xfId="0" applyFont="1" applyFill="1" applyBorder="1" applyAlignment="1"/>
    <xf numFmtId="173" fontId="12" fillId="0" borderId="13" xfId="0" applyFont="1" applyFill="1" applyBorder="1" applyAlignment="1"/>
    <xf numFmtId="173" fontId="6" fillId="0" borderId="5" xfId="0" applyFont="1" applyFill="1" applyBorder="1" applyAlignment="1"/>
    <xf numFmtId="173" fontId="6" fillId="0" borderId="6" xfId="0" applyFont="1" applyFill="1" applyBorder="1" applyAlignment="1"/>
    <xf numFmtId="173" fontId="12" fillId="0" borderId="6" xfId="0" applyFont="1" applyFill="1" applyBorder="1" applyAlignment="1"/>
    <xf numFmtId="173" fontId="12" fillId="0" borderId="9" xfId="0" applyFont="1" applyFill="1" applyBorder="1" applyAlignment="1"/>
    <xf numFmtId="173" fontId="113" fillId="0" borderId="0" xfId="0" applyFont="1" applyFill="1" applyBorder="1" applyAlignment="1"/>
    <xf numFmtId="173" fontId="6" fillId="0" borderId="0" xfId="0" applyFont="1" applyFill="1" applyBorder="1" applyAlignment="1">
      <alignment horizontal="center" vertical="top"/>
    </xf>
    <xf numFmtId="0" fontId="6" fillId="0" borderId="0" xfId="1" applyNumberFormat="1" applyFont="1" applyFill="1" applyAlignment="1">
      <alignment horizontal="center"/>
    </xf>
    <xf numFmtId="277" fontId="6" fillId="0" borderId="0" xfId="0" applyNumberFormat="1" applyFont="1" applyFill="1" applyAlignment="1"/>
    <xf numFmtId="277" fontId="6" fillId="0" borderId="18" xfId="0" applyNumberFormat="1" applyFont="1" applyFill="1" applyBorder="1" applyAlignment="1"/>
    <xf numFmtId="277" fontId="6" fillId="0" borderId="0" xfId="0" applyNumberFormat="1" applyFont="1" applyFill="1" applyBorder="1" applyAlignment="1"/>
    <xf numFmtId="173" fontId="6" fillId="0" borderId="0" xfId="0" quotePrefix="1" applyFont="1" applyFill="1" applyAlignment="1">
      <alignment vertical="center"/>
    </xf>
    <xf numFmtId="0" fontId="111" fillId="0" borderId="0" xfId="329" applyFont="1" applyFill="1" applyAlignment="1">
      <alignment horizontal="centerContinuous"/>
    </xf>
    <xf numFmtId="173" fontId="7" fillId="0" borderId="0" xfId="0" applyFont="1" applyFill="1" applyAlignment="1">
      <alignment horizontal="center"/>
    </xf>
    <xf numFmtId="173" fontId="6" fillId="0" borderId="0" xfId="0" applyNumberFormat="1" applyFont="1" applyFill="1" applyAlignment="1">
      <alignment wrapText="1"/>
    </xf>
    <xf numFmtId="173" fontId="6" fillId="0" borderId="8" xfId="0" applyFont="1" applyFill="1" applyBorder="1" applyAlignment="1"/>
    <xf numFmtId="0" fontId="111" fillId="0" borderId="0" xfId="329" applyFont="1"/>
    <xf numFmtId="0" fontId="111" fillId="0" borderId="0" xfId="329" applyFont="1" applyFill="1"/>
    <xf numFmtId="0" fontId="111" fillId="0" borderId="0" xfId="329" applyFont="1" applyAlignment="1">
      <alignment horizontal="center"/>
    </xf>
    <xf numFmtId="0" fontId="111" fillId="0" borderId="0" xfId="329" applyFont="1" applyFill="1" applyAlignment="1">
      <alignment horizontal="center"/>
    </xf>
    <xf numFmtId="0" fontId="114" fillId="0" borderId="0" xfId="329" applyFont="1" applyAlignment="1">
      <alignment horizontal="center"/>
    </xf>
    <xf numFmtId="0" fontId="114" fillId="0" borderId="0" xfId="329" applyFont="1" applyFill="1" applyAlignment="1">
      <alignment horizontal="center"/>
    </xf>
    <xf numFmtId="0" fontId="111" fillId="0" borderId="0" xfId="329" quotePrefix="1" applyFont="1" applyFill="1" applyAlignment="1">
      <alignment horizontal="center"/>
    </xf>
    <xf numFmtId="0" fontId="115" fillId="0" borderId="0" xfId="329" applyFont="1" applyAlignment="1">
      <alignment horizontal="centerContinuous"/>
    </xf>
    <xf numFmtId="2" fontId="111" fillId="0" borderId="0" xfId="329" applyNumberFormat="1" applyFont="1" applyFill="1"/>
    <xf numFmtId="276" fontId="111" fillId="0" borderId="0" xfId="1" applyNumberFormat="1" applyFont="1" applyFill="1"/>
    <xf numFmtId="0" fontId="8" fillId="0" borderId="0" xfId="8" applyFont="1" applyAlignment="1">
      <alignment horizontal="centerContinuous"/>
    </xf>
    <xf numFmtId="0" fontId="18" fillId="0" borderId="0" xfId="8" applyFont="1" applyAlignment="1">
      <alignment horizontal="left"/>
    </xf>
    <xf numFmtId="0" fontId="6" fillId="0" borderId="0" xfId="8" applyFont="1"/>
    <xf numFmtId="0" fontId="17" fillId="0" borderId="0" xfId="8" applyFont="1" applyAlignment="1">
      <alignment horizontal="left"/>
    </xf>
    <xf numFmtId="173" fontId="90" fillId="0" borderId="0" xfId="0" applyFont="1" applyAlignment="1">
      <alignment horizontal="center" wrapText="1"/>
    </xf>
    <xf numFmtId="0" fontId="6" fillId="0" borderId="0" xfId="8" applyFont="1" applyAlignment="1">
      <alignment horizontal="center"/>
    </xf>
    <xf numFmtId="0" fontId="23" fillId="0" borderId="0" xfId="8" applyFont="1" applyBorder="1" applyAlignment="1">
      <alignment horizontal="center"/>
    </xf>
    <xf numFmtId="0" fontId="90" fillId="0" borderId="0" xfId="8" applyFont="1" applyAlignment="1">
      <alignment horizontal="center"/>
    </xf>
    <xf numFmtId="10" fontId="6" fillId="0" borderId="0" xfId="11" applyNumberFormat="1" applyFont="1" applyFill="1"/>
    <xf numFmtId="0" fontId="6" fillId="0" borderId="0" xfId="8" quotePrefix="1" applyFont="1"/>
    <xf numFmtId="0" fontId="6" fillId="0" borderId="0" xfId="8" applyFont="1" applyBorder="1"/>
    <xf numFmtId="10" fontId="23" fillId="0" borderId="0" xfId="11" applyNumberFormat="1" applyFont="1" applyFill="1" applyBorder="1"/>
    <xf numFmtId="175" fontId="30" fillId="0" borderId="0" xfId="327" applyNumberFormat="1" applyFont="1" applyFill="1" applyBorder="1" applyAlignment="1">
      <alignment vertical="center"/>
    </xf>
    <xf numFmtId="10" fontId="30" fillId="0" borderId="0" xfId="8" applyNumberFormat="1" applyFont="1" applyFill="1" applyBorder="1" applyAlignment="1">
      <alignment vertical="center"/>
    </xf>
    <xf numFmtId="175" fontId="6" fillId="0" borderId="18" xfId="327" quotePrefix="1" applyNumberFormat="1" applyFont="1" applyBorder="1"/>
    <xf numFmtId="0" fontId="6" fillId="0" borderId="6" xfId="8" applyFont="1" applyFill="1" applyBorder="1"/>
    <xf numFmtId="41" fontId="6" fillId="0" borderId="6" xfId="13" applyNumberFormat="1" applyFont="1" applyBorder="1"/>
    <xf numFmtId="41" fontId="6" fillId="0" borderId="0" xfId="13" applyNumberFormat="1" applyFont="1" applyBorder="1"/>
    <xf numFmtId="0" fontId="6" fillId="0" borderId="0" xfId="8" applyFont="1" applyFill="1" applyBorder="1"/>
    <xf numFmtId="41" fontId="6" fillId="0" borderId="0" xfId="13" applyNumberFormat="1" applyFont="1" applyFill="1" applyBorder="1"/>
    <xf numFmtId="41" fontId="96" fillId="0" borderId="0" xfId="13" quotePrefix="1" applyNumberFormat="1" applyFont="1" applyFill="1" applyBorder="1"/>
    <xf numFmtId="41" fontId="32" fillId="0" borderId="0" xfId="8" applyNumberFormat="1" applyFont="1" applyFill="1"/>
    <xf numFmtId="0" fontId="6" fillId="0" borderId="0" xfId="8" quotePrefix="1" applyFont="1" applyFill="1"/>
    <xf numFmtId="0" fontId="6" fillId="0" borderId="0" xfId="8" applyFont="1" applyFill="1"/>
    <xf numFmtId="42" fontId="30" fillId="0" borderId="0" xfId="7" applyNumberFormat="1" applyFont="1" applyFill="1" applyAlignment="1">
      <alignment horizontal="left" vertical="center"/>
    </xf>
    <xf numFmtId="37" fontId="6" fillId="0" borderId="0" xfId="7" applyNumberFormat="1" applyFont="1" applyFill="1"/>
    <xf numFmtId="37" fontId="6" fillId="0" borderId="0" xfId="7" applyNumberFormat="1" applyFont="1" applyFill="1" applyBorder="1"/>
    <xf numFmtId="0" fontId="6" fillId="0" borderId="0" xfId="6" applyFont="1" applyAlignment="1">
      <alignment horizontal="centerContinuous"/>
    </xf>
    <xf numFmtId="0" fontId="7" fillId="0" borderId="0" xfId="6" applyFont="1"/>
    <xf numFmtId="0" fontId="8" fillId="0" borderId="0" xfId="7" applyFont="1"/>
    <xf numFmtId="0" fontId="8" fillId="0" borderId="6" xfId="7" applyFont="1" applyFill="1" applyBorder="1" applyAlignment="1">
      <alignment horizontal="center"/>
    </xf>
    <xf numFmtId="164" fontId="8" fillId="0" borderId="0" xfId="11" applyNumberFormat="1" applyFont="1" applyFill="1" applyBorder="1" applyAlignment="1">
      <alignment horizontal="right"/>
    </xf>
    <xf numFmtId="175" fontId="6" fillId="0" borderId="0" xfId="327" applyNumberFormat="1" applyFont="1" applyFill="1" applyBorder="1" applyProtection="1">
      <protection locked="0"/>
    </xf>
    <xf numFmtId="0" fontId="6" fillId="0" borderId="0" xfId="9" applyFont="1" applyFill="1"/>
    <xf numFmtId="0" fontId="6" fillId="0" borderId="0" xfId="15" applyFont="1" applyFill="1"/>
    <xf numFmtId="0" fontId="6" fillId="0" borderId="0" xfId="15" applyFont="1" applyFill="1" applyBorder="1"/>
    <xf numFmtId="15" fontId="6" fillId="0" borderId="0" xfId="15" applyNumberFormat="1" applyFont="1" applyFill="1" applyAlignment="1">
      <alignment horizontal="center"/>
    </xf>
    <xf numFmtId="0" fontId="8" fillId="0" borderId="0" xfId="15" applyFont="1" applyFill="1"/>
    <xf numFmtId="0" fontId="112" fillId="0" borderId="0" xfId="0" applyNumberFormat="1" applyFont="1" applyAlignment="1">
      <alignment horizontal="center"/>
    </xf>
    <xf numFmtId="164" fontId="6" fillId="0" borderId="0" xfId="0" applyNumberFormat="1" applyFont="1"/>
    <xf numFmtId="37" fontId="6" fillId="0" borderId="0" xfId="0" applyNumberFormat="1" applyFont="1" applyFill="1"/>
    <xf numFmtId="41" fontId="30" fillId="0" borderId="0" xfId="8" applyNumberFormat="1" applyFont="1" applyFill="1" applyBorder="1" applyAlignment="1">
      <alignment vertical="center"/>
    </xf>
    <xf numFmtId="42" fontId="6" fillId="0" borderId="2" xfId="7" applyNumberFormat="1" applyFont="1" applyFill="1" applyBorder="1"/>
    <xf numFmtId="42" fontId="6" fillId="0" borderId="0" xfId="7" applyNumberFormat="1" applyFont="1" applyFill="1" applyBorder="1"/>
    <xf numFmtId="175" fontId="30" fillId="0" borderId="2" xfId="327" applyNumberFormat="1" applyFont="1" applyBorder="1" applyAlignment="1">
      <alignment horizontal="left" vertical="center"/>
    </xf>
    <xf numFmtId="175" fontId="6" fillId="0" borderId="0" xfId="12" applyNumberFormat="1" applyFont="1" applyFill="1" applyBorder="1" applyAlignment="1"/>
    <xf numFmtId="0" fontId="6" fillId="0" borderId="6" xfId="326" applyFont="1" applyBorder="1"/>
    <xf numFmtId="173" fontId="6" fillId="0" borderId="6" xfId="325" applyFont="1" applyBorder="1" applyAlignment="1"/>
    <xf numFmtId="0" fontId="104" fillId="0" borderId="0" xfId="0" applyNumberFormat="1" applyFont="1" applyFill="1"/>
    <xf numFmtId="173" fontId="3" fillId="0" borderId="0" xfId="0" applyFont="1" applyFill="1" applyAlignment="1"/>
    <xf numFmtId="0" fontId="6" fillId="0" borderId="0" xfId="381" applyNumberFormat="1" applyFont="1" applyFill="1"/>
    <xf numFmtId="3" fontId="6" fillId="0" borderId="0" xfId="325" applyNumberFormat="1" applyFont="1" applyFill="1"/>
    <xf numFmtId="280" fontId="6" fillId="0" borderId="0" xfId="1" applyNumberFormat="1" applyFont="1"/>
    <xf numFmtId="175" fontId="6" fillId="0" borderId="0" xfId="7" applyNumberFormat="1" applyFont="1" applyFill="1" applyBorder="1"/>
    <xf numFmtId="174" fontId="0" fillId="0" borderId="0" xfId="1" applyNumberFormat="1" applyFont="1" applyAlignment="1"/>
    <xf numFmtId="174" fontId="10" fillId="0" borderId="0" xfId="1" applyNumberFormat="1" applyFont="1" applyFill="1" applyAlignment="1"/>
    <xf numFmtId="1" fontId="0" fillId="0" borderId="0" xfId="0" applyNumberFormat="1" applyFont="1" applyFill="1" applyAlignment="1"/>
    <xf numFmtId="174" fontId="12" fillId="0" borderId="2" xfId="1" applyNumberFormat="1" applyFont="1" applyFill="1" applyBorder="1" applyAlignment="1"/>
    <xf numFmtId="0" fontId="12" fillId="0" borderId="0" xfId="10" applyNumberFormat="1" applyFont="1" applyAlignment="1">
      <alignment horizontal="left"/>
    </xf>
    <xf numFmtId="173" fontId="12" fillId="0" borderId="0" xfId="0" applyFont="1" applyAlignment="1">
      <alignment horizontal="left" indent="1"/>
    </xf>
    <xf numFmtId="174" fontId="12" fillId="0" borderId="0" xfId="1" applyNumberFormat="1" applyFont="1" applyAlignment="1"/>
    <xf numFmtId="175" fontId="6" fillId="0" borderId="0" xfId="12" applyNumberFormat="1" applyFont="1" applyFill="1" applyProtection="1">
      <protection locked="0"/>
    </xf>
    <xf numFmtId="41" fontId="32" fillId="0" borderId="0" xfId="7" applyNumberFormat="1" applyFont="1" applyFill="1"/>
    <xf numFmtId="37" fontId="32" fillId="0" borderId="0" xfId="0" applyNumberFormat="1" applyFont="1" applyFill="1" applyAlignment="1"/>
    <xf numFmtId="0" fontId="111" fillId="0" borderId="0" xfId="329" applyFont="1" applyFill="1" applyAlignment="1">
      <alignment horizontal="left"/>
    </xf>
    <xf numFmtId="174" fontId="32" fillId="0" borderId="0" xfId="13" applyNumberFormat="1" applyFont="1" applyFill="1" applyBorder="1"/>
    <xf numFmtId="42" fontId="6" fillId="0" borderId="0" xfId="0" applyNumberFormat="1" applyFont="1" applyFill="1" applyBorder="1" applyAlignment="1"/>
    <xf numFmtId="41" fontId="32" fillId="0" borderId="0" xfId="0" applyNumberFormat="1" applyFont="1" applyFill="1" applyAlignment="1"/>
    <xf numFmtId="41" fontId="32" fillId="0" borderId="6" xfId="0" applyNumberFormat="1" applyFont="1" applyFill="1" applyBorder="1" applyAlignment="1"/>
    <xf numFmtId="41" fontId="6" fillId="0" borderId="0" xfId="8" applyNumberFormat="1" applyFont="1" applyFill="1"/>
    <xf numFmtId="41" fontId="23" fillId="0" borderId="0" xfId="8" applyNumberFormat="1" applyFont="1" applyFill="1" applyBorder="1"/>
    <xf numFmtId="173" fontId="10" fillId="0" borderId="0" xfId="0" applyFont="1" applyAlignment="1"/>
    <xf numFmtId="173" fontId="5" fillId="0" borderId="0" xfId="0" applyFont="1" applyAlignment="1"/>
    <xf numFmtId="173" fontId="5" fillId="0" borderId="0" xfId="0" applyFont="1" applyFill="1" applyAlignment="1"/>
    <xf numFmtId="173" fontId="5" fillId="0" borderId="0" xfId="0" quotePrefix="1" applyFont="1" applyFill="1" applyAlignment="1">
      <alignment horizontal="center"/>
    </xf>
    <xf numFmtId="174" fontId="5" fillId="0" borderId="0" xfId="1" applyNumberFormat="1" applyFont="1" applyFill="1" applyAlignment="1"/>
    <xf numFmtId="174" fontId="5" fillId="0" borderId="0" xfId="1" applyNumberFormat="1" applyFont="1" applyAlignment="1"/>
    <xf numFmtId="173" fontId="118" fillId="0" borderId="0" xfId="388" applyFill="1" applyAlignment="1"/>
    <xf numFmtId="173" fontId="117" fillId="0" borderId="0" xfId="0" applyFont="1" applyFill="1" applyBorder="1" applyAlignment="1">
      <alignment horizontal="center"/>
    </xf>
    <xf numFmtId="173" fontId="6" fillId="0" borderId="0" xfId="0" applyFont="1" applyFill="1" applyAlignment="1">
      <alignment wrapText="1"/>
    </xf>
    <xf numFmtId="0" fontId="6" fillId="0" borderId="0" xfId="0" applyNumberFormat="1" applyFont="1" applyFill="1" applyBorder="1" applyAlignment="1">
      <alignment horizontal="center" vertical="center"/>
    </xf>
    <xf numFmtId="174" fontId="6" fillId="13" borderId="2" xfId="1" applyNumberFormat="1" applyFont="1" applyFill="1" applyBorder="1" applyAlignment="1" applyProtection="1">
      <alignment horizontal="right"/>
      <protection locked="0"/>
    </xf>
    <xf numFmtId="0" fontId="117" fillId="0" borderId="0" xfId="10" applyFont="1" applyFill="1" applyAlignment="1">
      <alignment horizontal="center"/>
    </xf>
    <xf numFmtId="175" fontId="6" fillId="0" borderId="0" xfId="327" applyNumberFormat="1" applyFont="1" applyFill="1"/>
    <xf numFmtId="42" fontId="6" fillId="0" borderId="6" xfId="7" applyNumberFormat="1" applyFont="1" applyFill="1" applyBorder="1"/>
    <xf numFmtId="41" fontId="6" fillId="0" borderId="0" xfId="0" applyNumberFormat="1" applyFont="1" applyFill="1" applyAlignment="1"/>
    <xf numFmtId="41" fontId="6" fillId="0" borderId="6" xfId="0" applyNumberFormat="1" applyFont="1" applyFill="1" applyBorder="1" applyAlignment="1"/>
    <xf numFmtId="42" fontId="6" fillId="0" borderId="0" xfId="327" applyNumberFormat="1" applyFont="1" applyFill="1"/>
    <xf numFmtId="276" fontId="6" fillId="0" borderId="0" xfId="1" applyNumberFormat="1" applyFont="1" applyFill="1"/>
    <xf numFmtId="276" fontId="6" fillId="0" borderId="0" xfId="1" applyNumberFormat="1" applyFont="1" applyFill="1" applyAlignment="1">
      <alignment horizontal="centerContinuous"/>
    </xf>
    <xf numFmtId="276" fontId="6" fillId="0" borderId="0" xfId="1" applyNumberFormat="1" applyFont="1" applyFill="1" applyAlignment="1">
      <alignment horizontal="right"/>
    </xf>
    <xf numFmtId="277" fontId="6" fillId="0" borderId="0" xfId="0" applyNumberFormat="1" applyFont="1" applyFill="1" applyAlignment="1">
      <alignment vertical="center"/>
    </xf>
    <xf numFmtId="174" fontId="6" fillId="0" borderId="0" xfId="89" applyNumberFormat="1" applyFont="1" applyFill="1" applyAlignment="1"/>
    <xf numFmtId="277" fontId="6" fillId="0" borderId="0" xfId="327" applyNumberFormat="1" applyFont="1" applyFill="1" applyAlignment="1">
      <alignment vertical="center"/>
    </xf>
    <xf numFmtId="44" fontId="6" fillId="0" borderId="0" xfId="327" applyFont="1" applyFill="1" applyBorder="1" applyProtection="1">
      <protection locked="0"/>
    </xf>
    <xf numFmtId="37" fontId="6" fillId="0" borderId="6" xfId="0" applyNumberFormat="1" applyFont="1" applyFill="1" applyBorder="1" applyProtection="1"/>
    <xf numFmtId="42" fontId="6" fillId="0" borderId="0" xfId="7" applyNumberFormat="1" applyFont="1" applyFill="1" applyAlignment="1">
      <alignment vertical="center"/>
    </xf>
    <xf numFmtId="174" fontId="23" fillId="0" borderId="0" xfId="1" applyNumberFormat="1" applyFont="1" applyFill="1"/>
    <xf numFmtId="0" fontId="12" fillId="0" borderId="0" xfId="10" applyFont="1" applyFill="1" applyAlignment="1">
      <alignment horizontal="center"/>
    </xf>
    <xf numFmtId="176" fontId="6" fillId="0" borderId="6" xfId="7" applyNumberFormat="1" applyFont="1" applyFill="1" applyBorder="1"/>
    <xf numFmtId="175" fontId="6" fillId="0" borderId="0" xfId="327" applyNumberFormat="1" applyFont="1" applyFill="1" applyBorder="1" applyAlignment="1">
      <alignment horizontal="center"/>
    </xf>
    <xf numFmtId="175" fontId="6" fillId="0" borderId="0" xfId="12" applyNumberFormat="1" applyFont="1" applyFill="1" applyBorder="1" applyAlignment="1">
      <alignment horizontal="right"/>
    </xf>
    <xf numFmtId="174" fontId="6" fillId="0" borderId="2" xfId="1" applyNumberFormat="1" applyFont="1" applyFill="1" applyBorder="1" applyProtection="1">
      <protection locked="0"/>
    </xf>
    <xf numFmtId="174" fontId="12" fillId="0" borderId="6" xfId="89" applyNumberFormat="1" applyFont="1" applyFill="1" applyBorder="1" applyAlignment="1"/>
    <xf numFmtId="0" fontId="6" fillId="0" borderId="0" xfId="7" quotePrefix="1" applyFont="1" applyAlignment="1">
      <alignment horizontal="left" indent="1"/>
    </xf>
    <xf numFmtId="174" fontId="6" fillId="0" borderId="0" xfId="0" applyNumberFormat="1" applyFont="1" applyFill="1"/>
    <xf numFmtId="173" fontId="0" fillId="0" borderId="20" xfId="0" applyBorder="1" applyAlignment="1" applyProtection="1">
      <protection hidden="1"/>
    </xf>
    <xf numFmtId="173" fontId="0" fillId="0" borderId="4" xfId="0" applyBorder="1" applyAlignment="1" applyProtection="1">
      <protection hidden="1"/>
    </xf>
    <xf numFmtId="1" fontId="0" fillId="0" borderId="0" xfId="0" applyNumberFormat="1" applyBorder="1" applyAlignment="1" applyProtection="1">
      <alignment horizontal="center"/>
      <protection hidden="1"/>
    </xf>
    <xf numFmtId="173" fontId="0" fillId="0" borderId="0" xfId="0" applyAlignment="1" applyProtection="1">
      <protection hidden="1"/>
    </xf>
    <xf numFmtId="173" fontId="0" fillId="0" borderId="21" xfId="0" applyBorder="1" applyAlignment="1" applyProtection="1">
      <protection hidden="1"/>
    </xf>
    <xf numFmtId="173" fontId="105" fillId="0" borderId="0" xfId="0" applyFont="1" applyAlignment="1" applyProtection="1">
      <protection hidden="1"/>
    </xf>
    <xf numFmtId="49" fontId="6" fillId="13" borderId="0" xfId="0" applyNumberFormat="1" applyFont="1" applyFill="1" applyAlignment="1" applyProtection="1">
      <alignment horizontal="center"/>
      <protection locked="0"/>
    </xf>
    <xf numFmtId="173" fontId="6" fillId="13" borderId="0" xfId="0" applyFont="1" applyFill="1" applyAlignment="1">
      <alignment horizontal="center"/>
    </xf>
    <xf numFmtId="173" fontId="6" fillId="0" borderId="0" xfId="0" applyFont="1" applyFill="1" applyAlignment="1">
      <alignment wrapText="1"/>
    </xf>
    <xf numFmtId="0" fontId="6" fillId="0" borderId="0" xfId="326" applyFont="1" applyFill="1" applyAlignment="1">
      <alignment wrapText="1"/>
    </xf>
    <xf numFmtId="173" fontId="0" fillId="0" borderId="0" xfId="0" applyFont="1" applyFill="1" applyBorder="1" applyAlignment="1">
      <alignment horizontal="left" wrapText="1"/>
    </xf>
    <xf numFmtId="173" fontId="6" fillId="0" borderId="0" xfId="0" applyFont="1" applyFill="1" applyBorder="1" applyAlignment="1">
      <alignment horizontal="left"/>
    </xf>
    <xf numFmtId="173" fontId="6" fillId="0" borderId="0" xfId="0" quotePrefix="1" applyFont="1" applyFill="1" applyBorder="1" applyAlignment="1">
      <alignment horizontal="left"/>
    </xf>
    <xf numFmtId="173" fontId="6" fillId="0" borderId="0" xfId="0" applyFont="1" applyFill="1" applyBorder="1" applyAlignment="1">
      <alignment horizontal="left" wrapText="1"/>
    </xf>
    <xf numFmtId="3" fontId="6" fillId="0" borderId="0" xfId="0" applyNumberFormat="1" applyFont="1" applyFill="1" applyBorder="1" applyAlignment="1">
      <alignment horizontal="center"/>
    </xf>
    <xf numFmtId="173" fontId="0" fillId="0" borderId="0" xfId="0" quotePrefix="1" applyFont="1" applyFill="1" applyBorder="1" applyAlignment="1">
      <alignment horizontal="left" wrapText="1"/>
    </xf>
    <xf numFmtId="0" fontId="6" fillId="0" borderId="0" xfId="326" applyFont="1" applyAlignment="1">
      <alignment vertical="center" wrapText="1"/>
    </xf>
    <xf numFmtId="173" fontId="0" fillId="0" borderId="0" xfId="0" applyAlignment="1">
      <alignment vertical="center" wrapText="1"/>
    </xf>
    <xf numFmtId="0" fontId="90" fillId="0" borderId="6" xfId="325" applyNumberFormat="1" applyFont="1" applyFill="1" applyBorder="1" applyAlignment="1" applyProtection="1">
      <alignment horizontal="center"/>
      <protection locked="0"/>
    </xf>
    <xf numFmtId="173" fontId="0" fillId="0" borderId="0" xfId="0" applyFill="1" applyAlignment="1">
      <alignment wrapText="1"/>
    </xf>
    <xf numFmtId="0" fontId="6" fillId="0" borderId="0" xfId="326" applyFont="1" applyAlignment="1">
      <alignment wrapText="1"/>
    </xf>
    <xf numFmtId="0" fontId="111" fillId="0" borderId="6" xfId="329" applyFont="1" applyBorder="1" applyAlignment="1">
      <alignment horizontal="center"/>
    </xf>
    <xf numFmtId="49" fontId="111" fillId="0" borderId="0" xfId="329" applyNumberFormat="1" applyFont="1" applyAlignment="1">
      <alignment horizontal="center"/>
    </xf>
    <xf numFmtId="0" fontId="111" fillId="0" borderId="0" xfId="329" applyFont="1" applyAlignment="1">
      <alignment horizontal="center"/>
    </xf>
    <xf numFmtId="15" fontId="6" fillId="0" borderId="0" xfId="15" quotePrefix="1" applyNumberFormat="1" applyFont="1" applyFill="1" applyAlignment="1">
      <alignment horizontal="center"/>
    </xf>
    <xf numFmtId="173" fontId="6" fillId="0" borderId="0" xfId="0" applyFont="1" applyAlignment="1">
      <alignment horizontal="center"/>
    </xf>
    <xf numFmtId="173" fontId="8" fillId="0" borderId="0" xfId="0" applyFont="1" applyAlignment="1">
      <alignment horizontal="center"/>
    </xf>
    <xf numFmtId="173" fontId="8" fillId="0" borderId="0" xfId="0" applyFont="1" applyFill="1" applyAlignment="1">
      <alignment horizontal="center"/>
    </xf>
    <xf numFmtId="0" fontId="6" fillId="0" borderId="0" xfId="6" quotePrefix="1" applyFont="1" applyFill="1" applyAlignment="1">
      <alignment wrapText="1"/>
    </xf>
    <xf numFmtId="173" fontId="6" fillId="0" borderId="0" xfId="0" applyFont="1" applyAlignment="1">
      <alignment wrapText="1"/>
    </xf>
    <xf numFmtId="0" fontId="6" fillId="0" borderId="0" xfId="7" applyFont="1" applyFill="1" applyAlignment="1">
      <alignment horizontal="left" wrapText="1"/>
    </xf>
    <xf numFmtId="0" fontId="6" fillId="0" borderId="0" xfId="6" quotePrefix="1" applyFont="1" applyFill="1" applyBorder="1" applyAlignment="1">
      <alignment wrapText="1"/>
    </xf>
    <xf numFmtId="0" fontId="6" fillId="0" borderId="0" xfId="5" applyFont="1" applyFill="1" applyBorder="1" applyAlignment="1">
      <alignment wrapText="1"/>
    </xf>
    <xf numFmtId="0" fontId="8" fillId="0" borderId="6" xfId="0" applyNumberFormat="1" applyFont="1" applyFill="1" applyBorder="1" applyAlignment="1">
      <alignment horizontal="center"/>
    </xf>
    <xf numFmtId="3" fontId="8" fillId="0" borderId="0" xfId="0" applyNumberFormat="1" applyFont="1" applyBorder="1" applyAlignment="1">
      <alignment horizontal="center"/>
    </xf>
    <xf numFmtId="0" fontId="8" fillId="0" borderId="6" xfId="0" applyNumberFormat="1" applyFont="1" applyBorder="1" applyAlignment="1">
      <alignment horizontal="center"/>
    </xf>
    <xf numFmtId="0" fontId="6" fillId="0" borderId="0" xfId="15" applyFont="1" applyFill="1" applyAlignment="1">
      <alignment horizontal="center"/>
    </xf>
    <xf numFmtId="15" fontId="6" fillId="0" borderId="0" xfId="15" applyNumberFormat="1" applyFont="1" applyFill="1" applyAlignment="1">
      <alignment horizontal="center"/>
    </xf>
  </cellXfs>
  <cellStyles count="389">
    <cellStyle name="¢ Currency [1]" xfId="18"/>
    <cellStyle name="¢ Currency [2]" xfId="19"/>
    <cellStyle name="¢ Currency [3]" xfId="20"/>
    <cellStyle name="£ Currency [0]" xfId="21"/>
    <cellStyle name="£ Currency [1]" xfId="22"/>
    <cellStyle name="£ Currency [2]" xfId="23"/>
    <cellStyle name="=C:\WINNT35\SYSTEM32\COMMAND.COM" xfId="17"/>
    <cellStyle name="Basic" xfId="24"/>
    <cellStyle name="black" xfId="25"/>
    <cellStyle name="blu" xfId="26"/>
    <cellStyle name="bot" xfId="27"/>
    <cellStyle name="Bullet" xfId="28"/>
    <cellStyle name="Bullet [0]" xfId="29"/>
    <cellStyle name="Bullet [2]" xfId="30"/>
    <cellStyle name="Bullet [4]" xfId="31"/>
    <cellStyle name="c" xfId="32"/>
    <cellStyle name="c," xfId="33"/>
    <cellStyle name="c_HardInc " xfId="34"/>
    <cellStyle name="c_HardInc _ITC Great Plains Formula 1-12-09a" xfId="35"/>
    <cellStyle name="C00A" xfId="36"/>
    <cellStyle name="C00B" xfId="37"/>
    <cellStyle name="C00L" xfId="38"/>
    <cellStyle name="C01A" xfId="39"/>
    <cellStyle name="C01B" xfId="40"/>
    <cellStyle name="C01H" xfId="41"/>
    <cellStyle name="C01L" xfId="42"/>
    <cellStyle name="C02A" xfId="43"/>
    <cellStyle name="C02B" xfId="44"/>
    <cellStyle name="C02H" xfId="45"/>
    <cellStyle name="C02L" xfId="46"/>
    <cellStyle name="C03A" xfId="47"/>
    <cellStyle name="C03B" xfId="48"/>
    <cellStyle name="C03H" xfId="49"/>
    <cellStyle name="C03L" xfId="50"/>
    <cellStyle name="C04A" xfId="51"/>
    <cellStyle name="C04B" xfId="52"/>
    <cellStyle name="C04H" xfId="53"/>
    <cellStyle name="C04L" xfId="54"/>
    <cellStyle name="C05A" xfId="55"/>
    <cellStyle name="C05B" xfId="56"/>
    <cellStyle name="C05H" xfId="57"/>
    <cellStyle name="C05L" xfId="58"/>
    <cellStyle name="C06A" xfId="59"/>
    <cellStyle name="C06B" xfId="60"/>
    <cellStyle name="C06H" xfId="61"/>
    <cellStyle name="C06L" xfId="62"/>
    <cellStyle name="C07A" xfId="63"/>
    <cellStyle name="C07B" xfId="64"/>
    <cellStyle name="C07H" xfId="65"/>
    <cellStyle name="C07L" xfId="66"/>
    <cellStyle name="c1" xfId="67"/>
    <cellStyle name="c1," xfId="68"/>
    <cellStyle name="c2" xfId="69"/>
    <cellStyle name="c2," xfId="70"/>
    <cellStyle name="c3" xfId="71"/>
    <cellStyle name="cas" xfId="72"/>
    <cellStyle name="Centered Heading" xfId="73"/>
    <cellStyle name="Comma" xfId="1" builtinId="3"/>
    <cellStyle name="Comma  - Style1" xfId="74"/>
    <cellStyle name="Comma  - Style2" xfId="75"/>
    <cellStyle name="Comma  - Style3" xfId="76"/>
    <cellStyle name="Comma  - Style4" xfId="77"/>
    <cellStyle name="Comma  - Style5" xfId="78"/>
    <cellStyle name="Comma  - Style6" xfId="79"/>
    <cellStyle name="Comma  - Style7" xfId="80"/>
    <cellStyle name="Comma  - Style8" xfId="81"/>
    <cellStyle name="Comma [1]" xfId="82"/>
    <cellStyle name="Comma [2]" xfId="83"/>
    <cellStyle name="Comma [3]" xfId="84"/>
    <cellStyle name="Comma 0.0" xfId="85"/>
    <cellStyle name="Comma 0.00" xfId="86"/>
    <cellStyle name="Comma 0.000" xfId="87"/>
    <cellStyle name="Comma 0.0000" xfId="88"/>
    <cellStyle name="Comma 10" xfId="345"/>
    <cellStyle name="Comma 11" xfId="349"/>
    <cellStyle name="Comma 12" xfId="347"/>
    <cellStyle name="Comma 13" xfId="351"/>
    <cellStyle name="Comma 14" xfId="348"/>
    <cellStyle name="Comma 15" xfId="356"/>
    <cellStyle name="Comma 16" xfId="362"/>
    <cellStyle name="Comma 17" xfId="365"/>
    <cellStyle name="Comma 18" xfId="368"/>
    <cellStyle name="Comma 19" xfId="370"/>
    <cellStyle name="Comma 2" xfId="2"/>
    <cellStyle name="Comma 2 2" xfId="89"/>
    <cellStyle name="Comma 20" xfId="374"/>
    <cellStyle name="Comma 21" xfId="377"/>
    <cellStyle name="Comma 22" xfId="379"/>
    <cellStyle name="Comma 23" xfId="380"/>
    <cellStyle name="Comma 24" xfId="382"/>
    <cellStyle name="Comma 25" xfId="383"/>
    <cellStyle name="Comma 26" xfId="385"/>
    <cellStyle name="Comma 27" xfId="387"/>
    <cellStyle name="Comma 3" xfId="13"/>
    <cellStyle name="Comma 3 2" xfId="90"/>
    <cellStyle name="Comma 4" xfId="14"/>
    <cellStyle name="Comma 4 2" xfId="91"/>
    <cellStyle name="Comma 4 3" xfId="333"/>
    <cellStyle name="Comma 5" xfId="92"/>
    <cellStyle name="Comma 6" xfId="328"/>
    <cellStyle name="Comma 7" xfId="332"/>
    <cellStyle name="Comma 8" xfId="336"/>
    <cellStyle name="Comma 9" xfId="342"/>
    <cellStyle name="Comma Input" xfId="93"/>
    <cellStyle name="Comma0" xfId="94"/>
    <cellStyle name="Company Name" xfId="95"/>
    <cellStyle name="Currency" xfId="327" builtinId="4"/>
    <cellStyle name="Currency [1]" xfId="96"/>
    <cellStyle name="Currency [2]" xfId="97"/>
    <cellStyle name="Currency [3]" xfId="98"/>
    <cellStyle name="Currency 0.0" xfId="99"/>
    <cellStyle name="Currency 0.00" xfId="100"/>
    <cellStyle name="Currency 0.000" xfId="101"/>
    <cellStyle name="Currency 0.0000" xfId="102"/>
    <cellStyle name="Currency 10" xfId="352"/>
    <cellStyle name="Currency 11" xfId="354"/>
    <cellStyle name="Currency 12" xfId="357"/>
    <cellStyle name="Currency 13" xfId="360"/>
    <cellStyle name="Currency 14" xfId="359"/>
    <cellStyle name="Currency 15" xfId="361"/>
    <cellStyle name="Currency 16" xfId="364"/>
    <cellStyle name="Currency 17" xfId="367"/>
    <cellStyle name="Currency 2" xfId="12"/>
    <cellStyle name="Currency 2 2" xfId="103"/>
    <cellStyle name="Currency 3" xfId="104"/>
    <cellStyle name="Currency 3 2" xfId="105"/>
    <cellStyle name="Currency 4" xfId="16"/>
    <cellStyle name="Currency 5" xfId="334"/>
    <cellStyle name="Currency 6" xfId="340"/>
    <cellStyle name="Currency 7" xfId="344"/>
    <cellStyle name="Currency 8" xfId="341"/>
    <cellStyle name="Currency 9" xfId="339"/>
    <cellStyle name="Currency Input" xfId="106"/>
    <cellStyle name="Currency0" xfId="107"/>
    <cellStyle name="d" xfId="108"/>
    <cellStyle name="d," xfId="109"/>
    <cellStyle name="d1" xfId="110"/>
    <cellStyle name="d1," xfId="111"/>
    <cellStyle name="d2" xfId="112"/>
    <cellStyle name="d2," xfId="113"/>
    <cellStyle name="d3" xfId="114"/>
    <cellStyle name="Dash" xfId="115"/>
    <cellStyle name="Date" xfId="116"/>
    <cellStyle name="Date [Abbreviated]" xfId="117"/>
    <cellStyle name="Date [Long Europe]" xfId="118"/>
    <cellStyle name="Date [Long U.S.]" xfId="119"/>
    <cellStyle name="Date [Short Europe]" xfId="120"/>
    <cellStyle name="Date [Short U.S.]" xfId="121"/>
    <cellStyle name="Date_ITCM 2010 Template" xfId="122"/>
    <cellStyle name="Define$0" xfId="123"/>
    <cellStyle name="Define$1" xfId="124"/>
    <cellStyle name="Define$2" xfId="125"/>
    <cellStyle name="Define0" xfId="126"/>
    <cellStyle name="Define1" xfId="127"/>
    <cellStyle name="Define1x" xfId="128"/>
    <cellStyle name="Define2" xfId="129"/>
    <cellStyle name="Define2x" xfId="130"/>
    <cellStyle name="Dollar" xfId="131"/>
    <cellStyle name="e" xfId="132"/>
    <cellStyle name="e1" xfId="133"/>
    <cellStyle name="e2" xfId="134"/>
    <cellStyle name="Euro" xfId="135"/>
    <cellStyle name="Fixed" xfId="136"/>
    <cellStyle name="FOOTER - Style1" xfId="137"/>
    <cellStyle name="g" xfId="138"/>
    <cellStyle name="general" xfId="139"/>
    <cellStyle name="General [C]" xfId="140"/>
    <cellStyle name="General [R]" xfId="141"/>
    <cellStyle name="Good" xfId="378" builtinId="26"/>
    <cellStyle name="Green" xfId="142"/>
    <cellStyle name="grey" xfId="143"/>
    <cellStyle name="Header1" xfId="144"/>
    <cellStyle name="Header2" xfId="145"/>
    <cellStyle name="Heading" xfId="146"/>
    <cellStyle name="Heading No Underline" xfId="147"/>
    <cellStyle name="Heading With Underline" xfId="148"/>
    <cellStyle name="Heading1" xfId="149"/>
    <cellStyle name="Heading2" xfId="150"/>
    <cellStyle name="Headline" xfId="151"/>
    <cellStyle name="Highlight" xfId="152"/>
    <cellStyle name="Hyperlink" xfId="388" builtinId="8"/>
    <cellStyle name="in" xfId="153"/>
    <cellStyle name="Indented [0]" xfId="154"/>
    <cellStyle name="Indented [2]" xfId="155"/>
    <cellStyle name="Indented [4]" xfId="156"/>
    <cellStyle name="Indented [6]" xfId="157"/>
    <cellStyle name="Input [yellow]" xfId="158"/>
    <cellStyle name="Input$0" xfId="159"/>
    <cellStyle name="Input$1" xfId="160"/>
    <cellStyle name="Input$2" xfId="161"/>
    <cellStyle name="Input0" xfId="162"/>
    <cellStyle name="Input1" xfId="163"/>
    <cellStyle name="Input1x" xfId="164"/>
    <cellStyle name="Input2" xfId="165"/>
    <cellStyle name="Input2x" xfId="166"/>
    <cellStyle name="lborder" xfId="167"/>
    <cellStyle name="LeftSubtitle" xfId="168"/>
    <cellStyle name="m" xfId="169"/>
    <cellStyle name="m1" xfId="170"/>
    <cellStyle name="m2" xfId="171"/>
    <cellStyle name="m3" xfId="172"/>
    <cellStyle name="Multiple" xfId="173"/>
    <cellStyle name="Negative" xfId="174"/>
    <cellStyle name="no dec" xfId="175"/>
    <cellStyle name="Normal" xfId="0" builtinId="0"/>
    <cellStyle name="Normal - Style1" xfId="176"/>
    <cellStyle name="Normal 10" xfId="337"/>
    <cellStyle name="Normal 11" xfId="343"/>
    <cellStyle name="Normal 12" xfId="346"/>
    <cellStyle name="Normal 13" xfId="350"/>
    <cellStyle name="Normal 14" xfId="338"/>
    <cellStyle name="Normal 15" xfId="353"/>
    <cellStyle name="Normal 16" xfId="355"/>
    <cellStyle name="Normal 17" xfId="358"/>
    <cellStyle name="Normal 18" xfId="363"/>
    <cellStyle name="Normal 19" xfId="366"/>
    <cellStyle name="Normal 2" xfId="3"/>
    <cellStyle name="Normal 2 2" xfId="335"/>
    <cellStyle name="Normal 2 3" xfId="375"/>
    <cellStyle name="Normal 20" xfId="369"/>
    <cellStyle name="Normal 21" xfId="371"/>
    <cellStyle name="Normal 22" xfId="373"/>
    <cellStyle name="Normal 23" xfId="376"/>
    <cellStyle name="Normal 24" xfId="384"/>
    <cellStyle name="Normal 25" xfId="386"/>
    <cellStyle name="Normal 3" xfId="4"/>
    <cellStyle name="Normal 3 2" xfId="177"/>
    <cellStyle name="Normal 3_ITC-Great Plains Heintz 6-24-08a" xfId="178"/>
    <cellStyle name="Normal 4" xfId="179"/>
    <cellStyle name="Normal 4 2" xfId="180"/>
    <cellStyle name="Normal 4_ITC-Great Plains Heintz 6-24-08a" xfId="181"/>
    <cellStyle name="Normal 5" xfId="182"/>
    <cellStyle name="Normal 6" xfId="15"/>
    <cellStyle name="Normal 7" xfId="326"/>
    <cellStyle name="Normal 7 2" xfId="381"/>
    <cellStyle name="Normal 8" xfId="329"/>
    <cellStyle name="Normal 9" xfId="331"/>
    <cellStyle name="Normal_2002 A to BK TLF Recon WVPA" xfId="5"/>
    <cellStyle name="Normal_Advertising expense query - 3.29.07" xfId="6"/>
    <cellStyle name="Normal_Cinergy Revenue Credits by Operating Company" xfId="7"/>
    <cellStyle name="Normal_FERC Functional M&amp;S All Cos" xfId="8"/>
    <cellStyle name="Normal_FN1 Ratebase Draft SPP template (6-11-04) v2" xfId="325"/>
    <cellStyle name="Normal_MISO DEO Cap Structure 2007 " xfId="9"/>
    <cellStyle name="Normal_Schedule B-2" xfId="330"/>
    <cellStyle name="Normal_Support 2003 PSI Peak Demand excluding Joint Owners" xfId="10"/>
    <cellStyle name="Output1_Back" xfId="183"/>
    <cellStyle name="p" xfId="184"/>
    <cellStyle name="p_2010 Attachment O  GG_082709" xfId="185"/>
    <cellStyle name="p_2010 Attachment O Template Supporting Work Papers_ITC Midwest" xfId="186"/>
    <cellStyle name="p_2010 Attachment O Template Supporting Work Papers_ITCTransmission" xfId="187"/>
    <cellStyle name="p_2010 Attachment O Template Supporting Work Papers_METC" xfId="188"/>
    <cellStyle name="p_2Mod11" xfId="189"/>
    <cellStyle name="p_aavidmod11.xls Chart 1" xfId="190"/>
    <cellStyle name="p_aavidmod11.xls Chart 2" xfId="191"/>
    <cellStyle name="p_Attachment O &amp; GG" xfId="192"/>
    <cellStyle name="p_charts for capm" xfId="193"/>
    <cellStyle name="p_DCF" xfId="194"/>
    <cellStyle name="p_DCF_2Mod11" xfId="195"/>
    <cellStyle name="p_DCF_aavidmod11.xls Chart 1" xfId="196"/>
    <cellStyle name="p_DCF_aavidmod11.xls Chart 2" xfId="197"/>
    <cellStyle name="p_DCF_charts for capm" xfId="198"/>
    <cellStyle name="p_DCF_DCF5" xfId="199"/>
    <cellStyle name="p_DCF_Template2" xfId="200"/>
    <cellStyle name="p_DCF_Template2_1" xfId="201"/>
    <cellStyle name="p_DCF_VERA" xfId="202"/>
    <cellStyle name="p_DCF_VERA_1" xfId="203"/>
    <cellStyle name="p_DCF_VERA_1_Template2" xfId="204"/>
    <cellStyle name="p_DCF_VERA_aavidmod11.xls Chart 2" xfId="205"/>
    <cellStyle name="p_DCF_VERA_Model02" xfId="206"/>
    <cellStyle name="p_DCF_VERA_Template2" xfId="207"/>
    <cellStyle name="p_DCF_VERA_VERA" xfId="208"/>
    <cellStyle name="p_DCF_VERA_VERA_1" xfId="209"/>
    <cellStyle name="p_DCF_VERA_VERA_2" xfId="210"/>
    <cellStyle name="p_DCF_VERA_VERA_Template2" xfId="211"/>
    <cellStyle name="p_DCF5" xfId="212"/>
    <cellStyle name="p_ITC Great Plains Formula 1-12-09a" xfId="213"/>
    <cellStyle name="p_ITCM 2010 Template" xfId="214"/>
    <cellStyle name="p_ITCMW 2009 Rate" xfId="215"/>
    <cellStyle name="p_ITCMW 2010 Rate_083109" xfId="216"/>
    <cellStyle name="p_ITCOP 2010 Rate_083109" xfId="217"/>
    <cellStyle name="p_ITCT 2009 Rate" xfId="218"/>
    <cellStyle name="p_ITCT New 2010 Attachment O &amp; GG_111209NL" xfId="219"/>
    <cellStyle name="p_METC 2010 Rate_083109" xfId="220"/>
    <cellStyle name="p_Template2" xfId="221"/>
    <cellStyle name="p_Template2_1" xfId="222"/>
    <cellStyle name="p_VERA" xfId="223"/>
    <cellStyle name="p_VERA_1" xfId="224"/>
    <cellStyle name="p_VERA_1_Template2" xfId="225"/>
    <cellStyle name="p_VERA_aavidmod11.xls Chart 2" xfId="226"/>
    <cellStyle name="p_VERA_Model02" xfId="227"/>
    <cellStyle name="p_VERA_Template2" xfId="228"/>
    <cellStyle name="p_VERA_VERA" xfId="229"/>
    <cellStyle name="p_VERA_VERA_1" xfId="230"/>
    <cellStyle name="p_VERA_VERA_2" xfId="231"/>
    <cellStyle name="p_VERA_VERA_Template2" xfId="232"/>
    <cellStyle name="p1" xfId="233"/>
    <cellStyle name="p2" xfId="234"/>
    <cellStyle name="p3" xfId="235"/>
    <cellStyle name="Percent" xfId="372" builtinId="5"/>
    <cellStyle name="Percent %" xfId="236"/>
    <cellStyle name="Percent % Long Underline" xfId="237"/>
    <cellStyle name="Percent (0)" xfId="238"/>
    <cellStyle name="Percent [0]" xfId="239"/>
    <cellStyle name="Percent [1]" xfId="240"/>
    <cellStyle name="Percent [2]" xfId="241"/>
    <cellStyle name="Percent [3]" xfId="242"/>
    <cellStyle name="Percent 0.0%" xfId="243"/>
    <cellStyle name="Percent 0.0% Long Underline" xfId="244"/>
    <cellStyle name="Percent 0.00%" xfId="245"/>
    <cellStyle name="Percent 0.00% Long Underline" xfId="246"/>
    <cellStyle name="Percent 0.000%" xfId="247"/>
    <cellStyle name="Percent 0.000% Long Underline" xfId="248"/>
    <cellStyle name="Percent 0.0000%" xfId="249"/>
    <cellStyle name="Percent 0.0000% Long Underline" xfId="250"/>
    <cellStyle name="Percent 2" xfId="11"/>
    <cellStyle name="Percent 2 2" xfId="251"/>
    <cellStyle name="Percent 3" xfId="252"/>
    <cellStyle name="Percent 3 2" xfId="253"/>
    <cellStyle name="Percent Input" xfId="254"/>
    <cellStyle name="Percent0" xfId="255"/>
    <cellStyle name="Percent1" xfId="256"/>
    <cellStyle name="Percent2" xfId="257"/>
    <cellStyle name="PSChar" xfId="258"/>
    <cellStyle name="PSDate" xfId="259"/>
    <cellStyle name="PSDec" xfId="260"/>
    <cellStyle name="PSdesc" xfId="261"/>
    <cellStyle name="PSHeading" xfId="262"/>
    <cellStyle name="PSInt" xfId="263"/>
    <cellStyle name="PSSpacer" xfId="264"/>
    <cellStyle name="PStest" xfId="265"/>
    <cellStyle name="R00A" xfId="266"/>
    <cellStyle name="R00B" xfId="267"/>
    <cellStyle name="R00L" xfId="268"/>
    <cellStyle name="R01A" xfId="269"/>
    <cellStyle name="R01B" xfId="270"/>
    <cellStyle name="R01H" xfId="271"/>
    <cellStyle name="R01L" xfId="272"/>
    <cellStyle name="R02A" xfId="273"/>
    <cellStyle name="R02B" xfId="274"/>
    <cellStyle name="R02H" xfId="275"/>
    <cellStyle name="R02L" xfId="276"/>
    <cellStyle name="R03A" xfId="277"/>
    <cellStyle name="R03B" xfId="278"/>
    <cellStyle name="R03H" xfId="279"/>
    <cellStyle name="R03L" xfId="280"/>
    <cellStyle name="R04A" xfId="281"/>
    <cellStyle name="R04B" xfId="282"/>
    <cellStyle name="R04H" xfId="283"/>
    <cellStyle name="R04L" xfId="284"/>
    <cellStyle name="R05A" xfId="285"/>
    <cellStyle name="R05B" xfId="286"/>
    <cellStyle name="R05H" xfId="287"/>
    <cellStyle name="R05L" xfId="288"/>
    <cellStyle name="R06A" xfId="289"/>
    <cellStyle name="R06B" xfId="290"/>
    <cellStyle name="R06H" xfId="291"/>
    <cellStyle name="R06L" xfId="292"/>
    <cellStyle name="R07A" xfId="293"/>
    <cellStyle name="R07B" xfId="294"/>
    <cellStyle name="R07H" xfId="295"/>
    <cellStyle name="R07L" xfId="296"/>
    <cellStyle name="rborder" xfId="297"/>
    <cellStyle name="red" xfId="298"/>
    <cellStyle name="s_HardInc " xfId="299"/>
    <cellStyle name="s_HardInc _ITC Great Plains Formula 1-12-09a" xfId="300"/>
    <cellStyle name="scenario" xfId="301"/>
    <cellStyle name="Sheetmult" xfId="302"/>
    <cellStyle name="Shtmultx" xfId="303"/>
    <cellStyle name="Style 1" xfId="304"/>
    <cellStyle name="STYLE1" xfId="305"/>
    <cellStyle name="STYLE2" xfId="306"/>
    <cellStyle name="TableHeading" xfId="307"/>
    <cellStyle name="tb" xfId="308"/>
    <cellStyle name="Tickmark" xfId="309"/>
    <cellStyle name="Title1" xfId="310"/>
    <cellStyle name="top" xfId="311"/>
    <cellStyle name="w" xfId="312"/>
    <cellStyle name="XComma" xfId="313"/>
    <cellStyle name="XComma 0.0" xfId="314"/>
    <cellStyle name="XComma 0.00" xfId="315"/>
    <cellStyle name="XComma 0.000" xfId="316"/>
    <cellStyle name="XCurrency" xfId="317"/>
    <cellStyle name="XCurrency 0.0" xfId="318"/>
    <cellStyle name="XCurrency 0.00" xfId="319"/>
    <cellStyle name="XCurrency 0.000" xfId="320"/>
    <cellStyle name="yra" xfId="321"/>
    <cellStyle name="yrActual" xfId="322"/>
    <cellStyle name="yre" xfId="323"/>
    <cellStyle name="yrExpect" xfId="324"/>
  </cellStyles>
  <dxfs count="0"/>
  <tableStyles count="0" defaultTableStyle="TableStyleMedium9" defaultPivotStyle="PivotStyleLight16"/>
  <colors>
    <mruColors>
      <color rgb="FF0000FF"/>
      <color rgb="FFFFFF99"/>
      <color rgb="FF00FF00"/>
      <color rgb="FF66FFFF"/>
      <color rgb="FFFF3300"/>
      <color rgb="FF990000"/>
      <color rgb="FFFF3399"/>
      <color rgb="FFCCFFFF"/>
      <color rgb="FF6633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AC313"/>
  <sheetViews>
    <sheetView showGridLines="0" tabSelected="1" zoomScale="70" zoomScaleNormal="70" zoomScaleSheetLayoutView="70" workbookViewId="0">
      <selection activeCell="P254" sqref="P254"/>
    </sheetView>
  </sheetViews>
  <sheetFormatPr defaultColWidth="8.77734375" defaultRowHeight="15"/>
  <cols>
    <col min="1" max="1" width="6.21875" style="191" bestFit="1" customWidth="1"/>
    <col min="2" max="2" width="1.44140625" style="191" customWidth="1"/>
    <col min="3" max="3" width="62.77734375" style="191" customWidth="1"/>
    <col min="4" max="4" width="25.44140625" style="191" customWidth="1"/>
    <col min="5" max="5" width="16.109375" style="191" customWidth="1"/>
    <col min="6" max="6" width="12" style="191" customWidth="1"/>
    <col min="7" max="7" width="5.6640625" style="191" customWidth="1"/>
    <col min="8" max="8" width="10.6640625" style="191" customWidth="1"/>
    <col min="9" max="9" width="5.77734375" style="191" customWidth="1"/>
    <col min="10" max="10" width="16.33203125" style="191" customWidth="1"/>
    <col min="11" max="11" width="3.44140625" style="191" customWidth="1"/>
    <col min="12" max="12" width="11.6640625" style="191" customWidth="1"/>
    <col min="13" max="13" width="1.88671875" style="191" customWidth="1"/>
    <col min="14" max="14" width="16.6640625" style="191" customWidth="1"/>
    <col min="15" max="15" width="12.88671875" style="191" customWidth="1"/>
    <col min="16" max="16" width="16.77734375" style="191" customWidth="1"/>
    <col min="17" max="17" width="20.77734375" style="191" customWidth="1"/>
    <col min="18" max="19" width="9.77734375" style="191" customWidth="1"/>
    <col min="20" max="16384" width="8.77734375" style="191"/>
  </cols>
  <sheetData>
    <row r="1" spans="1:16" ht="18">
      <c r="A1" s="190"/>
      <c r="C1" s="192"/>
      <c r="D1" s="192"/>
      <c r="E1" s="193"/>
      <c r="F1" s="192"/>
      <c r="G1" s="192"/>
      <c r="H1" s="192"/>
      <c r="I1" s="194"/>
      <c r="J1" s="507" t="s">
        <v>566</v>
      </c>
      <c r="K1" s="222"/>
      <c r="L1" s="567"/>
      <c r="M1" s="584"/>
      <c r="N1" s="572"/>
      <c r="O1" s="196"/>
      <c r="P1" s="196"/>
    </row>
    <row r="2" spans="1:16">
      <c r="C2" s="192"/>
      <c r="D2" s="192"/>
      <c r="E2" s="193"/>
      <c r="F2" s="192"/>
      <c r="G2" s="192"/>
      <c r="H2" s="192"/>
      <c r="I2" s="194"/>
      <c r="J2" s="195" t="s">
        <v>439</v>
      </c>
      <c r="L2" s="567"/>
      <c r="M2" s="585"/>
      <c r="N2" s="572"/>
      <c r="O2" s="196"/>
      <c r="P2" s="196"/>
    </row>
    <row r="3" spans="1:16">
      <c r="C3" s="192"/>
      <c r="D3" s="192"/>
      <c r="E3" s="193"/>
      <c r="F3" s="192"/>
      <c r="G3" s="192"/>
      <c r="H3" s="192"/>
      <c r="I3" s="194"/>
      <c r="K3" s="196"/>
      <c r="L3" s="567"/>
      <c r="M3" s="585"/>
      <c r="N3" s="572"/>
      <c r="O3" s="196"/>
      <c r="P3" s="196"/>
    </row>
    <row r="4" spans="1:16">
      <c r="C4" s="192"/>
      <c r="D4" s="192"/>
      <c r="E4" s="193"/>
      <c r="F4" s="192"/>
      <c r="G4" s="192"/>
      <c r="H4" s="192"/>
      <c r="I4" s="194"/>
      <c r="K4" s="196"/>
      <c r="L4" s="567"/>
      <c r="M4" s="585"/>
      <c r="N4" s="572"/>
      <c r="O4" s="196"/>
      <c r="P4" s="196"/>
    </row>
    <row r="5" spans="1:16">
      <c r="C5" s="192"/>
      <c r="D5" s="192"/>
      <c r="E5" s="193"/>
      <c r="F5" s="192"/>
      <c r="G5" s="192"/>
      <c r="H5" s="192"/>
      <c r="I5" s="194"/>
      <c r="K5" s="196"/>
      <c r="L5" s="567"/>
      <c r="M5" s="585"/>
      <c r="N5" s="572"/>
      <c r="O5" s="196"/>
      <c r="P5" s="196"/>
    </row>
    <row r="6" spans="1:16">
      <c r="C6" s="192"/>
      <c r="D6" s="192"/>
      <c r="E6" s="193"/>
      <c r="F6" s="192"/>
      <c r="G6" s="192"/>
      <c r="H6" s="192"/>
      <c r="I6" s="194"/>
      <c r="J6" s="196"/>
      <c r="K6" s="196"/>
      <c r="L6" s="567"/>
      <c r="M6" s="572"/>
      <c r="N6" s="738"/>
      <c r="O6" s="196"/>
      <c r="P6" s="196"/>
    </row>
    <row r="7" spans="1:16">
      <c r="C7" s="192" t="s">
        <v>4</v>
      </c>
      <c r="D7" s="192"/>
      <c r="E7" s="193"/>
      <c r="F7" s="192"/>
      <c r="G7" s="192"/>
      <c r="H7" s="192"/>
      <c r="I7" s="194"/>
      <c r="J7" s="584" t="s">
        <v>630</v>
      </c>
      <c r="K7" s="196"/>
      <c r="L7" s="567"/>
      <c r="M7" s="572"/>
      <c r="N7" s="572"/>
      <c r="O7" s="196"/>
      <c r="P7" s="196"/>
    </row>
    <row r="8" spans="1:16">
      <c r="A8" s="198" t="s">
        <v>212</v>
      </c>
      <c r="B8" s="197"/>
      <c r="C8" s="197"/>
      <c r="D8" s="198"/>
      <c r="E8" s="197"/>
      <c r="F8" s="198"/>
      <c r="G8" s="198"/>
      <c r="H8" s="198"/>
      <c r="I8" s="198"/>
      <c r="J8" s="197"/>
      <c r="K8" s="196"/>
      <c r="L8" s="579"/>
      <c r="M8" s="572"/>
      <c r="N8" s="572"/>
      <c r="O8" s="196"/>
      <c r="P8" s="196"/>
    </row>
    <row r="9" spans="1:16">
      <c r="A9" s="199" t="s">
        <v>640</v>
      </c>
      <c r="B9" s="197"/>
      <c r="C9" s="416"/>
      <c r="D9" s="417"/>
      <c r="E9" s="418"/>
      <c r="F9" s="417"/>
      <c r="G9" s="417"/>
      <c r="H9" s="417"/>
      <c r="I9" s="416"/>
      <c r="J9" s="416"/>
      <c r="K9" s="196"/>
      <c r="L9" s="564"/>
      <c r="M9" s="572"/>
      <c r="N9" s="572"/>
      <c r="O9" s="196"/>
      <c r="P9" s="196"/>
    </row>
    <row r="10" spans="1:16">
      <c r="A10" s="200"/>
      <c r="B10" s="197"/>
      <c r="C10" s="200"/>
      <c r="D10" s="200"/>
      <c r="E10" s="197"/>
      <c r="F10" s="200"/>
      <c r="G10" s="200"/>
      <c r="H10" s="200"/>
      <c r="I10" s="200"/>
      <c r="J10" s="200"/>
      <c r="K10" s="196"/>
      <c r="L10" s="564"/>
      <c r="M10" s="572"/>
      <c r="N10" s="572"/>
      <c r="O10" s="196"/>
      <c r="P10" s="196"/>
    </row>
    <row r="11" spans="1:16" ht="15.75">
      <c r="A11" s="475" t="s">
        <v>526</v>
      </c>
      <c r="B11" s="197"/>
      <c r="C11" s="200"/>
      <c r="D11" s="200"/>
      <c r="E11" s="197"/>
      <c r="F11" s="200"/>
      <c r="G11" s="200"/>
      <c r="H11" s="200"/>
      <c r="I11" s="200"/>
      <c r="J11" s="200"/>
      <c r="K11" s="196"/>
      <c r="L11" s="564"/>
      <c r="M11" s="572"/>
      <c r="N11" s="572"/>
      <c r="O11" s="196"/>
      <c r="P11" s="196"/>
    </row>
    <row r="12" spans="1:16">
      <c r="A12" s="201"/>
      <c r="C12" s="196"/>
      <c r="D12" s="196"/>
      <c r="E12" s="202"/>
      <c r="F12" s="196"/>
      <c r="G12" s="196"/>
      <c r="H12" s="196"/>
      <c r="I12" s="196"/>
      <c r="J12" s="196"/>
      <c r="K12" s="196"/>
      <c r="L12" s="572"/>
      <c r="M12" s="572"/>
      <c r="N12" s="572"/>
      <c r="O12" s="196"/>
      <c r="P12" s="196"/>
    </row>
    <row r="13" spans="1:16">
      <c r="A13" s="201" t="s">
        <v>6</v>
      </c>
      <c r="C13" s="196"/>
      <c r="D13" s="196"/>
      <c r="E13" s="202"/>
      <c r="F13" s="196"/>
      <c r="G13" s="196"/>
      <c r="H13" s="196"/>
      <c r="I13" s="196"/>
      <c r="J13" s="201" t="s">
        <v>7</v>
      </c>
      <c r="K13" s="196"/>
      <c r="L13" s="572"/>
      <c r="M13" s="572"/>
      <c r="N13" s="572"/>
      <c r="O13" s="196"/>
      <c r="P13" s="196"/>
    </row>
    <row r="14" spans="1:16">
      <c r="A14" s="203" t="s">
        <v>8</v>
      </c>
      <c r="B14" s="204"/>
      <c r="C14" s="205"/>
      <c r="D14" s="205"/>
      <c r="E14" s="205"/>
      <c r="F14" s="205"/>
      <c r="G14" s="205"/>
      <c r="H14" s="205"/>
      <c r="I14" s="205"/>
      <c r="J14" s="203" t="s">
        <v>9</v>
      </c>
      <c r="K14" s="196"/>
      <c r="L14" s="572"/>
      <c r="M14" s="572"/>
      <c r="N14" s="572"/>
      <c r="O14" s="196"/>
      <c r="P14" s="196"/>
    </row>
    <row r="15" spans="1:16">
      <c r="A15" s="201">
        <v>1</v>
      </c>
      <c r="C15" s="196" t="s">
        <v>260</v>
      </c>
      <c r="D15" s="196"/>
      <c r="E15" s="206"/>
      <c r="F15" s="196"/>
      <c r="G15" s="196"/>
      <c r="H15" s="196"/>
      <c r="I15" s="196"/>
      <c r="J15" s="207">
        <f>J178</f>
        <v>72070264.594598457</v>
      </c>
      <c r="K15" s="196"/>
      <c r="L15" s="572"/>
      <c r="M15" s="572"/>
      <c r="N15" s="572"/>
      <c r="O15" s="196"/>
      <c r="P15" s="196"/>
    </row>
    <row r="16" spans="1:16">
      <c r="A16" s="201"/>
      <c r="C16" s="196"/>
      <c r="D16" s="196"/>
      <c r="E16" s="196"/>
      <c r="F16" s="196"/>
      <c r="G16" s="196"/>
      <c r="H16" s="196"/>
      <c r="I16" s="196"/>
      <c r="J16" s="206"/>
      <c r="K16" s="196"/>
      <c r="L16" s="572"/>
      <c r="M16" s="572"/>
      <c r="N16" s="572"/>
      <c r="O16" s="196"/>
      <c r="P16" s="196"/>
    </row>
    <row r="17" spans="1:17">
      <c r="A17" s="201"/>
      <c r="C17" s="196"/>
      <c r="D17" s="196"/>
      <c r="E17" s="196"/>
      <c r="F17" s="196"/>
      <c r="G17" s="196"/>
      <c r="H17" s="196"/>
      <c r="I17" s="196"/>
      <c r="J17" s="206"/>
      <c r="K17" s="196"/>
      <c r="L17" s="572"/>
      <c r="M17" s="572"/>
      <c r="N17" s="572"/>
      <c r="O17" s="196"/>
      <c r="P17" s="196"/>
    </row>
    <row r="18" spans="1:17" ht="15.75" thickBot="1">
      <c r="A18" s="201" t="s">
        <v>5</v>
      </c>
      <c r="C18" s="208" t="s">
        <v>522</v>
      </c>
      <c r="D18" s="457" t="s">
        <v>494</v>
      </c>
      <c r="E18" s="209" t="s">
        <v>10</v>
      </c>
      <c r="F18" s="210"/>
      <c r="G18" s="211" t="s">
        <v>11</v>
      </c>
      <c r="H18" s="211"/>
      <c r="I18" s="196"/>
      <c r="J18" s="206"/>
      <c r="K18" s="196"/>
      <c r="L18" s="572"/>
      <c r="M18" s="572"/>
      <c r="N18" s="572"/>
      <c r="O18" s="196"/>
      <c r="P18" s="196"/>
    </row>
    <row r="19" spans="1:17">
      <c r="A19" s="201">
        <v>2</v>
      </c>
      <c r="C19" s="212" t="s">
        <v>275</v>
      </c>
      <c r="D19" s="210" t="s">
        <v>123</v>
      </c>
      <c r="E19" s="213">
        <f>J254</f>
        <v>152462</v>
      </c>
      <c r="F19" s="213"/>
      <c r="G19" s="213" t="s">
        <v>12</v>
      </c>
      <c r="H19" s="214">
        <f>'Pg 6 of 8 Rev Cred Support'!E20</f>
        <v>1</v>
      </c>
      <c r="I19" s="213"/>
      <c r="J19" s="213">
        <f>H19*E19</f>
        <v>152462</v>
      </c>
      <c r="K19" s="196"/>
      <c r="L19" s="572"/>
      <c r="M19" s="572"/>
      <c r="N19" s="572"/>
      <c r="O19" s="196"/>
      <c r="P19"/>
    </row>
    <row r="20" spans="1:17">
      <c r="A20" s="201">
        <v>3</v>
      </c>
      <c r="C20" s="446" t="s">
        <v>523</v>
      </c>
      <c r="D20" s="210" t="s">
        <v>249</v>
      </c>
      <c r="E20" s="323">
        <f>J256</f>
        <v>219255.83999999799</v>
      </c>
      <c r="F20" s="213"/>
      <c r="G20" s="213" t="str">
        <f>G$19</f>
        <v>TP</v>
      </c>
      <c r="H20" s="214">
        <f t="shared" ref="H20:H22" si="0">J$202</f>
        <v>0.97749601123118979</v>
      </c>
      <c r="I20" s="213"/>
      <c r="J20" s="215">
        <f>H20*E20</f>
        <v>214321.70903914198</v>
      </c>
      <c r="K20" s="308"/>
      <c r="L20" s="572"/>
      <c r="M20" s="572"/>
      <c r="N20" s="572"/>
      <c r="O20" s="196"/>
      <c r="P20"/>
    </row>
    <row r="21" spans="1:17" ht="15.75">
      <c r="A21" s="320">
        <v>4</v>
      </c>
      <c r="B21" s="2"/>
      <c r="C21" s="446" t="s">
        <v>524</v>
      </c>
      <c r="D21" s="463" t="s">
        <v>495</v>
      </c>
      <c r="E21" s="323">
        <f>'Pg 6 of 8 Rev Cred Support'!E44</f>
        <v>142621.5</v>
      </c>
      <c r="F21" s="321"/>
      <c r="G21" s="321" t="str">
        <f t="shared" ref="G21:G23" si="1">G$19</f>
        <v>TP</v>
      </c>
      <c r="H21" s="322">
        <f t="shared" si="0"/>
        <v>0.97749601123118979</v>
      </c>
      <c r="I21" s="321"/>
      <c r="J21" s="323">
        <f>H21*E21</f>
        <v>139411.94736580914</v>
      </c>
      <c r="K21" s="196"/>
      <c r="L21" s="528"/>
      <c r="M21" s="572"/>
      <c r="N21" s="572"/>
      <c r="P21"/>
    </row>
    <row r="22" spans="1:17">
      <c r="A22" s="201">
        <v>5</v>
      </c>
      <c r="C22" s="311" t="s">
        <v>352</v>
      </c>
      <c r="D22" s="260"/>
      <c r="E22" s="719">
        <v>0</v>
      </c>
      <c r="F22" s="213"/>
      <c r="G22" s="213" t="str">
        <f t="shared" si="1"/>
        <v>TP</v>
      </c>
      <c r="H22" s="214">
        <f t="shared" si="0"/>
        <v>0.97749601123118979</v>
      </c>
      <c r="I22" s="213"/>
      <c r="J22" s="236">
        <f t="shared" ref="J22" si="2">H22*E22</f>
        <v>0</v>
      </c>
      <c r="K22" s="196"/>
      <c r="L22" s="572"/>
      <c r="M22" s="572"/>
      <c r="N22" s="572"/>
      <c r="P22"/>
    </row>
    <row r="23" spans="1:17">
      <c r="A23" s="201" t="s">
        <v>130</v>
      </c>
      <c r="C23" s="1" t="s">
        <v>405</v>
      </c>
      <c r="D23" s="260"/>
      <c r="E23" s="576">
        <f>'Appx B - RTEP'!X86</f>
        <v>0</v>
      </c>
      <c r="F23" s="213"/>
      <c r="G23" s="213" t="str">
        <f t="shared" si="1"/>
        <v>TP</v>
      </c>
      <c r="H23" s="214">
        <f t="shared" ref="H23" si="3">J$202</f>
        <v>0.97749601123118979</v>
      </c>
      <c r="I23" s="213"/>
      <c r="J23" s="324">
        <f>E23*H23</f>
        <v>0</v>
      </c>
      <c r="K23" s="196"/>
      <c r="L23" s="572"/>
      <c r="M23" s="572"/>
      <c r="N23" s="572"/>
      <c r="P23"/>
    </row>
    <row r="24" spans="1:17">
      <c r="A24" s="201">
        <v>6</v>
      </c>
      <c r="C24" s="212" t="s">
        <v>319</v>
      </c>
      <c r="D24" s="276"/>
      <c r="E24" s="216" t="s">
        <v>5</v>
      </c>
      <c r="F24" s="210"/>
      <c r="G24" s="210"/>
      <c r="H24" s="214"/>
      <c r="I24" s="210"/>
      <c r="J24" s="213">
        <f>SUM(J19:J22)</f>
        <v>506195.65640495112</v>
      </c>
      <c r="K24" s="196"/>
      <c r="L24" s="572"/>
      <c r="M24" s="572"/>
      <c r="N24" s="572"/>
      <c r="P24"/>
    </row>
    <row r="25" spans="1:17">
      <c r="A25" s="201" t="s">
        <v>416</v>
      </c>
      <c r="C25" s="212" t="s">
        <v>521</v>
      </c>
      <c r="D25" s="276" t="s">
        <v>496</v>
      </c>
      <c r="E25" s="216"/>
      <c r="F25" s="210"/>
      <c r="G25" s="210"/>
      <c r="H25" s="214"/>
      <c r="I25" s="210"/>
      <c r="J25" s="213">
        <v>0</v>
      </c>
      <c r="K25" s="196"/>
      <c r="L25" s="572"/>
      <c r="M25" s="572"/>
      <c r="N25" s="572"/>
      <c r="P25"/>
    </row>
    <row r="26" spans="1:17">
      <c r="A26" s="201"/>
      <c r="D26" s="196"/>
      <c r="E26" s="210" t="s">
        <v>5</v>
      </c>
      <c r="F26" s="196"/>
      <c r="G26" s="196"/>
      <c r="H26" s="214"/>
      <c r="I26" s="196"/>
      <c r="K26" s="196"/>
      <c r="L26" s="572"/>
      <c r="M26" s="572"/>
      <c r="N26" s="572"/>
      <c r="P26"/>
    </row>
    <row r="27" spans="1:17">
      <c r="A27" s="201"/>
      <c r="C27" s="212"/>
      <c r="D27" s="196"/>
      <c r="J27" s="210"/>
      <c r="K27" s="196"/>
      <c r="L27" s="572"/>
      <c r="M27" s="572"/>
      <c r="N27" s="572"/>
      <c r="P27"/>
    </row>
    <row r="28" spans="1:17" ht="16.5" thickBot="1">
      <c r="A28" s="201">
        <v>7</v>
      </c>
      <c r="C28" s="212" t="s">
        <v>13</v>
      </c>
      <c r="D28" s="196" t="s">
        <v>417</v>
      </c>
      <c r="E28" s="216" t="s">
        <v>5</v>
      </c>
      <c r="F28" s="210"/>
      <c r="G28" s="210"/>
      <c r="H28" s="210"/>
      <c r="I28" s="210"/>
      <c r="J28" s="737">
        <f>J15-J24+J25</f>
        <v>71564068.9381935</v>
      </c>
      <c r="K28" s="196"/>
      <c r="L28" s="528"/>
      <c r="M28" s="572"/>
      <c r="N28" s="761"/>
      <c r="O28" s="563"/>
      <c r="P28"/>
      <c r="Q28" s="561"/>
    </row>
    <row r="29" spans="1:17" ht="15.75" thickTop="1">
      <c r="A29" s="201"/>
      <c r="D29" s="196"/>
      <c r="E29" s="216"/>
      <c r="F29" s="210"/>
      <c r="G29" s="210"/>
      <c r="H29" s="210"/>
      <c r="I29" s="210"/>
      <c r="K29" s="196"/>
      <c r="L29" s="572"/>
      <c r="M29" s="572"/>
      <c r="N29" s="572"/>
      <c r="O29" s="567"/>
      <c r="P29"/>
      <c r="Q29" s="561"/>
    </row>
    <row r="30" spans="1:17">
      <c r="A30" s="201"/>
      <c r="C30" s="212" t="s">
        <v>250</v>
      </c>
      <c r="D30" s="196"/>
      <c r="E30" s="206"/>
      <c r="F30" s="196"/>
      <c r="G30" s="196"/>
      <c r="H30" s="196"/>
      <c r="I30" s="196"/>
      <c r="J30" s="206"/>
      <c r="K30" s="196"/>
      <c r="L30" s="572"/>
      <c r="M30" s="572"/>
      <c r="N30" s="572"/>
      <c r="P30"/>
    </row>
    <row r="31" spans="1:17" ht="15.75">
      <c r="A31" s="201">
        <v>8</v>
      </c>
      <c r="C31" s="306" t="s">
        <v>519</v>
      </c>
      <c r="D31" s="476" t="s">
        <v>497</v>
      </c>
      <c r="E31" s="307"/>
      <c r="F31" s="308"/>
      <c r="G31" s="308"/>
      <c r="H31" s="309"/>
      <c r="I31" s="308"/>
      <c r="J31" s="696">
        <f>MAX('Pg 8 of 8 Peak Load'!C35:N35)</f>
        <v>3513415.16</v>
      </c>
      <c r="K31" s="196"/>
      <c r="L31" s="528"/>
      <c r="M31" s="572"/>
      <c r="N31" s="572"/>
      <c r="P31"/>
    </row>
    <row r="32" spans="1:17" ht="15.75">
      <c r="A32" s="201">
        <v>9</v>
      </c>
      <c r="C32" s="306" t="s">
        <v>520</v>
      </c>
      <c r="D32" s="476" t="s">
        <v>498</v>
      </c>
      <c r="E32" s="310"/>
      <c r="F32" s="310"/>
      <c r="G32" s="310"/>
      <c r="H32" s="310"/>
      <c r="I32" s="310"/>
      <c r="J32" s="696">
        <f>'Pg 8 of 8 Peak Load'!P35</f>
        <v>2318566</v>
      </c>
      <c r="K32" s="196"/>
      <c r="L32" s="528"/>
      <c r="M32" s="572"/>
      <c r="N32" s="572"/>
      <c r="O32" s="196"/>
      <c r="P32"/>
    </row>
    <row r="33" spans="1:18">
      <c r="A33" s="201"/>
      <c r="C33" s="212"/>
      <c r="D33" s="196"/>
      <c r="E33" s="196"/>
      <c r="F33" s="196"/>
      <c r="G33" s="196"/>
      <c r="H33" s="196"/>
      <c r="I33" s="196"/>
      <c r="J33" s="217"/>
      <c r="K33" s="196"/>
      <c r="L33" s="196"/>
      <c r="M33" s="196"/>
      <c r="N33" s="196"/>
      <c r="O33" s="196"/>
      <c r="P33" s="196"/>
    </row>
    <row r="34" spans="1:18">
      <c r="A34" s="201">
        <v>10</v>
      </c>
      <c r="C34" s="212" t="s">
        <v>245</v>
      </c>
      <c r="D34" s="196"/>
      <c r="E34" s="207"/>
      <c r="F34" s="207"/>
      <c r="G34" s="207"/>
      <c r="H34" s="207"/>
      <c r="I34" s="207"/>
      <c r="J34" s="207"/>
      <c r="K34" s="196"/>
      <c r="L34" s="196"/>
      <c r="M34" s="196"/>
      <c r="N34" s="196"/>
      <c r="O34" s="196"/>
      <c r="P34" s="196"/>
    </row>
    <row r="35" spans="1:18">
      <c r="A35" s="201">
        <v>11</v>
      </c>
      <c r="C35" s="212" t="s">
        <v>245</v>
      </c>
      <c r="D35" s="196"/>
      <c r="E35" s="207"/>
      <c r="F35" s="207"/>
      <c r="G35" s="207"/>
      <c r="H35" s="207"/>
      <c r="I35" s="207"/>
      <c r="J35" s="207"/>
      <c r="K35" s="196"/>
      <c r="L35" s="196"/>
      <c r="M35" s="196"/>
      <c r="N35" s="196"/>
      <c r="O35" s="196"/>
      <c r="P35" s="196"/>
    </row>
    <row r="36" spans="1:18">
      <c r="A36" s="201">
        <v>12</v>
      </c>
      <c r="C36" s="212" t="s">
        <v>245</v>
      </c>
      <c r="D36" s="196"/>
      <c r="E36" s="207"/>
      <c r="F36" s="207"/>
      <c r="G36" s="207"/>
      <c r="H36" s="207"/>
      <c r="I36" s="207"/>
      <c r="J36" s="207"/>
      <c r="K36" s="196"/>
      <c r="L36" s="196"/>
      <c r="M36" s="196"/>
      <c r="N36" s="196"/>
      <c r="O36" s="196"/>
      <c r="P36" s="196"/>
    </row>
    <row r="37" spans="1:18">
      <c r="A37" s="201">
        <v>13</v>
      </c>
      <c r="C37" s="212" t="s">
        <v>245</v>
      </c>
      <c r="D37" s="196"/>
      <c r="E37" s="207"/>
      <c r="F37" s="207"/>
      <c r="G37" s="207"/>
      <c r="H37" s="207"/>
      <c r="I37" s="207"/>
      <c r="J37" s="207"/>
      <c r="K37" s="196"/>
      <c r="L37" s="196"/>
      <c r="M37" s="196"/>
      <c r="N37"/>
      <c r="O37"/>
      <c r="P37"/>
      <c r="Q37"/>
      <c r="R37"/>
    </row>
    <row r="38" spans="1:18">
      <c r="A38" s="201">
        <v>14</v>
      </c>
      <c r="C38" s="212" t="s">
        <v>245</v>
      </c>
      <c r="D38" s="196" t="s">
        <v>627</v>
      </c>
      <c r="E38" s="207"/>
      <c r="F38" s="207"/>
      <c r="G38" s="207"/>
      <c r="H38" s="207"/>
      <c r="I38" s="207"/>
      <c r="J38" s="207"/>
      <c r="K38" s="196"/>
      <c r="L38" s="196"/>
      <c r="M38" s="196"/>
      <c r="N38"/>
      <c r="O38"/>
      <c r="P38"/>
      <c r="Q38"/>
      <c r="R38"/>
    </row>
    <row r="39" spans="1:18">
      <c r="A39" s="201"/>
      <c r="C39" s="212"/>
      <c r="D39" s="196"/>
      <c r="E39" s="207"/>
      <c r="F39" s="207"/>
      <c r="G39" s="207"/>
      <c r="H39" s="207"/>
      <c r="I39" s="207"/>
      <c r="J39" s="207"/>
      <c r="K39" s="196"/>
      <c r="L39" s="196"/>
      <c r="M39" s="196"/>
      <c r="N39"/>
      <c r="O39"/>
      <c r="P39"/>
      <c r="Q39"/>
      <c r="R39"/>
    </row>
    <row r="40" spans="1:18" ht="15.75">
      <c r="A40" s="201">
        <v>15</v>
      </c>
      <c r="C40" s="212" t="s">
        <v>229</v>
      </c>
      <c r="D40" s="196" t="s">
        <v>251</v>
      </c>
      <c r="E40" s="218">
        <f>IF(J31&gt;0,J28/J31,9)</f>
        <v>20.368805187882636</v>
      </c>
      <c r="F40" s="207"/>
      <c r="G40" s="207"/>
      <c r="H40" s="207"/>
      <c r="I40" s="207"/>
      <c r="J40" s="529"/>
      <c r="K40" s="506"/>
      <c r="L40" s="506"/>
      <c r="M40" s="308"/>
      <c r="N40"/>
      <c r="O40"/>
      <c r="P40"/>
      <c r="Q40"/>
      <c r="R40"/>
    </row>
    <row r="41" spans="1:18" ht="15.75">
      <c r="A41" s="201"/>
      <c r="C41" s="212"/>
      <c r="D41" s="196"/>
      <c r="E41" s="218"/>
      <c r="F41" s="207"/>
      <c r="G41" s="207"/>
      <c r="H41" s="207"/>
      <c r="I41" s="207"/>
      <c r="J41" s="530"/>
      <c r="K41" s="506"/>
      <c r="L41" s="506"/>
      <c r="M41" s="308"/>
      <c r="N41"/>
      <c r="O41"/>
      <c r="P41"/>
      <c r="Q41"/>
      <c r="R41"/>
    </row>
    <row r="42" spans="1:18" ht="15.75">
      <c r="A42" s="201">
        <v>16</v>
      </c>
      <c r="C42" s="212" t="s">
        <v>281</v>
      </c>
      <c r="D42" s="196" t="s">
        <v>282</v>
      </c>
      <c r="E42" s="218">
        <f>IF(J32&gt;0,J28/J32,9)</f>
        <v>30.865659609514459</v>
      </c>
      <c r="F42" s="207"/>
      <c r="G42" s="346"/>
      <c r="H42" s="207"/>
      <c r="I42" s="207"/>
      <c r="J42" s="530"/>
      <c r="K42" s="506"/>
      <c r="L42" s="506"/>
      <c r="M42" s="308"/>
      <c r="N42"/>
      <c r="O42"/>
      <c r="P42"/>
      <c r="Q42"/>
      <c r="R42"/>
    </row>
    <row r="43" spans="1:18" ht="15.75">
      <c r="A43" s="201"/>
      <c r="C43" s="212"/>
      <c r="D43" s="196"/>
      <c r="E43" s="218"/>
      <c r="F43" s="207"/>
      <c r="G43" s="527"/>
      <c r="H43" s="527"/>
      <c r="I43" s="207"/>
      <c r="J43" s="530"/>
      <c r="K43" s="506"/>
      <c r="L43" s="506"/>
      <c r="M43" s="308"/>
      <c r="N43"/>
      <c r="O43"/>
      <c r="P43"/>
      <c r="Q43"/>
      <c r="R43"/>
    </row>
    <row r="44" spans="1:18" ht="15.75">
      <c r="A44" s="201">
        <v>17</v>
      </c>
      <c r="C44" s="212" t="s">
        <v>283</v>
      </c>
      <c r="D44" s="196" t="s">
        <v>284</v>
      </c>
      <c r="E44" s="621">
        <f>ROUND(E40/12,9)</f>
        <v>1.697400432</v>
      </c>
      <c r="F44" s="207"/>
      <c r="G44" s="527"/>
      <c r="H44" s="527"/>
      <c r="I44" s="207"/>
      <c r="J44" s="529"/>
      <c r="K44" s="506"/>
      <c r="L44" s="506"/>
      <c r="M44" s="308"/>
      <c r="N44"/>
      <c r="O44"/>
      <c r="P44"/>
      <c r="Q44"/>
      <c r="R44"/>
    </row>
    <row r="45" spans="1:18">
      <c r="A45" s="201"/>
      <c r="C45" s="212"/>
      <c r="D45" s="196"/>
      <c r="E45" s="621"/>
      <c r="F45" s="207"/>
      <c r="G45" s="527"/>
      <c r="H45" s="527"/>
      <c r="I45" s="207"/>
      <c r="J45" s="213"/>
      <c r="K45" s="196"/>
      <c r="L45" s="196"/>
      <c r="M45" s="196"/>
      <c r="N45"/>
      <c r="O45"/>
      <c r="P45"/>
      <c r="Q45"/>
      <c r="R45"/>
    </row>
    <row r="46" spans="1:18">
      <c r="A46" s="201" t="s">
        <v>280</v>
      </c>
      <c r="C46" s="212" t="s">
        <v>285</v>
      </c>
      <c r="D46" s="196" t="s">
        <v>286</v>
      </c>
      <c r="E46" s="621">
        <f>ROUND($E$42/12,9)</f>
        <v>2.5721383009999998</v>
      </c>
      <c r="F46" s="207"/>
      <c r="G46" s="527"/>
      <c r="H46" s="527"/>
      <c r="I46" s="207"/>
      <c r="J46" s="213"/>
      <c r="K46" s="196"/>
      <c r="L46" s="196"/>
      <c r="M46" s="196"/>
      <c r="N46"/>
      <c r="O46"/>
      <c r="P46"/>
      <c r="Q46"/>
      <c r="R46"/>
    </row>
    <row r="47" spans="1:18">
      <c r="A47" s="201"/>
      <c r="C47" s="212"/>
      <c r="D47" s="196"/>
      <c r="E47" s="218"/>
      <c r="F47" s="207"/>
      <c r="G47" s="527"/>
      <c r="H47" s="527"/>
      <c r="I47" s="207"/>
      <c r="J47" s="213"/>
      <c r="K47" s="196"/>
      <c r="L47" s="196"/>
      <c r="M47" s="196"/>
      <c r="N47"/>
      <c r="O47"/>
      <c r="P47"/>
      <c r="Q47"/>
      <c r="R47"/>
    </row>
    <row r="48" spans="1:18">
      <c r="A48" s="201"/>
      <c r="C48" s="212"/>
      <c r="D48" s="196"/>
      <c r="E48" s="456" t="s">
        <v>525</v>
      </c>
      <c r="F48" s="220"/>
      <c r="G48" s="220"/>
      <c r="I48" s="207"/>
      <c r="J48" s="456" t="s">
        <v>293</v>
      </c>
      <c r="K48" s="196"/>
      <c r="L48" s="196"/>
      <c r="M48" s="196"/>
      <c r="N48"/>
      <c r="O48"/>
      <c r="P48"/>
      <c r="Q48"/>
      <c r="R48"/>
    </row>
    <row r="49" spans="1:18">
      <c r="A49" s="201"/>
      <c r="C49" s="212"/>
      <c r="D49" s="196"/>
      <c r="E49" s="219"/>
      <c r="F49" s="220"/>
      <c r="G49" s="220"/>
      <c r="I49" s="207"/>
      <c r="J49" s="219"/>
      <c r="K49" s="196"/>
      <c r="L49" s="196"/>
      <c r="M49" s="196"/>
      <c r="N49"/>
      <c r="O49"/>
      <c r="P49"/>
      <c r="Q49"/>
      <c r="R49"/>
    </row>
    <row r="50" spans="1:18">
      <c r="A50" s="201">
        <v>18</v>
      </c>
      <c r="C50" s="212" t="s">
        <v>287</v>
      </c>
      <c r="D50" s="196" t="s">
        <v>290</v>
      </c>
      <c r="E50" s="218">
        <f>ROUND($E$42/52,9)</f>
        <v>0.59357037700000004</v>
      </c>
      <c r="F50" s="207"/>
      <c r="G50" s="207"/>
      <c r="H50" s="207"/>
      <c r="I50" s="207"/>
      <c r="J50" s="213"/>
      <c r="K50" s="196"/>
      <c r="L50" s="196"/>
      <c r="M50" s="196"/>
      <c r="N50"/>
      <c r="O50"/>
      <c r="P50"/>
      <c r="Q50"/>
      <c r="R50"/>
    </row>
    <row r="51" spans="1:18">
      <c r="A51" s="201"/>
      <c r="C51" s="212"/>
      <c r="D51" s="196"/>
      <c r="E51" s="218"/>
      <c r="F51" s="207"/>
      <c r="G51" s="207"/>
      <c r="H51" s="207"/>
      <c r="I51" s="207"/>
      <c r="J51" s="213"/>
      <c r="K51" s="196"/>
      <c r="L51" s="196"/>
      <c r="M51" s="196"/>
      <c r="N51"/>
      <c r="O51"/>
      <c r="P51"/>
      <c r="Q51"/>
      <c r="R51"/>
    </row>
    <row r="52" spans="1:18">
      <c r="A52" s="201">
        <v>19</v>
      </c>
      <c r="C52" s="212" t="s">
        <v>288</v>
      </c>
      <c r="D52" s="196" t="s">
        <v>291</v>
      </c>
      <c r="E52" s="218">
        <f>ROUND($E$42/260,9)</f>
        <v>0.118714075</v>
      </c>
      <c r="F52" s="207" t="s">
        <v>294</v>
      </c>
      <c r="G52" s="207"/>
      <c r="H52" s="207"/>
      <c r="I52" s="207"/>
      <c r="J52" s="218">
        <f>ROUND($E$42/365,9)</f>
        <v>8.4563450999999998E-2</v>
      </c>
      <c r="K52" s="196"/>
      <c r="L52" s="196"/>
      <c r="M52" s="196"/>
      <c r="N52"/>
      <c r="O52"/>
      <c r="P52"/>
      <c r="Q52"/>
      <c r="R52"/>
    </row>
    <row r="53" spans="1:18">
      <c r="A53" s="201"/>
      <c r="C53" s="212"/>
      <c r="D53" s="196"/>
      <c r="E53" s="218"/>
      <c r="F53" s="207"/>
      <c r="G53" s="207"/>
      <c r="H53" s="207"/>
      <c r="I53" s="207"/>
      <c r="J53" s="218"/>
      <c r="K53" s="196"/>
      <c r="L53" s="196"/>
      <c r="M53" s="196"/>
      <c r="N53"/>
      <c r="O53"/>
      <c r="P53"/>
      <c r="Q53"/>
      <c r="R53"/>
    </row>
    <row r="54" spans="1:18" ht="30">
      <c r="A54" s="201">
        <v>20</v>
      </c>
      <c r="C54" s="446" t="s">
        <v>289</v>
      </c>
      <c r="D54" s="455" t="s">
        <v>292</v>
      </c>
      <c r="E54" s="391">
        <f>ROUND(($J$28/$J$32)/4160*1000,4)</f>
        <v>7.4196</v>
      </c>
      <c r="F54" s="207" t="s">
        <v>295</v>
      </c>
      <c r="G54" s="207"/>
      <c r="H54" s="207"/>
      <c r="I54" s="207"/>
      <c r="J54" s="218">
        <f>ROUND(($J$28/$J$32)/8760*1000,4)</f>
        <v>3.5234999999999999</v>
      </c>
      <c r="K54" s="196"/>
      <c r="L54" s="196"/>
      <c r="M54" s="196"/>
      <c r="N54"/>
      <c r="O54"/>
      <c r="P54"/>
      <c r="Q54"/>
      <c r="R54"/>
    </row>
    <row r="55" spans="1:18">
      <c r="A55" s="201"/>
      <c r="C55" s="212"/>
      <c r="D55" s="221"/>
      <c r="E55" s="391"/>
      <c r="F55" s="207"/>
      <c r="G55" s="207"/>
      <c r="H55" s="207"/>
      <c r="I55" s="207"/>
      <c r="J55" s="218"/>
      <c r="K55" s="196"/>
      <c r="L55" s="196"/>
      <c r="M55" s="196"/>
      <c r="N55"/>
      <c r="O55"/>
      <c r="P55"/>
      <c r="Q55"/>
      <c r="R55"/>
    </row>
    <row r="56" spans="1:18">
      <c r="C56" s="192"/>
      <c r="D56" s="192"/>
      <c r="E56" s="193"/>
      <c r="F56" s="192"/>
      <c r="G56" s="192"/>
      <c r="H56" s="192"/>
      <c r="I56" s="194"/>
      <c r="K56" s="201"/>
      <c r="L56" s="222"/>
      <c r="M56" s="201"/>
      <c r="N56"/>
      <c r="O56"/>
      <c r="P56"/>
      <c r="Q56"/>
      <c r="R56"/>
    </row>
    <row r="57" spans="1:18" ht="18">
      <c r="A57" s="190"/>
      <c r="C57" s="192"/>
      <c r="D57" s="192"/>
      <c r="E57" s="347"/>
      <c r="F57" s="192"/>
      <c r="G57" s="192"/>
      <c r="H57" s="192"/>
      <c r="I57" s="194"/>
      <c r="J57" s="195" t="str">
        <f>J1</f>
        <v>Attachment H-24A</v>
      </c>
      <c r="K57" s="222"/>
      <c r="M57" s="222"/>
      <c r="N57"/>
      <c r="O57"/>
      <c r="P57"/>
      <c r="Q57"/>
      <c r="R57"/>
    </row>
    <row r="58" spans="1:18">
      <c r="C58" s="192"/>
      <c r="D58" s="192"/>
      <c r="E58" s="193"/>
      <c r="F58" s="192"/>
      <c r="G58" s="192"/>
      <c r="H58" s="192"/>
      <c r="I58" s="194"/>
      <c r="J58" s="195" t="s">
        <v>438</v>
      </c>
      <c r="M58" s="195"/>
      <c r="N58"/>
      <c r="O58"/>
      <c r="P58"/>
      <c r="Q58"/>
      <c r="R58"/>
    </row>
    <row r="59" spans="1:18">
      <c r="C59" s="192"/>
      <c r="D59" s="192"/>
      <c r="E59" s="193"/>
      <c r="F59" s="192"/>
      <c r="G59" s="192"/>
      <c r="H59" s="192"/>
      <c r="I59" s="194"/>
      <c r="K59" s="196"/>
      <c r="M59" s="195"/>
      <c r="N59"/>
      <c r="O59"/>
      <c r="P59"/>
      <c r="Q59"/>
      <c r="R59"/>
    </row>
    <row r="60" spans="1:18">
      <c r="C60" s="192"/>
      <c r="D60" s="192"/>
      <c r="E60" s="193"/>
      <c r="F60" s="192"/>
      <c r="G60" s="192"/>
      <c r="H60" s="192"/>
      <c r="I60" s="194"/>
      <c r="K60" s="196"/>
      <c r="M60" s="195"/>
      <c r="N60"/>
      <c r="O60"/>
      <c r="P60"/>
      <c r="Q60"/>
      <c r="R60"/>
    </row>
    <row r="61" spans="1:18">
      <c r="C61" s="192"/>
      <c r="D61" s="192"/>
      <c r="E61" s="193"/>
      <c r="F61" s="192"/>
      <c r="G61" s="192"/>
      <c r="H61" s="192"/>
      <c r="I61" s="194"/>
      <c r="K61" s="196"/>
      <c r="M61" s="195"/>
      <c r="N61" s="196"/>
      <c r="O61" s="196"/>
      <c r="P61" s="196"/>
    </row>
    <row r="62" spans="1:18">
      <c r="C62" s="192"/>
      <c r="D62" s="192"/>
      <c r="E62" s="193"/>
      <c r="F62" s="192"/>
      <c r="G62" s="192"/>
      <c r="H62" s="192"/>
      <c r="I62" s="194"/>
      <c r="J62" s="195"/>
      <c r="K62" s="196"/>
      <c r="M62" s="195"/>
      <c r="N62" s="196"/>
      <c r="O62" s="196"/>
      <c r="P62" s="196"/>
    </row>
    <row r="63" spans="1:18">
      <c r="C63" s="192" t="s">
        <v>4</v>
      </c>
      <c r="D63" s="192"/>
      <c r="E63" s="193"/>
      <c r="F63" s="192"/>
      <c r="G63" s="192"/>
      <c r="H63" s="192"/>
      <c r="I63" s="194"/>
      <c r="J63" s="222" t="str">
        <f>J7</f>
        <v>For the 12 months ended 12/31/2015</v>
      </c>
      <c r="K63" s="210"/>
      <c r="M63" s="195"/>
      <c r="N63" s="196"/>
      <c r="O63" s="196"/>
      <c r="P63" s="196"/>
    </row>
    <row r="64" spans="1:18">
      <c r="A64" s="198" t="str">
        <f>A8</f>
        <v>Rate Formula Template</v>
      </c>
      <c r="B64" s="197"/>
      <c r="C64" s="197"/>
      <c r="D64" s="198"/>
      <c r="E64" s="197"/>
      <c r="F64" s="198"/>
      <c r="G64" s="198"/>
      <c r="H64" s="198"/>
      <c r="I64" s="198"/>
      <c r="J64" s="197"/>
      <c r="K64" s="210"/>
      <c r="L64" s="197"/>
      <c r="M64" s="196"/>
      <c r="N64" s="196"/>
      <c r="O64" s="196"/>
      <c r="P64" s="196"/>
    </row>
    <row r="65" spans="1:16">
      <c r="A65" s="198" t="str">
        <f>A9</f>
        <v>Utilizing EKPC 2015 Form FF1 Data (ver.FINAL AUDITED)</v>
      </c>
      <c r="B65" s="197"/>
      <c r="C65" s="198"/>
      <c r="D65" s="199"/>
      <c r="E65" s="197"/>
      <c r="F65" s="199"/>
      <c r="G65" s="199"/>
      <c r="H65" s="199"/>
      <c r="I65" s="198"/>
      <c r="J65" s="198"/>
      <c r="K65" s="210"/>
      <c r="L65" s="200"/>
      <c r="M65" s="196"/>
      <c r="N65" s="196"/>
      <c r="O65" s="196"/>
      <c r="P65" s="196"/>
    </row>
    <row r="66" spans="1:16">
      <c r="A66" s="200"/>
      <c r="B66" s="197"/>
      <c r="C66" s="200"/>
      <c r="D66" s="200"/>
      <c r="E66" s="197"/>
      <c r="F66" s="200"/>
      <c r="G66" s="200"/>
      <c r="H66" s="200"/>
      <c r="I66" s="200"/>
      <c r="J66" s="200"/>
      <c r="K66" s="210"/>
      <c r="L66" s="200"/>
      <c r="M66" s="196"/>
      <c r="N66" s="196"/>
      <c r="O66" s="196"/>
      <c r="P66" s="196"/>
    </row>
    <row r="67" spans="1:16">
      <c r="A67" s="295" t="str">
        <f>$A$11</f>
        <v>East Kentucky Power Cooperative, Inc.</v>
      </c>
      <c r="B67" s="197"/>
      <c r="C67" s="200"/>
      <c r="D67" s="200"/>
      <c r="E67" s="197"/>
      <c r="F67" s="200"/>
      <c r="G67" s="200"/>
      <c r="H67" s="200"/>
      <c r="I67" s="200"/>
      <c r="J67" s="200"/>
      <c r="K67" s="210"/>
      <c r="L67" s="200"/>
      <c r="M67" s="210"/>
      <c r="N67" s="210"/>
      <c r="O67" s="210"/>
      <c r="P67" s="212"/>
    </row>
    <row r="68" spans="1:16">
      <c r="B68" s="197"/>
      <c r="C68" s="200"/>
      <c r="D68" s="200"/>
      <c r="E68" s="197"/>
      <c r="F68" s="200"/>
      <c r="G68" s="200"/>
      <c r="H68" s="200"/>
      <c r="I68" s="200"/>
      <c r="J68" s="200"/>
      <c r="K68" s="210"/>
      <c r="L68" s="200"/>
      <c r="M68" s="210"/>
      <c r="N68" s="210"/>
      <c r="O68" s="210"/>
      <c r="P68" s="212"/>
    </row>
    <row r="69" spans="1:16">
      <c r="C69" s="223" t="s">
        <v>16</v>
      </c>
      <c r="D69" s="223" t="s">
        <v>17</v>
      </c>
      <c r="E69" s="223" t="s">
        <v>18</v>
      </c>
      <c r="F69" s="210" t="s">
        <v>5</v>
      </c>
      <c r="G69" s="210"/>
      <c r="H69" s="224" t="s">
        <v>19</v>
      </c>
      <c r="I69" s="210"/>
      <c r="J69" s="225" t="s">
        <v>20</v>
      </c>
      <c r="K69" s="210"/>
      <c r="L69" s="223"/>
      <c r="M69" s="210"/>
      <c r="N69" s="223"/>
      <c r="O69" s="210"/>
      <c r="P69" s="212"/>
    </row>
    <row r="70" spans="1:16">
      <c r="A70" s="201" t="s">
        <v>6</v>
      </c>
      <c r="C70" s="212"/>
      <c r="D70" s="237" t="s">
        <v>21</v>
      </c>
      <c r="E70" s="210"/>
      <c r="F70" s="210"/>
      <c r="G70" s="210"/>
      <c r="H70" s="201"/>
      <c r="I70" s="210"/>
      <c r="J70" s="201" t="s">
        <v>22</v>
      </c>
      <c r="K70" s="210"/>
      <c r="L70" s="223"/>
      <c r="M70" s="210"/>
      <c r="N70" s="223"/>
      <c r="O70" s="223"/>
      <c r="P70" s="212"/>
    </row>
    <row r="71" spans="1:16" ht="15.75" thickBot="1">
      <c r="A71" s="203" t="s">
        <v>8</v>
      </c>
      <c r="C71" s="242" t="s">
        <v>230</v>
      </c>
      <c r="D71" s="605" t="s">
        <v>23</v>
      </c>
      <c r="E71" s="209" t="s">
        <v>24</v>
      </c>
      <c r="F71" s="245"/>
      <c r="G71" s="211" t="s">
        <v>11</v>
      </c>
      <c r="H71" s="211"/>
      <c r="I71" s="245"/>
      <c r="J71" s="606" t="s">
        <v>274</v>
      </c>
      <c r="K71" s="210"/>
      <c r="L71" s="223"/>
      <c r="M71" s="196"/>
      <c r="N71" s="223"/>
      <c r="O71" s="223"/>
      <c r="P71" s="212"/>
    </row>
    <row r="72" spans="1:16">
      <c r="D72" s="210"/>
      <c r="E72" s="210"/>
      <c r="F72" s="210"/>
      <c r="G72" s="210"/>
      <c r="H72" s="210"/>
      <c r="I72" s="210"/>
      <c r="J72" s="210"/>
      <c r="K72" s="210"/>
      <c r="L72" s="210"/>
      <c r="M72" s="196"/>
      <c r="N72" s="210"/>
      <c r="O72" s="210"/>
      <c r="P72" s="212"/>
    </row>
    <row r="73" spans="1:16">
      <c r="A73" s="201"/>
      <c r="C73" s="212"/>
      <c r="D73" s="210"/>
      <c r="E73" s="210"/>
      <c r="F73" s="210"/>
      <c r="G73" s="210"/>
      <c r="H73" s="210"/>
      <c r="I73" s="210"/>
      <c r="J73" s="210"/>
      <c r="K73" s="210"/>
      <c r="L73" s="210"/>
      <c r="M73" s="196"/>
      <c r="N73" s="210"/>
      <c r="O73" s="210"/>
      <c r="P73" s="212"/>
    </row>
    <row r="74" spans="1:16">
      <c r="A74" s="201"/>
      <c r="C74" s="212" t="s">
        <v>25</v>
      </c>
      <c r="D74" s="210"/>
      <c r="E74" s="210"/>
      <c r="F74" s="210"/>
      <c r="G74" s="210"/>
      <c r="H74" s="210"/>
      <c r="I74" s="210"/>
      <c r="J74" s="210"/>
      <c r="K74" s="210"/>
      <c r="L74" s="210"/>
      <c r="M74" s="196"/>
      <c r="N74" s="210"/>
      <c r="O74" s="210"/>
      <c r="P74" s="212"/>
    </row>
    <row r="75" spans="1:16">
      <c r="A75" s="201">
        <v>1</v>
      </c>
      <c r="C75" s="212" t="s">
        <v>26</v>
      </c>
      <c r="D75" s="210" t="s">
        <v>465</v>
      </c>
      <c r="E75" s="321">
        <v>3085989155</v>
      </c>
      <c r="F75" s="210"/>
      <c r="G75" s="210" t="s">
        <v>27</v>
      </c>
      <c r="H75" s="230" t="s">
        <v>5</v>
      </c>
      <c r="I75" s="210"/>
      <c r="J75" s="215" t="s">
        <v>5</v>
      </c>
      <c r="K75" s="210"/>
      <c r="L75" s="210"/>
      <c r="M75" s="196"/>
      <c r="O75" s="210"/>
      <c r="P75" s="212"/>
    </row>
    <row r="76" spans="1:16">
      <c r="A76" s="201">
        <v>2</v>
      </c>
      <c r="C76" s="212" t="s">
        <v>28</v>
      </c>
      <c r="D76" s="310" t="s">
        <v>448</v>
      </c>
      <c r="E76" s="576">
        <v>593688833</v>
      </c>
      <c r="F76" s="210"/>
      <c r="G76" s="210" t="s">
        <v>12</v>
      </c>
      <c r="H76" s="230">
        <f>J202</f>
        <v>0.97749601123118979</v>
      </c>
      <c r="I76" s="210"/>
      <c r="J76" s="213">
        <f>ROUND(H76*E76,0)</f>
        <v>580328466</v>
      </c>
      <c r="K76" s="210"/>
      <c r="L76" s="210"/>
      <c r="M76" s="196"/>
      <c r="N76" s="2"/>
      <c r="O76" s="210"/>
      <c r="P76" s="212"/>
    </row>
    <row r="77" spans="1:16">
      <c r="A77" s="201">
        <v>3</v>
      </c>
      <c r="C77" s="212" t="s">
        <v>29</v>
      </c>
      <c r="D77" s="310" t="s">
        <v>449</v>
      </c>
      <c r="E77" s="576">
        <v>214360252</v>
      </c>
      <c r="F77" s="210"/>
      <c r="G77" s="210" t="s">
        <v>27</v>
      </c>
      <c r="H77" s="230" t="s">
        <v>5</v>
      </c>
      <c r="I77" s="210"/>
      <c r="J77" s="215" t="s">
        <v>5</v>
      </c>
      <c r="K77" s="210"/>
      <c r="L77" s="210"/>
      <c r="M77" s="196"/>
      <c r="N77" s="2"/>
      <c r="O77" s="210"/>
      <c r="P77" s="212"/>
    </row>
    <row r="78" spans="1:16">
      <c r="A78" s="201">
        <v>4</v>
      </c>
      <c r="C78" s="212" t="s">
        <v>30</v>
      </c>
      <c r="D78" s="310" t="s">
        <v>450</v>
      </c>
      <c r="E78" s="576">
        <f>1966988+118062651</f>
        <v>120029639</v>
      </c>
      <c r="F78" s="210"/>
      <c r="G78" s="210" t="s">
        <v>31</v>
      </c>
      <c r="H78" s="230">
        <f>J220</f>
        <v>0.16164749054381655</v>
      </c>
      <c r="I78" s="210"/>
      <c r="J78" s="215">
        <f>ROUND(H78*E78,0)</f>
        <v>19402490</v>
      </c>
      <c r="K78" s="210"/>
      <c r="L78" s="210"/>
      <c r="M78" s="210"/>
      <c r="N78" s="2"/>
      <c r="O78" s="223"/>
      <c r="P78" s="212"/>
    </row>
    <row r="79" spans="1:16" ht="15.75" thickBot="1">
      <c r="A79" s="201">
        <v>5</v>
      </c>
      <c r="C79" s="212" t="s">
        <v>32</v>
      </c>
      <c r="D79" s="310"/>
      <c r="E79" s="538">
        <v>0</v>
      </c>
      <c r="F79" s="210"/>
      <c r="G79" s="210" t="s">
        <v>79</v>
      </c>
      <c r="H79" s="230">
        <f>L225</f>
        <v>0</v>
      </c>
      <c r="I79" s="210"/>
      <c r="J79" s="231">
        <f t="shared" ref="J79" si="4">ROUND(H79*E79,0)</f>
        <v>0</v>
      </c>
      <c r="K79" s="210"/>
      <c r="L79" s="210"/>
      <c r="M79" s="210"/>
      <c r="N79" s="2"/>
      <c r="O79" s="223"/>
      <c r="P79" s="212"/>
    </row>
    <row r="80" spans="1:16">
      <c r="A80" s="201">
        <v>6</v>
      </c>
      <c r="C80" s="192" t="s">
        <v>33</v>
      </c>
      <c r="D80" s="210"/>
      <c r="E80" s="213">
        <f>SUM(E75:E79)</f>
        <v>4014067879</v>
      </c>
      <c r="F80" s="210"/>
      <c r="G80" s="210" t="s">
        <v>34</v>
      </c>
      <c r="H80" s="232">
        <f>IF(J80&gt;0,J80/E80,0)</f>
        <v>0.14940727812241364</v>
      </c>
      <c r="I80" s="210"/>
      <c r="J80" s="213">
        <f>SUM(J75:J79)</f>
        <v>599730956</v>
      </c>
      <c r="K80" s="210"/>
      <c r="L80" s="233"/>
      <c r="M80" s="196"/>
      <c r="N80" s="2"/>
      <c r="O80" s="210"/>
      <c r="P80" s="212"/>
    </row>
    <row r="81" spans="1:16">
      <c r="C81" s="212"/>
      <c r="D81" s="210"/>
      <c r="E81" s="215"/>
      <c r="F81" s="210"/>
      <c r="G81" s="210"/>
      <c r="H81" s="233"/>
      <c r="I81" s="210"/>
      <c r="J81" s="215"/>
      <c r="K81" s="210"/>
      <c r="L81" s="233"/>
      <c r="M81" s="196"/>
      <c r="N81" s="310"/>
      <c r="O81" s="210"/>
      <c r="P81" s="212"/>
    </row>
    <row r="82" spans="1:16">
      <c r="C82" s="212" t="s">
        <v>35</v>
      </c>
      <c r="D82" s="210"/>
      <c r="E82" s="215"/>
      <c r="F82" s="210"/>
      <c r="G82" s="210"/>
      <c r="H82" s="210"/>
      <c r="I82" s="210"/>
      <c r="J82" s="215"/>
      <c r="K82" s="210"/>
      <c r="L82" s="210"/>
      <c r="M82" s="196"/>
      <c r="N82" s="310"/>
      <c r="O82" s="210"/>
      <c r="P82" s="212"/>
    </row>
    <row r="83" spans="1:16">
      <c r="A83" s="201">
        <v>7</v>
      </c>
      <c r="C83" s="212" t="str">
        <f>C75</f>
        <v xml:space="preserve">  Production</v>
      </c>
      <c r="D83" s="210" t="s">
        <v>145</v>
      </c>
      <c r="E83" s="321">
        <f>763325138+198879307</f>
        <v>962204445</v>
      </c>
      <c r="F83" s="210"/>
      <c r="G83" s="210" t="str">
        <f>G75</f>
        <v>NA</v>
      </c>
      <c r="H83" s="230" t="str">
        <f>H75</f>
        <v xml:space="preserve"> </v>
      </c>
      <c r="I83" s="210"/>
      <c r="J83" s="215" t="s">
        <v>5</v>
      </c>
      <c r="K83" s="210"/>
      <c r="L83" s="210"/>
      <c r="M83" s="196"/>
      <c r="N83" s="310"/>
      <c r="O83" s="210"/>
      <c r="P83" s="212"/>
    </row>
    <row r="84" spans="1:16">
      <c r="A84" s="201">
        <v>8</v>
      </c>
      <c r="C84" s="212" t="str">
        <f>C76</f>
        <v xml:space="preserve">  Transmission</v>
      </c>
      <c r="D84" s="210" t="s">
        <v>134</v>
      </c>
      <c r="E84" s="576">
        <v>176464455</v>
      </c>
      <c r="F84" s="210"/>
      <c r="G84" s="210" t="str">
        <f>G76</f>
        <v>TP</v>
      </c>
      <c r="H84" s="230">
        <f>H76</f>
        <v>0.97749601123118979</v>
      </c>
      <c r="I84" s="210"/>
      <c r="J84" s="213">
        <f>ROUND(H84*E84,0)</f>
        <v>172493301</v>
      </c>
      <c r="K84" s="210"/>
      <c r="L84" s="210"/>
      <c r="M84" s="196"/>
      <c r="N84" s="310"/>
      <c r="O84" s="210"/>
      <c r="P84" s="212"/>
    </row>
    <row r="85" spans="1:16">
      <c r="A85" s="201">
        <v>9</v>
      </c>
      <c r="C85" s="212" t="str">
        <f>C77</f>
        <v xml:space="preserve">  Distribution</v>
      </c>
      <c r="D85" s="210" t="s">
        <v>135</v>
      </c>
      <c r="E85" s="576">
        <v>63504636</v>
      </c>
      <c r="F85" s="210"/>
      <c r="G85" s="210" t="str">
        <f t="shared" ref="G85:H87" si="5">G77</f>
        <v>NA</v>
      </c>
      <c r="H85" s="230" t="str">
        <f t="shared" si="5"/>
        <v xml:space="preserve"> </v>
      </c>
      <c r="I85" s="210"/>
      <c r="J85" s="215" t="s">
        <v>5</v>
      </c>
      <c r="K85" s="210"/>
      <c r="L85" s="210"/>
      <c r="M85" s="196"/>
      <c r="N85" s="310"/>
      <c r="O85" s="210"/>
      <c r="P85" s="212"/>
    </row>
    <row r="86" spans="1:16">
      <c r="A86" s="201">
        <v>10</v>
      </c>
      <c r="C86" s="212" t="str">
        <f>C78</f>
        <v xml:space="preserve">  General &amp; Intangible</v>
      </c>
      <c r="D86" s="210" t="s">
        <v>0</v>
      </c>
      <c r="E86" s="576">
        <v>85518997</v>
      </c>
      <c r="F86" s="210"/>
      <c r="G86" s="210" t="str">
        <f t="shared" si="5"/>
        <v>W/S</v>
      </c>
      <c r="H86" s="230">
        <f t="shared" si="5"/>
        <v>0.16164749054381655</v>
      </c>
      <c r="I86" s="210"/>
      <c r="J86" s="215">
        <f t="shared" ref="J86:J87" si="6">ROUND(H86*E86,0)</f>
        <v>13823931</v>
      </c>
      <c r="K86" s="210"/>
      <c r="L86" s="210"/>
      <c r="M86" s="196"/>
      <c r="N86" s="310"/>
      <c r="O86" s="223"/>
      <c r="P86" s="212"/>
    </row>
    <row r="87" spans="1:16" ht="15.75" thickBot="1">
      <c r="A87" s="201">
        <v>11</v>
      </c>
      <c r="C87" s="212" t="str">
        <f>C79</f>
        <v xml:space="preserve">  Common</v>
      </c>
      <c r="D87" s="310"/>
      <c r="E87" s="538">
        <v>0</v>
      </c>
      <c r="F87" s="210"/>
      <c r="G87" s="210" t="str">
        <f t="shared" si="5"/>
        <v>CE</v>
      </c>
      <c r="H87" s="230">
        <f t="shared" si="5"/>
        <v>0</v>
      </c>
      <c r="I87" s="210"/>
      <c r="J87" s="231">
        <f t="shared" si="6"/>
        <v>0</v>
      </c>
      <c r="K87" s="210"/>
      <c r="L87" s="210"/>
      <c r="M87" s="196"/>
      <c r="N87" s="310"/>
      <c r="O87" s="223"/>
      <c r="P87" s="212"/>
    </row>
    <row r="88" spans="1:16">
      <c r="A88" s="201">
        <v>12</v>
      </c>
      <c r="C88" s="212" t="s">
        <v>36</v>
      </c>
      <c r="D88" s="210"/>
      <c r="E88" s="213">
        <f>SUM(E83:E87)</f>
        <v>1287692533</v>
      </c>
      <c r="F88" s="210"/>
      <c r="G88" s="210"/>
      <c r="H88" s="210"/>
      <c r="I88" s="210"/>
      <c r="J88" s="213">
        <f>SUM(J83:J87)</f>
        <v>186317232</v>
      </c>
      <c r="K88" s="210"/>
      <c r="L88" s="210"/>
      <c r="M88" s="196"/>
      <c r="N88" s="460"/>
      <c r="O88" s="210"/>
      <c r="P88" s="212"/>
    </row>
    <row r="89" spans="1:16">
      <c r="A89" s="201"/>
      <c r="D89" s="210" t="s">
        <v>5</v>
      </c>
      <c r="E89" s="215"/>
      <c r="F89" s="210"/>
      <c r="G89" s="210"/>
      <c r="H89" s="233"/>
      <c r="I89" s="210"/>
      <c r="J89" s="215"/>
      <c r="K89" s="210"/>
      <c r="L89" s="233"/>
      <c r="M89" s="196"/>
      <c r="N89" s="310"/>
      <c r="O89" s="210"/>
      <c r="P89" s="212"/>
    </row>
    <row r="90" spans="1:16">
      <c r="A90" s="201"/>
      <c r="C90" s="212" t="s">
        <v>37</v>
      </c>
      <c r="D90" s="210"/>
      <c r="E90" s="215"/>
      <c r="F90" s="210"/>
      <c r="G90" s="210"/>
      <c r="H90" s="210"/>
      <c r="I90" s="210"/>
      <c r="J90" s="215"/>
      <c r="K90" s="210"/>
      <c r="L90" s="210"/>
      <c r="M90" s="196"/>
      <c r="N90" s="310"/>
      <c r="O90" s="210"/>
      <c r="P90" s="212"/>
    </row>
    <row r="91" spans="1:16">
      <c r="A91" s="201">
        <v>13</v>
      </c>
      <c r="C91" s="212" t="str">
        <f>C83</f>
        <v xml:space="preserve">  Production</v>
      </c>
      <c r="D91" s="210" t="s">
        <v>272</v>
      </c>
      <c r="E91" s="213">
        <f>E75-E83</f>
        <v>2123784710</v>
      </c>
      <c r="F91" s="210"/>
      <c r="G91" s="210"/>
      <c r="H91" s="233"/>
      <c r="I91" s="210"/>
      <c r="J91" s="215" t="s">
        <v>5</v>
      </c>
      <c r="K91" s="210"/>
      <c r="L91" s="233"/>
      <c r="M91" s="196"/>
      <c r="N91" s="310"/>
      <c r="O91" s="210"/>
      <c r="P91" s="212"/>
    </row>
    <row r="92" spans="1:16">
      <c r="A92" s="201">
        <v>14</v>
      </c>
      <c r="C92" s="446" t="s">
        <v>48</v>
      </c>
      <c r="D92" s="210" t="s">
        <v>273</v>
      </c>
      <c r="E92" s="215">
        <f>E76-E84</f>
        <v>417224378</v>
      </c>
      <c r="F92" s="210"/>
      <c r="G92" s="210"/>
      <c r="H92" s="230"/>
      <c r="I92" s="210"/>
      <c r="J92" s="213">
        <f>J76-J84</f>
        <v>407835165</v>
      </c>
      <c r="K92" s="210"/>
      <c r="L92" s="233"/>
      <c r="M92" s="196"/>
      <c r="N92" s="310"/>
      <c r="O92" s="210"/>
      <c r="P92" s="212"/>
    </row>
    <row r="93" spans="1:16" hidden="1">
      <c r="A93" s="201"/>
      <c r="C93" s="426"/>
      <c r="D93" s="210"/>
      <c r="E93" s="215"/>
      <c r="F93" s="210"/>
      <c r="G93" s="210"/>
      <c r="H93" s="230"/>
      <c r="I93" s="210"/>
      <c r="J93" s="213"/>
      <c r="K93" s="210"/>
      <c r="L93" s="233"/>
      <c r="M93" s="196"/>
      <c r="N93" s="310"/>
      <c r="O93" s="210"/>
      <c r="P93" s="212"/>
    </row>
    <row r="94" spans="1:16">
      <c r="A94" s="201">
        <v>15</v>
      </c>
      <c r="C94" s="212" t="str">
        <f>C85</f>
        <v xml:space="preserve">  Distribution</v>
      </c>
      <c r="D94" s="210" t="s">
        <v>38</v>
      </c>
      <c r="E94" s="215">
        <f>E77-E85</f>
        <v>150855616</v>
      </c>
      <c r="F94" s="210"/>
      <c r="G94" s="210"/>
      <c r="H94" s="233"/>
      <c r="I94" s="210"/>
      <c r="J94" s="215" t="s">
        <v>5</v>
      </c>
      <c r="K94" s="210"/>
      <c r="L94" s="233"/>
      <c r="M94" s="196"/>
      <c r="N94" s="310"/>
      <c r="O94" s="210"/>
      <c r="P94" s="212"/>
    </row>
    <row r="95" spans="1:16">
      <c r="A95" s="201">
        <v>16</v>
      </c>
      <c r="C95" s="212" t="str">
        <f>C86</f>
        <v xml:space="preserve">  General &amp; Intangible</v>
      </c>
      <c r="D95" s="210" t="s">
        <v>39</v>
      </c>
      <c r="E95" s="215">
        <f>E78-E86</f>
        <v>34510642</v>
      </c>
      <c r="F95" s="210"/>
      <c r="G95" s="210"/>
      <c r="H95" s="233"/>
      <c r="I95" s="210"/>
      <c r="J95" s="215">
        <f>J78-J86</f>
        <v>5578559</v>
      </c>
      <c r="K95" s="210"/>
      <c r="L95" s="233"/>
      <c r="M95" s="196"/>
      <c r="N95" s="310"/>
      <c r="O95" s="223"/>
      <c r="P95" s="212"/>
    </row>
    <row r="96" spans="1:16" ht="15.75" thickBot="1">
      <c r="A96" s="201">
        <v>17</v>
      </c>
      <c r="C96" s="212" t="str">
        <f>C87</f>
        <v xml:space="preserve">  Common</v>
      </c>
      <c r="D96" s="210" t="s">
        <v>40</v>
      </c>
      <c r="E96" s="231">
        <f>E79-E87</f>
        <v>0</v>
      </c>
      <c r="F96" s="210"/>
      <c r="G96" s="210"/>
      <c r="H96" s="233"/>
      <c r="I96" s="210"/>
      <c r="J96" s="231">
        <f>J79-J87</f>
        <v>0</v>
      </c>
      <c r="K96" s="210"/>
      <c r="L96" s="233"/>
      <c r="M96" s="196"/>
      <c r="N96" s="310"/>
      <c r="O96" s="223"/>
      <c r="P96" s="212"/>
    </row>
    <row r="97" spans="1:16">
      <c r="A97" s="201">
        <v>18</v>
      </c>
      <c r="C97" s="212" t="s">
        <v>41</v>
      </c>
      <c r="D97" s="210"/>
      <c r="E97" s="213">
        <f>SUM(E91:E96)</f>
        <v>2726375346</v>
      </c>
      <c r="F97" s="210"/>
      <c r="G97" s="210" t="s">
        <v>42</v>
      </c>
      <c r="H97" s="233">
        <f>IF(J97&gt;0,J97/E97,0)</f>
        <v>0.15163492605907683</v>
      </c>
      <c r="I97" s="210"/>
      <c r="J97" s="213">
        <f>SUM(J91:J96)</f>
        <v>413413724</v>
      </c>
      <c r="K97" s="210"/>
      <c r="L97" s="210"/>
      <c r="M97" s="196"/>
      <c r="N97" s="461"/>
      <c r="O97" s="210"/>
      <c r="P97" s="212"/>
    </row>
    <row r="98" spans="1:16">
      <c r="A98" s="201"/>
      <c r="D98" s="210"/>
      <c r="E98" s="215"/>
      <c r="F98" s="210"/>
      <c r="I98" s="210"/>
      <c r="J98" s="215"/>
      <c r="K98" s="210"/>
      <c r="L98" s="233"/>
      <c r="M98" s="196"/>
      <c r="N98" s="310"/>
      <c r="O98" s="210"/>
      <c r="P98" s="212"/>
    </row>
    <row r="99" spans="1:16">
      <c r="A99" s="201"/>
      <c r="C99" s="447" t="s">
        <v>457</v>
      </c>
      <c r="D99" s="210"/>
      <c r="E99" s="215"/>
      <c r="F99" s="210"/>
      <c r="G99" s="210"/>
      <c r="H99" s="210"/>
      <c r="I99" s="210"/>
      <c r="J99" s="215"/>
      <c r="K99" s="210"/>
      <c r="L99" s="210"/>
      <c r="M99" s="196"/>
      <c r="N99" s="462"/>
      <c r="O99" s="210"/>
      <c r="P99" s="212"/>
    </row>
    <row r="100" spans="1:16">
      <c r="A100" s="201">
        <v>19</v>
      </c>
      <c r="C100" s="212" t="s">
        <v>115</v>
      </c>
      <c r="D100" s="310" t="s">
        <v>451</v>
      </c>
      <c r="E100" s="321">
        <v>0</v>
      </c>
      <c r="F100" s="210"/>
      <c r="G100" s="210" t="str">
        <f>G83</f>
        <v>NA</v>
      </c>
      <c r="H100" s="269" t="s">
        <v>131</v>
      </c>
      <c r="I100" s="210"/>
      <c r="J100" s="213">
        <v>0</v>
      </c>
      <c r="K100" s="210"/>
      <c r="L100" s="233"/>
      <c r="M100" s="196"/>
      <c r="N100" s="2"/>
      <c r="O100" s="223"/>
      <c r="P100" s="212"/>
    </row>
    <row r="101" spans="1:16">
      <c r="A101" s="201">
        <v>20</v>
      </c>
      <c r="C101" s="212" t="s">
        <v>116</v>
      </c>
      <c r="D101" s="310" t="s">
        <v>452</v>
      </c>
      <c r="E101" s="576">
        <v>0</v>
      </c>
      <c r="F101" s="210"/>
      <c r="G101" s="210" t="s">
        <v>43</v>
      </c>
      <c r="H101" s="230">
        <f>H97</f>
        <v>0.15163492605907683</v>
      </c>
      <c r="I101" s="210"/>
      <c r="J101" s="215">
        <f>ROUND(H101*E101,0)</f>
        <v>0</v>
      </c>
      <c r="K101" s="210"/>
      <c r="L101" s="233"/>
      <c r="M101" s="196"/>
      <c r="N101" s="2"/>
      <c r="O101" s="223"/>
      <c r="P101" s="212"/>
    </row>
    <row r="102" spans="1:16">
      <c r="A102" s="201">
        <v>21</v>
      </c>
      <c r="C102" s="212" t="s">
        <v>117</v>
      </c>
      <c r="D102" s="310" t="s">
        <v>453</v>
      </c>
      <c r="E102" s="576">
        <v>0</v>
      </c>
      <c r="F102" s="210"/>
      <c r="G102" s="210" t="s">
        <v>43</v>
      </c>
      <c r="H102" s="230">
        <f>H101</f>
        <v>0.15163492605907683</v>
      </c>
      <c r="I102" s="210"/>
      <c r="J102" s="215">
        <f t="shared" ref="J102:J104" si="7">ROUND(H102*E102,0)</f>
        <v>0</v>
      </c>
      <c r="K102" s="210"/>
      <c r="L102" s="233"/>
      <c r="M102" s="196"/>
      <c r="N102" s="2"/>
      <c r="O102" s="223"/>
      <c r="P102" s="212"/>
    </row>
    <row r="103" spans="1:16">
      <c r="A103" s="201">
        <v>22</v>
      </c>
      <c r="C103" s="212" t="s">
        <v>119</v>
      </c>
      <c r="D103" s="310" t="s">
        <v>454</v>
      </c>
      <c r="E103" s="540">
        <v>0</v>
      </c>
      <c r="F103" s="210"/>
      <c r="G103" s="210" t="str">
        <f>G102</f>
        <v>NP</v>
      </c>
      <c r="H103" s="230">
        <f>H102</f>
        <v>0.15163492605907683</v>
      </c>
      <c r="I103" s="210"/>
      <c r="J103" s="215">
        <f t="shared" si="7"/>
        <v>0</v>
      </c>
      <c r="K103" s="210"/>
      <c r="L103" s="233"/>
      <c r="M103" s="196"/>
      <c r="N103" s="2"/>
      <c r="O103" s="223"/>
      <c r="P103" s="212"/>
    </row>
    <row r="104" spans="1:16" ht="15.75" thickBot="1">
      <c r="A104" s="201">
        <v>23</v>
      </c>
      <c r="C104" s="191" t="s">
        <v>118</v>
      </c>
      <c r="D104" s="2" t="s">
        <v>455</v>
      </c>
      <c r="E104" s="538">
        <v>0</v>
      </c>
      <c r="F104" s="210"/>
      <c r="G104" s="210" t="s">
        <v>43</v>
      </c>
      <c r="H104" s="230">
        <f>H102</f>
        <v>0.15163492605907683</v>
      </c>
      <c r="I104" s="210"/>
      <c r="J104" s="231">
        <f t="shared" si="7"/>
        <v>0</v>
      </c>
      <c r="K104" s="210"/>
      <c r="L104" s="233"/>
      <c r="M104" s="196"/>
      <c r="N104" s="2"/>
      <c r="O104" s="223"/>
      <c r="P104" s="212"/>
    </row>
    <row r="105" spans="1:16">
      <c r="A105" s="201">
        <v>24</v>
      </c>
      <c r="C105" s="212" t="s">
        <v>114</v>
      </c>
      <c r="D105" s="310"/>
      <c r="E105" s="321">
        <f>SUM(E100:E104)</f>
        <v>0</v>
      </c>
      <c r="F105" s="210"/>
      <c r="G105" s="210"/>
      <c r="H105" s="210"/>
      <c r="I105" s="210"/>
      <c r="J105" s="213">
        <f>SUM(J100:J104)</f>
        <v>0</v>
      </c>
      <c r="K105" s="210"/>
      <c r="L105" s="210"/>
      <c r="M105" s="196"/>
      <c r="N105" s="460"/>
      <c r="O105" s="210"/>
      <c r="P105" s="212"/>
    </row>
    <row r="106" spans="1:16">
      <c r="A106" s="201"/>
      <c r="D106" s="310"/>
      <c r="E106" s="576"/>
      <c r="F106" s="210"/>
      <c r="G106" s="210"/>
      <c r="H106" s="233"/>
      <c r="I106" s="210"/>
      <c r="J106" s="215"/>
      <c r="K106" s="210"/>
      <c r="L106" s="233"/>
      <c r="M106" s="196"/>
      <c r="N106" s="310"/>
      <c r="O106" s="210"/>
      <c r="P106" s="212"/>
    </row>
    <row r="107" spans="1:16">
      <c r="A107" s="201">
        <v>25</v>
      </c>
      <c r="C107" s="235" t="s">
        <v>518</v>
      </c>
      <c r="D107" s="310" t="s">
        <v>531</v>
      </c>
      <c r="E107" s="321">
        <f>'P 2 of 8 Land Held for Future'!C23</f>
        <v>0</v>
      </c>
      <c r="F107" s="210"/>
      <c r="G107" s="210" t="s">
        <v>5</v>
      </c>
      <c r="H107" s="230">
        <v>1</v>
      </c>
      <c r="I107" s="210"/>
      <c r="J107" s="213">
        <f>ROUND(H107*E107,0)</f>
        <v>0</v>
      </c>
      <c r="K107" s="210"/>
      <c r="L107" s="210"/>
      <c r="M107" s="196"/>
      <c r="N107" s="310"/>
      <c r="O107" s="210"/>
      <c r="P107" s="212"/>
    </row>
    <row r="108" spans="1:16">
      <c r="A108" s="201"/>
      <c r="C108" s="212"/>
      <c r="D108" s="210"/>
      <c r="E108" s="576"/>
      <c r="F108" s="210"/>
      <c r="G108" s="210"/>
      <c r="H108" s="210"/>
      <c r="I108" s="210"/>
      <c r="J108" s="215"/>
      <c r="K108" s="210"/>
      <c r="L108" s="210"/>
      <c r="M108" s="196"/>
      <c r="N108" s="310"/>
      <c r="O108" s="210"/>
      <c r="P108" s="212"/>
    </row>
    <row r="109" spans="1:16">
      <c r="A109" s="201"/>
      <c r="C109" s="453" t="s">
        <v>459</v>
      </c>
      <c r="D109" s="210" t="s">
        <v>5</v>
      </c>
      <c r="E109" s="576"/>
      <c r="F109" s="210"/>
      <c r="G109" s="210"/>
      <c r="H109" s="210"/>
      <c r="I109" s="210"/>
      <c r="J109" s="215"/>
      <c r="K109" s="210"/>
      <c r="L109" s="210"/>
      <c r="M109" s="196"/>
      <c r="N109" s="310"/>
      <c r="O109" s="210"/>
      <c r="P109" s="212"/>
    </row>
    <row r="110" spans="1:16">
      <c r="A110" s="201">
        <v>26</v>
      </c>
      <c r="C110" s="446" t="s">
        <v>517</v>
      </c>
      <c r="D110" s="191" t="s">
        <v>532</v>
      </c>
      <c r="E110" s="321">
        <f>ROUND(E145/8,0)</f>
        <v>8315666</v>
      </c>
      <c r="F110" s="210"/>
      <c r="G110" s="210"/>
      <c r="H110" s="233"/>
      <c r="I110" s="210"/>
      <c r="J110" s="215">
        <f>ROUND(J145/8,0)</f>
        <v>4145981</v>
      </c>
      <c r="K110" s="196"/>
      <c r="L110" s="233"/>
      <c r="M110" s="196"/>
      <c r="N110" s="446"/>
      <c r="O110" s="223"/>
      <c r="P110" s="212"/>
    </row>
    <row r="111" spans="1:16">
      <c r="A111" s="201">
        <v>27</v>
      </c>
      <c r="C111" s="453" t="s">
        <v>460</v>
      </c>
      <c r="D111" s="210" t="s">
        <v>456</v>
      </c>
      <c r="E111" s="576">
        <f>'Pg 1 of 8 M&amp;S Alloc'!I16</f>
        <v>20640035</v>
      </c>
      <c r="F111" s="210"/>
      <c r="G111" s="210" t="s">
        <v>44</v>
      </c>
      <c r="H111" s="230">
        <f>J212</f>
        <v>0.92041078206459226</v>
      </c>
      <c r="I111" s="210"/>
      <c r="J111" s="215">
        <f>ROUND(H111*E111,0)</f>
        <v>18997311</v>
      </c>
      <c r="K111" s="210" t="s">
        <v>5</v>
      </c>
      <c r="L111" s="233"/>
      <c r="M111" s="196"/>
      <c r="N111"/>
      <c r="O111" s="223"/>
    </row>
    <row r="112" spans="1:16" ht="15.75" thickBot="1">
      <c r="A112" s="201">
        <v>28</v>
      </c>
      <c r="C112" s="446" t="s">
        <v>516</v>
      </c>
      <c r="D112" s="210" t="s">
        <v>533</v>
      </c>
      <c r="E112" s="538">
        <v>6088402</v>
      </c>
      <c r="F112" s="210"/>
      <c r="G112" s="210" t="s">
        <v>45</v>
      </c>
      <c r="H112" s="230">
        <f>H80</f>
        <v>0.14940727812241364</v>
      </c>
      <c r="I112" s="210"/>
      <c r="J112" s="231">
        <f>ROUND(H112*E112,0)</f>
        <v>909652</v>
      </c>
      <c r="K112" s="210"/>
      <c r="L112" s="233"/>
      <c r="M112" s="196"/>
      <c r="N112" s="463"/>
      <c r="O112" s="223"/>
      <c r="P112" s="212"/>
    </row>
    <row r="113" spans="1:16">
      <c r="A113" s="201">
        <v>29</v>
      </c>
      <c r="C113" s="212" t="s">
        <v>46</v>
      </c>
      <c r="D113" s="196"/>
      <c r="E113" s="213">
        <f>E110+E111+E112</f>
        <v>35044103</v>
      </c>
      <c r="F113" s="196"/>
      <c r="G113" s="196"/>
      <c r="H113" s="196"/>
      <c r="I113" s="196"/>
      <c r="J113" s="213">
        <f>J110+J111+J112</f>
        <v>24052944</v>
      </c>
      <c r="K113" s="196"/>
      <c r="L113" s="196"/>
      <c r="M113" s="196"/>
      <c r="N113" s="234"/>
      <c r="O113" s="210"/>
      <c r="P113" s="212"/>
    </row>
    <row r="114" spans="1:16" ht="15.75" thickBot="1">
      <c r="D114" s="210"/>
      <c r="E114" s="231"/>
      <c r="F114" s="210"/>
      <c r="G114" s="210"/>
      <c r="H114" s="210"/>
      <c r="I114" s="210"/>
      <c r="J114" s="231"/>
      <c r="K114" s="210"/>
      <c r="L114" s="210"/>
      <c r="M114" s="196"/>
      <c r="N114" s="210"/>
      <c r="O114" s="210"/>
      <c r="P114" s="212"/>
    </row>
    <row r="115" spans="1:16" ht="15.75" thickBot="1">
      <c r="A115" s="201">
        <v>30</v>
      </c>
      <c r="C115" s="212" t="s">
        <v>120</v>
      </c>
      <c r="D115" s="210"/>
      <c r="E115" s="238">
        <f>E113+E107+E105+E97</f>
        <v>2761419449</v>
      </c>
      <c r="F115" s="210"/>
      <c r="G115" s="210"/>
      <c r="H115" s="233"/>
      <c r="I115" s="210"/>
      <c r="J115" s="238">
        <f>J113+J107+J105+J97</f>
        <v>437466668</v>
      </c>
      <c r="K115" s="210"/>
      <c r="L115" s="233"/>
      <c r="M115" s="210"/>
      <c r="N115" s="210"/>
      <c r="O115" s="210"/>
      <c r="P115" s="212"/>
    </row>
    <row r="116" spans="1:16" ht="15.75" thickTop="1">
      <c r="A116" s="201"/>
      <c r="C116" s="212"/>
      <c r="D116" s="210"/>
      <c r="E116" s="210"/>
      <c r="F116" s="210"/>
      <c r="G116" s="210"/>
      <c r="H116" s="210"/>
      <c r="I116" s="210"/>
      <c r="J116" s="210"/>
      <c r="K116" s="210"/>
      <c r="L116" s="210"/>
      <c r="M116" s="210"/>
      <c r="N116" s="210"/>
      <c r="O116" s="210"/>
      <c r="P116" s="212"/>
    </row>
    <row r="117" spans="1:16">
      <c r="A117" s="201"/>
      <c r="C117" s="192"/>
      <c r="D117" s="192"/>
      <c r="E117" s="193"/>
      <c r="F117" s="192"/>
      <c r="G117" s="192"/>
      <c r="H117" s="192"/>
      <c r="I117" s="194"/>
      <c r="K117" s="201"/>
      <c r="L117" s="222"/>
      <c r="M117" s="201"/>
      <c r="N117" s="196"/>
      <c r="O117" s="196"/>
      <c r="P117" s="196"/>
    </row>
    <row r="118" spans="1:16" ht="18">
      <c r="A118" s="190"/>
      <c r="C118" s="192"/>
      <c r="D118" s="192"/>
      <c r="E118" s="193"/>
      <c r="F118" s="192"/>
      <c r="G118" s="192"/>
      <c r="H118" s="192"/>
      <c r="I118" s="194"/>
      <c r="J118" s="195" t="str">
        <f>J1</f>
        <v>Attachment H-24A</v>
      </c>
      <c r="K118" s="222"/>
      <c r="M118" s="222"/>
      <c r="N118" s="196"/>
      <c r="O118" s="196"/>
      <c r="P118" s="196"/>
    </row>
    <row r="119" spans="1:16">
      <c r="C119" s="192"/>
      <c r="D119" s="192"/>
      <c r="E119" s="193"/>
      <c r="F119" s="192"/>
      <c r="G119" s="192"/>
      <c r="H119" s="192"/>
      <c r="I119" s="194"/>
      <c r="J119" s="195" t="s">
        <v>437</v>
      </c>
      <c r="M119" s="195"/>
      <c r="N119" s="196"/>
      <c r="O119" s="196"/>
      <c r="P119" s="196"/>
    </row>
    <row r="120" spans="1:16">
      <c r="C120" s="192"/>
      <c r="D120" s="192"/>
      <c r="E120" s="193"/>
      <c r="F120" s="192"/>
      <c r="G120" s="192"/>
      <c r="H120" s="192"/>
      <c r="I120" s="194"/>
      <c r="J120" s="195"/>
      <c r="M120" s="195"/>
      <c r="N120" s="196"/>
      <c r="O120" s="196"/>
      <c r="P120" s="196"/>
    </row>
    <row r="121" spans="1:16">
      <c r="C121" s="192"/>
      <c r="D121" s="192"/>
      <c r="E121" s="193"/>
      <c r="F121" s="192"/>
      <c r="G121" s="192"/>
      <c r="H121" s="192"/>
      <c r="I121" s="194"/>
      <c r="M121" s="195"/>
      <c r="N121" s="196"/>
      <c r="O121" s="196"/>
      <c r="P121" s="196"/>
    </row>
    <row r="122" spans="1:16">
      <c r="C122" s="192"/>
      <c r="D122" s="192"/>
      <c r="E122" s="193"/>
      <c r="F122" s="192"/>
      <c r="G122" s="192"/>
      <c r="H122" s="192"/>
      <c r="I122" s="194"/>
      <c r="K122" s="196"/>
      <c r="M122" s="195"/>
      <c r="N122" s="196"/>
      <c r="O122" s="196"/>
      <c r="P122" s="196"/>
    </row>
    <row r="123" spans="1:16">
      <c r="C123" s="192"/>
      <c r="D123" s="192"/>
      <c r="E123" s="193"/>
      <c r="F123" s="192"/>
      <c r="G123" s="192"/>
      <c r="H123" s="192"/>
      <c r="I123" s="194"/>
      <c r="J123" s="195"/>
      <c r="K123" s="196"/>
      <c r="M123" s="195"/>
      <c r="N123" s="196"/>
      <c r="O123" s="196"/>
      <c r="P123" s="196"/>
    </row>
    <row r="124" spans="1:16">
      <c r="C124" s="192" t="s">
        <v>4</v>
      </c>
      <c r="D124" s="192"/>
      <c r="E124" s="193"/>
      <c r="F124" s="192"/>
      <c r="G124" s="192"/>
      <c r="H124" s="192"/>
      <c r="I124" s="194"/>
      <c r="J124" s="222" t="str">
        <f>J7</f>
        <v>For the 12 months ended 12/31/2015</v>
      </c>
      <c r="K124" s="196"/>
      <c r="M124" s="195"/>
      <c r="N124" s="196"/>
      <c r="O124" s="196"/>
      <c r="P124" s="196"/>
    </row>
    <row r="125" spans="1:16">
      <c r="A125" s="198" t="str">
        <f>A8</f>
        <v>Rate Formula Template</v>
      </c>
      <c r="B125" s="197"/>
      <c r="C125" s="197"/>
      <c r="D125" s="198"/>
      <c r="E125" s="197"/>
      <c r="F125" s="198"/>
      <c r="G125" s="198"/>
      <c r="H125" s="198"/>
      <c r="I125" s="198"/>
      <c r="J125" s="197"/>
      <c r="K125" s="210"/>
      <c r="L125" s="197"/>
      <c r="M125" s="196"/>
      <c r="N125" s="196"/>
      <c r="O125" s="196"/>
      <c r="P125" s="196"/>
    </row>
    <row r="126" spans="1:16">
      <c r="A126" s="239" t="str">
        <f>$A$9</f>
        <v>Utilizing EKPC 2015 Form FF1 Data (ver.FINAL AUDITED)</v>
      </c>
      <c r="B126" s="197"/>
      <c r="C126" s="198"/>
      <c r="D126" s="199"/>
      <c r="E126" s="197"/>
      <c r="F126" s="199"/>
      <c r="G126" s="199"/>
      <c r="H126" s="199"/>
      <c r="I126" s="198"/>
      <c r="J126" s="198"/>
      <c r="K126" s="210"/>
      <c r="L126" s="200"/>
      <c r="M126" s="196"/>
      <c r="N126" s="196"/>
      <c r="O126" s="196"/>
      <c r="P126" s="196"/>
    </row>
    <row r="127" spans="1:16">
      <c r="A127" s="200"/>
      <c r="B127" s="197"/>
      <c r="C127" s="200"/>
      <c r="D127" s="200"/>
      <c r="E127" s="197"/>
      <c r="F127" s="200"/>
      <c r="G127" s="200"/>
      <c r="H127" s="200"/>
      <c r="I127" s="200"/>
      <c r="J127" s="200"/>
      <c r="K127" s="210"/>
      <c r="L127" s="200"/>
      <c r="M127" s="196"/>
      <c r="N127" s="196"/>
      <c r="O127" s="196"/>
      <c r="P127" s="196"/>
    </row>
    <row r="128" spans="1:16">
      <c r="A128" s="295" t="str">
        <f>$A$11</f>
        <v>East Kentucky Power Cooperative, Inc.</v>
      </c>
      <c r="B128" s="197"/>
      <c r="C128" s="200"/>
      <c r="D128" s="200"/>
      <c r="E128" s="197"/>
      <c r="F128" s="200"/>
      <c r="G128" s="200"/>
      <c r="H128" s="200"/>
      <c r="I128" s="200"/>
      <c r="J128" s="200"/>
      <c r="K128" s="210"/>
      <c r="L128" s="200"/>
      <c r="M128" s="210"/>
      <c r="N128" s="210"/>
      <c r="O128" s="210"/>
      <c r="P128" s="212"/>
    </row>
    <row r="129" spans="1:29">
      <c r="A129" s="201"/>
      <c r="K129" s="210"/>
      <c r="L129" s="210"/>
      <c r="M129" s="210"/>
      <c r="N129" s="196"/>
      <c r="O129" s="210"/>
      <c r="P129" s="212"/>
    </row>
    <row r="130" spans="1:29" ht="15.75">
      <c r="A130" s="201"/>
      <c r="C130" s="223" t="s">
        <v>16</v>
      </c>
      <c r="D130" s="223" t="s">
        <v>17</v>
      </c>
      <c r="E130" s="223" t="s">
        <v>18</v>
      </c>
      <c r="F130" s="210" t="s">
        <v>5</v>
      </c>
      <c r="G130" s="210"/>
      <c r="H130" s="224" t="s">
        <v>19</v>
      </c>
      <c r="I130" s="210"/>
      <c r="J130" s="225" t="s">
        <v>20</v>
      </c>
      <c r="K130" s="210"/>
      <c r="L130" s="226"/>
      <c r="M130" s="194"/>
      <c r="N130" s="194"/>
      <c r="O130" s="210"/>
      <c r="P130" s="212"/>
    </row>
    <row r="131" spans="1:29" ht="15.75">
      <c r="A131" s="240" t="s">
        <v>6</v>
      </c>
      <c r="C131" s="212"/>
      <c r="D131" s="237" t="s">
        <v>21</v>
      </c>
      <c r="E131" s="210"/>
      <c r="F131" s="210"/>
      <c r="G131" s="210"/>
      <c r="H131" s="201"/>
      <c r="I131" s="210"/>
      <c r="J131" s="201" t="s">
        <v>22</v>
      </c>
      <c r="K131" s="210"/>
      <c r="L131" s="226"/>
      <c r="M131" s="210"/>
      <c r="N131" s="201"/>
      <c r="O131" s="210"/>
      <c r="P131" s="212"/>
    </row>
    <row r="132" spans="1:29" ht="15.75">
      <c r="A132" s="203" t="s">
        <v>8</v>
      </c>
      <c r="B132" s="241"/>
      <c r="C132" s="242"/>
      <c r="D132" s="243" t="s">
        <v>23</v>
      </c>
      <c r="E132" s="244" t="s">
        <v>24</v>
      </c>
      <c r="F132" s="245"/>
      <c r="G132" s="246" t="s">
        <v>11</v>
      </c>
      <c r="H132" s="247"/>
      <c r="I132" s="245"/>
      <c r="J132" s="248" t="s">
        <v>274</v>
      </c>
      <c r="K132" s="210"/>
      <c r="L132" s="226"/>
      <c r="M132" s="249"/>
      <c r="N132" s="226"/>
      <c r="O132" s="210"/>
      <c r="P132" s="212"/>
    </row>
    <row r="133" spans="1:29" ht="15.75">
      <c r="C133" s="212"/>
      <c r="D133" s="210"/>
      <c r="E133" s="250"/>
      <c r="F133" s="229"/>
      <c r="G133" s="251"/>
      <c r="I133" s="229"/>
      <c r="J133" s="250"/>
      <c r="K133" s="210"/>
      <c r="L133" s="210"/>
      <c r="M133" s="210"/>
      <c r="N133" s="210"/>
      <c r="O133" s="210"/>
      <c r="P133" s="212"/>
    </row>
    <row r="134" spans="1:29">
      <c r="A134" s="201"/>
      <c r="C134" s="212" t="s">
        <v>47</v>
      </c>
      <c r="D134" s="210"/>
      <c r="E134" s="210"/>
      <c r="F134" s="210"/>
      <c r="G134" s="210"/>
      <c r="H134" s="210"/>
      <c r="I134" s="210"/>
      <c r="J134" s="210"/>
      <c r="K134" s="210"/>
      <c r="L134" s="210"/>
      <c r="M134" s="210"/>
      <c r="N134" s="210"/>
      <c r="O134" s="210"/>
      <c r="P134" s="212"/>
    </row>
    <row r="135" spans="1:29">
      <c r="A135" s="201">
        <v>1</v>
      </c>
      <c r="C135" s="212" t="s">
        <v>48</v>
      </c>
      <c r="D135" s="454" t="s">
        <v>466</v>
      </c>
      <c r="E135" s="213">
        <f>'Pg 4 of 8 Sch 1 Charges 561'!D28</f>
        <v>49191150.659999996</v>
      </c>
      <c r="F135" s="210"/>
      <c r="G135" s="210" t="s">
        <v>44</v>
      </c>
      <c r="H135" s="230">
        <f>J212</f>
        <v>0.92041078206459226</v>
      </c>
      <c r="I135" s="210"/>
      <c r="J135" s="213">
        <f>ROUND(H135*E135,0)</f>
        <v>45276065</v>
      </c>
      <c r="K135" s="196"/>
      <c r="L135" s="210"/>
      <c r="M135" s="210"/>
      <c r="N135" s="2"/>
      <c r="O135" s="500"/>
      <c r="P135" s="310"/>
      <c r="Q135" s="2"/>
    </row>
    <row r="136" spans="1:29">
      <c r="A136" s="201">
        <v>2</v>
      </c>
      <c r="C136" s="252" t="s">
        <v>2</v>
      </c>
      <c r="D136" s="454" t="s">
        <v>467</v>
      </c>
      <c r="E136" s="576">
        <v>21248878</v>
      </c>
      <c r="F136" s="210"/>
      <c r="G136" s="210" t="s">
        <v>44</v>
      </c>
      <c r="H136" s="230">
        <f>J$212</f>
        <v>0.92041078206459226</v>
      </c>
      <c r="I136" s="210"/>
      <c r="J136" s="215">
        <f t="shared" ref="J136:J144" si="8">ROUND(H136*E136,0)</f>
        <v>19557696</v>
      </c>
      <c r="K136" s="196"/>
      <c r="L136" s="210"/>
      <c r="M136" s="210"/>
      <c r="N136" s="2"/>
      <c r="O136" s="500"/>
      <c r="P136" s="310"/>
      <c r="Q136" s="2"/>
    </row>
    <row r="137" spans="1:29">
      <c r="A137" s="201">
        <v>3</v>
      </c>
      <c r="C137" s="212" t="s">
        <v>49</v>
      </c>
      <c r="D137" s="454" t="s">
        <v>468</v>
      </c>
      <c r="E137" s="576">
        <f>'Pg 4 of 8 Sch 1 Charges 561'!D19</f>
        <v>39406756</v>
      </c>
      <c r="F137" s="210"/>
      <c r="G137" s="210" t="s">
        <v>31</v>
      </c>
      <c r="H137" s="230">
        <f>$J$220</f>
        <v>0.16164749054381655</v>
      </c>
      <c r="I137" s="210"/>
      <c r="J137" s="215">
        <f t="shared" si="8"/>
        <v>6370003</v>
      </c>
      <c r="K137" s="210"/>
      <c r="L137" s="210" t="s">
        <v>5</v>
      </c>
      <c r="M137" s="210"/>
      <c r="N137" s="2"/>
      <c r="O137" s="310"/>
      <c r="P137" s="446"/>
      <c r="Q137" s="2"/>
    </row>
    <row r="138" spans="1:29">
      <c r="A138" s="201">
        <v>4</v>
      </c>
      <c r="C138" s="252" t="s">
        <v>276</v>
      </c>
      <c r="D138" s="310" t="s">
        <v>458</v>
      </c>
      <c r="E138" s="576">
        <v>0</v>
      </c>
      <c r="F138" s="210"/>
      <c r="G138" s="210" t="s">
        <v>31</v>
      </c>
      <c r="H138" s="230">
        <f>$J$220</f>
        <v>0.16164749054381655</v>
      </c>
      <c r="I138" s="210"/>
      <c r="J138" s="215">
        <f t="shared" si="8"/>
        <v>0</v>
      </c>
      <c r="K138" s="210"/>
      <c r="L138" s="210"/>
      <c r="M138" s="210"/>
      <c r="N138" s="2"/>
      <c r="O138" s="500"/>
      <c r="P138" s="446"/>
      <c r="Q138" s="2"/>
    </row>
    <row r="139" spans="1:29">
      <c r="A139" s="201">
        <v>5</v>
      </c>
      <c r="C139" s="306" t="s">
        <v>482</v>
      </c>
      <c r="D139" s="463" t="s">
        <v>499</v>
      </c>
      <c r="E139" s="576">
        <f>'Pg 3 of 8 G&amp;A Adj'!D19</f>
        <v>228772</v>
      </c>
      <c r="F139" s="310"/>
      <c r="G139" s="310" t="s">
        <v>31</v>
      </c>
      <c r="H139" s="386">
        <f>$J$220</f>
        <v>0.16164749054381655</v>
      </c>
      <c r="I139" s="310"/>
      <c r="J139" s="323">
        <f t="shared" si="8"/>
        <v>36980</v>
      </c>
      <c r="K139" s="310"/>
      <c r="L139" s="150"/>
      <c r="M139" s="150"/>
      <c r="N139" s="157"/>
      <c r="O139" s="157"/>
      <c r="P139" s="157"/>
      <c r="Q139" s="157"/>
      <c r="R139" s="150"/>
      <c r="S139" s="150"/>
      <c r="T139" s="150"/>
      <c r="U139" s="150"/>
      <c r="V139" s="150"/>
      <c r="W139" s="150"/>
      <c r="X139" s="150"/>
      <c r="Y139" s="150"/>
      <c r="Z139" s="150"/>
      <c r="AA139" s="150"/>
      <c r="AB139" s="150"/>
    </row>
    <row r="140" spans="1:29">
      <c r="A140" s="253" t="s">
        <v>130</v>
      </c>
      <c r="C140" s="477" t="s">
        <v>481</v>
      </c>
      <c r="D140" s="463" t="s">
        <v>499</v>
      </c>
      <c r="E140" s="576">
        <f>'Pg 3 of 8 G&amp;A Adj'!D22</f>
        <v>1734261</v>
      </c>
      <c r="F140" s="310"/>
      <c r="G140" s="310"/>
      <c r="H140" s="386"/>
      <c r="I140" s="310"/>
      <c r="J140" s="323"/>
      <c r="K140" s="310"/>
      <c r="L140" s="150"/>
      <c r="M140" s="150"/>
      <c r="N140" s="157"/>
      <c r="O140" s="157"/>
      <c r="P140" s="157"/>
      <c r="Q140" s="157"/>
      <c r="R140" s="150"/>
      <c r="S140" s="150"/>
      <c r="T140" s="150"/>
      <c r="U140" s="150"/>
      <c r="V140" s="150"/>
      <c r="W140" s="150"/>
      <c r="X140" s="150"/>
      <c r="Y140" s="150"/>
      <c r="Z140" s="150"/>
      <c r="AA140" s="150"/>
      <c r="AB140" s="150"/>
    </row>
    <row r="141" spans="1:29">
      <c r="A141" s="294" t="s">
        <v>480</v>
      </c>
      <c r="C141" s="306" t="s">
        <v>483</v>
      </c>
      <c r="D141" s="463" t="s">
        <v>499</v>
      </c>
      <c r="E141" s="576">
        <f>'Pg 3 of 8 G&amp;A Adj'!D28</f>
        <v>287438.93859800976</v>
      </c>
      <c r="F141" s="310"/>
      <c r="G141" s="396" t="str">
        <f>G135</f>
        <v>TE</v>
      </c>
      <c r="H141" s="386">
        <f>H135</f>
        <v>0.92041078206459226</v>
      </c>
      <c r="I141" s="310"/>
      <c r="J141" s="323">
        <f t="shared" si="8"/>
        <v>264562</v>
      </c>
      <c r="K141" s="210"/>
      <c r="L141" s="150"/>
      <c r="M141" s="150"/>
      <c r="N141" s="150"/>
      <c r="O141" s="150"/>
      <c r="P141" s="150"/>
      <c r="Q141" s="150"/>
      <c r="R141" s="150"/>
      <c r="S141" s="150"/>
      <c r="T141" s="150"/>
      <c r="U141" s="150"/>
      <c r="V141" s="150"/>
      <c r="W141" s="150"/>
      <c r="X141" s="150"/>
      <c r="Y141" s="150"/>
      <c r="Z141" s="150"/>
      <c r="AA141" s="150"/>
      <c r="AB141" s="150"/>
      <c r="AC141" s="150"/>
    </row>
    <row r="142" spans="1:29">
      <c r="A142" s="498" t="s">
        <v>542</v>
      </c>
      <c r="C142" s="477" t="s">
        <v>543</v>
      </c>
      <c r="D142" s="463" t="s">
        <v>499</v>
      </c>
      <c r="E142" s="576">
        <f>'Pg 3 of 8 G&amp;A Adj'!D39</f>
        <v>851893.95166666654</v>
      </c>
      <c r="F142" s="310"/>
      <c r="G142" s="396"/>
      <c r="H142" s="386"/>
      <c r="I142" s="310"/>
      <c r="J142" s="323">
        <f>E142</f>
        <v>851893.95166666654</v>
      </c>
      <c r="K142" s="210"/>
      <c r="L142" s="150"/>
      <c r="M142" s="150"/>
      <c r="N142" s="150"/>
      <c r="O142" s="150"/>
      <c r="P142" s="150"/>
      <c r="Q142" s="150"/>
      <c r="R142" s="150"/>
      <c r="S142" s="150"/>
      <c r="T142" s="150"/>
      <c r="U142" s="150"/>
      <c r="V142" s="150"/>
      <c r="W142" s="150"/>
      <c r="X142" s="150"/>
      <c r="Y142" s="150"/>
      <c r="Z142" s="150"/>
      <c r="AA142" s="150"/>
      <c r="AB142" s="150"/>
      <c r="AC142" s="150"/>
    </row>
    <row r="143" spans="1:29">
      <c r="A143" s="201">
        <v>6</v>
      </c>
      <c r="C143" s="212" t="s">
        <v>32</v>
      </c>
      <c r="D143" s="210"/>
      <c r="E143" s="719">
        <v>0</v>
      </c>
      <c r="F143" s="210"/>
      <c r="G143" s="210" t="s">
        <v>79</v>
      </c>
      <c r="H143" s="230">
        <f>H87</f>
        <v>0</v>
      </c>
      <c r="I143" s="210"/>
      <c r="J143" s="215">
        <f t="shared" si="8"/>
        <v>0</v>
      </c>
      <c r="K143" s="210"/>
      <c r="L143" s="210"/>
      <c r="M143" s="210"/>
      <c r="N143" s="210"/>
      <c r="O143" s="150"/>
      <c r="P143" s="150"/>
      <c r="Q143" s="150"/>
      <c r="R143" s="150"/>
      <c r="S143" s="150"/>
      <c r="T143" s="150"/>
      <c r="U143" s="150"/>
      <c r="V143" s="150"/>
      <c r="W143" s="150"/>
      <c r="X143" s="150"/>
      <c r="Y143" s="150"/>
      <c r="Z143" s="150"/>
      <c r="AA143" s="150"/>
      <c r="AB143" s="150"/>
      <c r="AC143" s="150"/>
    </row>
    <row r="144" spans="1:29" ht="15.75" thickBot="1">
      <c r="A144" s="201">
        <v>7</v>
      </c>
      <c r="C144" s="212" t="s">
        <v>50</v>
      </c>
      <c r="D144" s="210"/>
      <c r="E144" s="538">
        <v>0</v>
      </c>
      <c r="F144" s="210"/>
      <c r="G144" s="210" t="s">
        <v>5</v>
      </c>
      <c r="H144" s="230">
        <v>1</v>
      </c>
      <c r="I144" s="210"/>
      <c r="J144" s="231">
        <f t="shared" si="8"/>
        <v>0</v>
      </c>
      <c r="K144" s="210"/>
      <c r="L144" s="210"/>
      <c r="M144" s="210"/>
      <c r="N144" s="210"/>
      <c r="O144" s="150"/>
      <c r="P144" s="150"/>
      <c r="Q144" s="150"/>
      <c r="R144" s="150"/>
      <c r="S144" s="150"/>
      <c r="T144" s="150"/>
      <c r="U144" s="150"/>
      <c r="V144" s="150"/>
      <c r="W144" s="150"/>
      <c r="X144" s="150"/>
      <c r="Y144" s="150"/>
      <c r="Z144" s="150"/>
      <c r="AA144" s="150"/>
      <c r="AB144" s="150"/>
      <c r="AC144" s="150"/>
    </row>
    <row r="145" spans="1:19">
      <c r="A145" s="201">
        <v>8</v>
      </c>
      <c r="C145" s="212" t="s">
        <v>279</v>
      </c>
      <c r="D145" s="210"/>
      <c r="E145" s="321">
        <f>E135-E136+E137-E138-E139-E140+E141+E143+E144+E142</f>
        <v>66525328.550264671</v>
      </c>
      <c r="F145" s="210"/>
      <c r="G145" s="210"/>
      <c r="H145" s="210"/>
      <c r="I145" s="210"/>
      <c r="J145" s="213">
        <f>J135-J136+J137-J138-J139+J141+J143+J144+J142</f>
        <v>33167847.951666668</v>
      </c>
      <c r="K145" s="210"/>
      <c r="L145" s="210"/>
      <c r="M145" s="210"/>
      <c r="N145" s="234"/>
      <c r="O145" s="210"/>
      <c r="P145" s="212"/>
    </row>
    <row r="146" spans="1:19">
      <c r="A146" s="201"/>
      <c r="D146" s="210"/>
      <c r="E146" s="576"/>
      <c r="F146" s="210"/>
      <c r="G146" s="210"/>
      <c r="H146" s="210"/>
      <c r="I146" s="210"/>
      <c r="J146" s="215"/>
      <c r="K146" s="210"/>
      <c r="L146" s="210"/>
      <c r="M146" s="210"/>
      <c r="N146" s="210"/>
      <c r="O146" s="210"/>
      <c r="P146" s="212"/>
    </row>
    <row r="147" spans="1:19">
      <c r="A147" s="201"/>
      <c r="C147" s="212" t="s">
        <v>51</v>
      </c>
      <c r="D147" s="210"/>
      <c r="E147" s="576"/>
      <c r="F147" s="210"/>
      <c r="G147" s="210"/>
      <c r="H147" s="210"/>
      <c r="I147" s="210"/>
      <c r="J147" s="215"/>
      <c r="K147" s="210"/>
      <c r="L147" s="210"/>
      <c r="M147" s="210"/>
      <c r="N147" s="210"/>
      <c r="O147" s="210"/>
      <c r="P147" s="212"/>
    </row>
    <row r="148" spans="1:19">
      <c r="A148" s="201">
        <v>9</v>
      </c>
      <c r="C148" s="212" t="str">
        <f>C135</f>
        <v xml:space="preserve">  Transmission </v>
      </c>
      <c r="D148" s="210" t="s">
        <v>325</v>
      </c>
      <c r="E148" s="321">
        <v>8655337</v>
      </c>
      <c r="F148" s="210"/>
      <c r="G148" s="210" t="s">
        <v>12</v>
      </c>
      <c r="H148" s="230">
        <f>J202</f>
        <v>0.97749601123118979</v>
      </c>
      <c r="I148" s="210"/>
      <c r="J148" s="213">
        <f>ROUND(H148*E148,0)</f>
        <v>8460557</v>
      </c>
      <c r="K148" s="210"/>
      <c r="L148" s="233"/>
      <c r="M148" s="210"/>
      <c r="N148" s="210"/>
      <c r="O148" s="223"/>
      <c r="P148" s="210" t="s">
        <v>5</v>
      </c>
    </row>
    <row r="149" spans="1:19">
      <c r="A149" s="201">
        <v>10</v>
      </c>
      <c r="C149" s="212" t="s">
        <v>541</v>
      </c>
      <c r="D149" s="210" t="s">
        <v>326</v>
      </c>
      <c r="E149" s="576">
        <v>6671321</v>
      </c>
      <c r="F149" s="210"/>
      <c r="G149" s="210" t="s">
        <v>31</v>
      </c>
      <c r="H149" s="230">
        <f>H137</f>
        <v>0.16164749054381655</v>
      </c>
      <c r="I149" s="210"/>
      <c r="J149" s="215">
        <f t="shared" ref="J149:J150" si="9">ROUND(H149*E149,0)</f>
        <v>1078402</v>
      </c>
      <c r="K149" s="210"/>
      <c r="L149" s="233"/>
      <c r="M149" s="210"/>
      <c r="N149" s="210"/>
      <c r="O149" s="223"/>
      <c r="P149" s="210" t="s">
        <v>5</v>
      </c>
    </row>
    <row r="150" spans="1:19" ht="15.75" thickBot="1">
      <c r="A150" s="201">
        <v>11</v>
      </c>
      <c r="C150" s="212" t="str">
        <f>C143</f>
        <v xml:space="preserve">  Common</v>
      </c>
      <c r="D150" s="210" t="s">
        <v>327</v>
      </c>
      <c r="E150" s="538">
        <v>0</v>
      </c>
      <c r="F150" s="210"/>
      <c r="G150" s="210" t="s">
        <v>79</v>
      </c>
      <c r="H150" s="230">
        <f>H143</f>
        <v>0</v>
      </c>
      <c r="I150" s="210"/>
      <c r="J150" s="231">
        <f t="shared" si="9"/>
        <v>0</v>
      </c>
      <c r="K150" s="210"/>
      <c r="L150" s="233"/>
      <c r="M150" s="210"/>
      <c r="N150" s="210"/>
      <c r="O150" s="223"/>
      <c r="P150" s="210" t="s">
        <v>5</v>
      </c>
    </row>
    <row r="151" spans="1:19">
      <c r="A151" s="201">
        <v>12</v>
      </c>
      <c r="C151" s="212" t="s">
        <v>52</v>
      </c>
      <c r="D151" s="210"/>
      <c r="E151" s="321">
        <f>SUM(E148:E150)</f>
        <v>15326658</v>
      </c>
      <c r="F151" s="210"/>
      <c r="G151" s="210"/>
      <c r="H151" s="210"/>
      <c r="I151" s="210"/>
      <c r="J151" s="213">
        <f>SUM(J148:J150)</f>
        <v>9538959</v>
      </c>
      <c r="K151" s="210"/>
      <c r="L151" s="210"/>
      <c r="M151" s="210"/>
      <c r="N151" s="210"/>
      <c r="O151" s="210"/>
      <c r="P151" s="212"/>
    </row>
    <row r="152" spans="1:19">
      <c r="A152" s="201"/>
      <c r="C152" s="212"/>
      <c r="D152" s="310"/>
      <c r="E152" s="576"/>
      <c r="F152" s="210"/>
      <c r="G152" s="210"/>
      <c r="H152" s="210"/>
      <c r="I152" s="210"/>
      <c r="J152" s="215"/>
      <c r="K152" s="210"/>
      <c r="L152" s="210"/>
      <c r="M152" s="210"/>
      <c r="N152" s="210"/>
      <c r="O152" s="210"/>
      <c r="P152" s="212"/>
    </row>
    <row r="153" spans="1:19">
      <c r="A153" s="201" t="s">
        <v>5</v>
      </c>
      <c r="C153" s="208" t="s">
        <v>515</v>
      </c>
      <c r="D153" s="476"/>
      <c r="E153" s="576"/>
      <c r="F153" s="210"/>
      <c r="G153" s="210"/>
      <c r="H153" s="210"/>
      <c r="I153" s="210"/>
      <c r="J153" s="215"/>
      <c r="K153" s="210"/>
      <c r="L153" s="210"/>
      <c r="M153" s="210"/>
      <c r="N153" s="210"/>
      <c r="O153" s="210"/>
      <c r="P153" s="212"/>
    </row>
    <row r="154" spans="1:19">
      <c r="A154" s="201"/>
      <c r="C154" s="212" t="s">
        <v>53</v>
      </c>
      <c r="D154" s="2"/>
      <c r="E154" s="576"/>
      <c r="F154" s="210"/>
      <c r="G154" s="210"/>
      <c r="I154" s="210"/>
      <c r="J154" s="215"/>
      <c r="K154" s="210"/>
      <c r="L154" s="233"/>
      <c r="M154" s="210"/>
      <c r="N154" s="237"/>
      <c r="O154" s="223"/>
      <c r="P154" s="212"/>
    </row>
    <row r="155" spans="1:19" s="2" customFormat="1" ht="15.75">
      <c r="A155" s="320">
        <v>13</v>
      </c>
      <c r="C155" s="499" t="s">
        <v>548</v>
      </c>
      <c r="D155" s="310" t="s">
        <v>500</v>
      </c>
      <c r="E155" s="321">
        <v>0</v>
      </c>
      <c r="F155" s="310"/>
      <c r="G155" s="310" t="s">
        <v>31</v>
      </c>
      <c r="H155" s="386">
        <f>$J$220</f>
        <v>0.16164749054381655</v>
      </c>
      <c r="I155" s="310"/>
      <c r="J155" s="321">
        <f>ROUND(H155*E155,0)</f>
        <v>0</v>
      </c>
      <c r="K155" s="310"/>
      <c r="L155" s="560"/>
      <c r="M155" s="573"/>
      <c r="N155" s="577"/>
      <c r="O155" s="577"/>
      <c r="P155" s="577"/>
      <c r="Q155" s="577"/>
      <c r="R155" s="567"/>
      <c r="S155" s="567"/>
    </row>
    <row r="156" spans="1:19">
      <c r="A156" s="201">
        <v>14</v>
      </c>
      <c r="C156" s="254" t="s">
        <v>277</v>
      </c>
      <c r="D156" s="310" t="s">
        <v>500</v>
      </c>
      <c r="E156" s="576">
        <v>0</v>
      </c>
      <c r="F156" s="210"/>
      <c r="G156" s="210" t="s">
        <v>31</v>
      </c>
      <c r="H156" s="230">
        <f>$J$220</f>
        <v>0.16164749054381655</v>
      </c>
      <c r="I156" s="210"/>
      <c r="J156" s="215">
        <f t="shared" ref="J156" si="10">ROUND(H156*E156,0)</f>
        <v>0</v>
      </c>
      <c r="K156" s="210"/>
      <c r="L156" s="559"/>
      <c r="M156" s="573"/>
      <c r="N156" s="583"/>
      <c r="O156" s="542"/>
      <c r="P156" s="580"/>
      <c r="Q156" s="567"/>
      <c r="R156" s="567"/>
      <c r="S156" s="567"/>
    </row>
    <row r="157" spans="1:19">
      <c r="A157" s="201">
        <v>15</v>
      </c>
      <c r="C157" s="212" t="s">
        <v>54</v>
      </c>
      <c r="D157" s="310" t="s">
        <v>5</v>
      </c>
      <c r="E157" s="576"/>
      <c r="F157" s="210"/>
      <c r="G157" s="210"/>
      <c r="I157" s="210"/>
      <c r="J157" s="215"/>
      <c r="K157" s="210"/>
      <c r="L157" s="233"/>
      <c r="M157" s="210"/>
      <c r="N157" s="237"/>
      <c r="O157" s="223"/>
      <c r="P157" s="212"/>
    </row>
    <row r="158" spans="1:19" s="2" customFormat="1">
      <c r="A158" s="320">
        <v>16</v>
      </c>
      <c r="C158" s="446" t="s">
        <v>549</v>
      </c>
      <c r="D158" s="310" t="s">
        <v>500</v>
      </c>
      <c r="E158" s="576">
        <v>0</v>
      </c>
      <c r="F158" s="310"/>
      <c r="G158" s="310" t="s">
        <v>45</v>
      </c>
      <c r="H158" s="322">
        <f>H80</f>
        <v>0.14940727812241364</v>
      </c>
      <c r="I158" s="310"/>
      <c r="J158" s="323">
        <f t="shared" ref="J158" si="11">ROUND(H158*E158,0)</f>
        <v>0</v>
      </c>
      <c r="K158" s="310"/>
      <c r="L158" s="462"/>
      <c r="M158" s="310"/>
      <c r="N158" s="493"/>
      <c r="O158" s="500"/>
      <c r="P158" s="446"/>
    </row>
    <row r="159" spans="1:19" s="567" customFormat="1">
      <c r="A159" s="574">
        <v>17</v>
      </c>
      <c r="C159" s="580" t="s">
        <v>55</v>
      </c>
      <c r="D159" s="573"/>
      <c r="E159" s="576">
        <v>0</v>
      </c>
      <c r="F159" s="573"/>
      <c r="G159" s="573" t="str">
        <f>G100</f>
        <v>NA</v>
      </c>
      <c r="H159" s="586" t="s">
        <v>27</v>
      </c>
      <c r="I159" s="573"/>
      <c r="J159" s="576">
        <v>0</v>
      </c>
      <c r="K159" s="573"/>
      <c r="L159" s="581"/>
      <c r="M159" s="573"/>
      <c r="N159" s="582"/>
      <c r="O159"/>
      <c r="P159"/>
      <c r="Q159"/>
    </row>
    <row r="160" spans="1:19" s="567" customFormat="1">
      <c r="A160" s="574">
        <v>18</v>
      </c>
      <c r="C160" s="580" t="s">
        <v>56</v>
      </c>
      <c r="D160" s="573"/>
      <c r="E160" s="576">
        <v>0</v>
      </c>
      <c r="F160" s="573"/>
      <c r="G160" s="573" t="str">
        <f>G158</f>
        <v>GP</v>
      </c>
      <c r="H160" s="575">
        <f>H158</f>
        <v>0.14940727812241364</v>
      </c>
      <c r="I160" s="573"/>
      <c r="J160" s="576">
        <f t="shared" ref="J160:J161" si="12">ROUND(H160*E160,0)</f>
        <v>0</v>
      </c>
      <c r="K160" s="573"/>
      <c r="L160" s="581"/>
      <c r="M160" s="573"/>
      <c r="N160" s="582"/>
      <c r="O160"/>
      <c r="P160"/>
      <c r="Q160"/>
    </row>
    <row r="161" spans="1:17" ht="15.75" thickBot="1">
      <c r="A161" s="201">
        <v>19</v>
      </c>
      <c r="C161" s="212" t="s">
        <v>57</v>
      </c>
      <c r="D161" s="210"/>
      <c r="E161" s="538">
        <v>0</v>
      </c>
      <c r="F161" s="210"/>
      <c r="G161" s="210" t="s">
        <v>45</v>
      </c>
      <c r="H161" s="214">
        <f>H158</f>
        <v>0.14940727812241364</v>
      </c>
      <c r="I161" s="210"/>
      <c r="J161" s="231">
        <f t="shared" si="12"/>
        <v>0</v>
      </c>
      <c r="K161" s="210"/>
      <c r="L161" s="233"/>
      <c r="M161" s="210"/>
      <c r="N161" s="237"/>
      <c r="O161"/>
      <c r="P161"/>
      <c r="Q161"/>
    </row>
    <row r="162" spans="1:17">
      <c r="A162" s="201">
        <v>20</v>
      </c>
      <c r="C162" s="212" t="s">
        <v>58</v>
      </c>
      <c r="D162" s="210"/>
      <c r="E162" s="213">
        <f>E155+E156+E158+E159+E160+E161</f>
        <v>0</v>
      </c>
      <c r="F162" s="210"/>
      <c r="G162" s="210"/>
      <c r="H162" s="214"/>
      <c r="I162" s="210"/>
      <c r="J162" s="213">
        <f>J155+J156+J158+J159+J160+J161</f>
        <v>0</v>
      </c>
      <c r="K162" s="210"/>
      <c r="L162" s="210"/>
      <c r="M162" s="210"/>
      <c r="N162" s="234"/>
      <c r="O162"/>
      <c r="P162"/>
      <c r="Q162"/>
    </row>
    <row r="163" spans="1:17">
      <c r="A163" s="201"/>
      <c r="C163" s="212"/>
      <c r="D163" s="210"/>
      <c r="E163" s="215"/>
      <c r="F163" s="210"/>
      <c r="G163" s="210"/>
      <c r="H163" s="214"/>
      <c r="I163" s="210"/>
      <c r="J163" s="210"/>
      <c r="K163" s="210"/>
      <c r="L163" s="210"/>
      <c r="M163" s="210"/>
      <c r="N163" s="234"/>
      <c r="O163"/>
      <c r="P163"/>
      <c r="Q163"/>
    </row>
    <row r="164" spans="1:17">
      <c r="A164" s="201" t="s">
        <v>59</v>
      </c>
      <c r="C164" s="212"/>
      <c r="D164" s="210"/>
      <c r="E164" s="210"/>
      <c r="F164" s="210"/>
      <c r="G164" s="210"/>
      <c r="H164" s="214"/>
      <c r="I164" s="210"/>
      <c r="J164" s="210"/>
      <c r="K164" s="210"/>
      <c r="L164" s="210"/>
      <c r="M164" s="210"/>
      <c r="N164" s="210"/>
      <c r="O164"/>
      <c r="P164"/>
      <c r="Q164"/>
    </row>
    <row r="165" spans="1:17">
      <c r="A165" s="201" t="s">
        <v>5</v>
      </c>
      <c r="C165" s="208" t="s">
        <v>514</v>
      </c>
      <c r="D165" s="463" t="s">
        <v>501</v>
      </c>
      <c r="E165" s="210"/>
      <c r="F165" s="210"/>
      <c r="H165" s="255"/>
      <c r="I165" s="210"/>
      <c r="K165" s="210"/>
      <c r="M165" s="210"/>
      <c r="N165" s="210"/>
      <c r="O165"/>
      <c r="P165"/>
      <c r="Q165"/>
    </row>
    <row r="166" spans="1:17">
      <c r="A166" s="201">
        <v>21</v>
      </c>
      <c r="C166" s="256" t="s">
        <v>124</v>
      </c>
      <c r="D166" s="210"/>
      <c r="E166" s="257">
        <v>0</v>
      </c>
      <c r="F166" s="210"/>
      <c r="H166" s="255"/>
      <c r="I166" s="210"/>
      <c r="K166" s="210"/>
      <c r="M166" s="210"/>
      <c r="N166" s="210"/>
      <c r="O166"/>
      <c r="P166"/>
      <c r="Q166"/>
    </row>
    <row r="167" spans="1:17">
      <c r="A167" s="201">
        <v>22</v>
      </c>
      <c r="C167" s="191" t="s">
        <v>125</v>
      </c>
      <c r="D167" s="210"/>
      <c r="E167" s="257">
        <f>IF(E21&gt;0,(E166/(1-E166))*(1-J241/1),0)</f>
        <v>0</v>
      </c>
      <c r="F167" s="210"/>
      <c r="H167" s="255"/>
      <c r="I167" s="210"/>
      <c r="K167" s="210"/>
      <c r="M167" s="210"/>
      <c r="N167" s="210"/>
      <c r="O167"/>
      <c r="P167"/>
      <c r="Q167"/>
    </row>
    <row r="168" spans="1:17">
      <c r="A168" s="201">
        <v>23</v>
      </c>
      <c r="C168" s="256" t="s">
        <v>126</v>
      </c>
      <c r="D168" s="210"/>
      <c r="E168" s="258">
        <f>IF(E166&gt;0,1/(1-E166),0)</f>
        <v>0</v>
      </c>
      <c r="F168" s="210"/>
      <c r="H168" s="255"/>
      <c r="I168" s="210"/>
      <c r="J168" s="215"/>
      <c r="K168" s="210"/>
      <c r="M168" s="210"/>
      <c r="N168" s="210"/>
      <c r="O168"/>
      <c r="P168"/>
      <c r="Q168"/>
    </row>
    <row r="169" spans="1:17">
      <c r="A169" s="201">
        <v>24</v>
      </c>
      <c r="C169" s="212" t="s">
        <v>263</v>
      </c>
      <c r="D169" s="210" t="s">
        <v>262</v>
      </c>
      <c r="E169" s="215">
        <v>0</v>
      </c>
      <c r="F169" s="210"/>
      <c r="H169" s="255"/>
      <c r="I169" s="210"/>
      <c r="J169" s="215"/>
      <c r="K169" s="210"/>
      <c r="M169" s="210"/>
      <c r="N169" s="210"/>
      <c r="O169"/>
      <c r="P169"/>
      <c r="Q169"/>
    </row>
    <row r="170" spans="1:17">
      <c r="A170" s="201"/>
      <c r="C170" s="212"/>
      <c r="D170" s="210"/>
      <c r="E170" s="215"/>
      <c r="F170" s="210"/>
      <c r="H170" s="255"/>
      <c r="I170" s="210"/>
      <c r="J170" s="215"/>
      <c r="K170" s="210"/>
      <c r="M170" s="210"/>
      <c r="N170" s="210"/>
      <c r="O170" s="223"/>
      <c r="P170" s="210"/>
    </row>
    <row r="171" spans="1:17">
      <c r="A171" s="201">
        <v>25</v>
      </c>
      <c r="C171" s="256" t="s">
        <v>265</v>
      </c>
      <c r="D171" s="259"/>
      <c r="E171" s="213">
        <f>E167*E176</f>
        <v>0</v>
      </c>
      <c r="F171" s="210"/>
      <c r="G171" s="210" t="s">
        <v>27</v>
      </c>
      <c r="H171" s="214"/>
      <c r="I171" s="210"/>
      <c r="J171" s="213">
        <f>E167*J176</f>
        <v>0</v>
      </c>
      <c r="K171" s="210"/>
      <c r="L171" s="260" t="s">
        <v>5</v>
      </c>
      <c r="M171" s="210"/>
      <c r="N171" s="210"/>
      <c r="O171" s="210"/>
      <c r="P171" s="212"/>
    </row>
    <row r="172" spans="1:17" ht="15.75" thickBot="1">
      <c r="A172" s="201">
        <v>26</v>
      </c>
      <c r="C172" s="191" t="s">
        <v>127</v>
      </c>
      <c r="D172" s="259"/>
      <c r="E172" s="231">
        <f>E168*E169</f>
        <v>0</v>
      </c>
      <c r="F172" s="210"/>
      <c r="G172" s="191" t="s">
        <v>43</v>
      </c>
      <c r="H172" s="214">
        <f>H97</f>
        <v>0.15163492605907683</v>
      </c>
      <c r="I172" s="210"/>
      <c r="J172" s="231">
        <f>H172*E172</f>
        <v>0</v>
      </c>
      <c r="K172" s="210"/>
      <c r="L172" s="260"/>
      <c r="M172" s="210"/>
      <c r="N172" s="210"/>
      <c r="O172" s="210"/>
      <c r="P172" s="212"/>
    </row>
    <row r="173" spans="1:17">
      <c r="A173" s="201">
        <v>27</v>
      </c>
      <c r="C173" s="261" t="s">
        <v>121</v>
      </c>
      <c r="D173" s="191" t="s">
        <v>128</v>
      </c>
      <c r="E173" s="262">
        <f>E171+E172</f>
        <v>0</v>
      </c>
      <c r="F173" s="210"/>
      <c r="G173" s="210" t="s">
        <v>5</v>
      </c>
      <c r="H173" s="214" t="s">
        <v>5</v>
      </c>
      <c r="I173" s="210"/>
      <c r="J173" s="262">
        <f>J171+J172</f>
        <v>0</v>
      </c>
      <c r="K173" s="210"/>
      <c r="L173" s="210"/>
      <c r="M173" s="210"/>
      <c r="N173" s="210"/>
      <c r="O173" s="210"/>
      <c r="P173" s="212"/>
    </row>
    <row r="174" spans="1:17">
      <c r="A174" s="201" t="s">
        <v>5</v>
      </c>
      <c r="D174" s="263"/>
      <c r="E174" s="215"/>
      <c r="F174" s="210"/>
      <c r="G174" s="210"/>
      <c r="H174" s="214"/>
      <c r="I174" s="210"/>
      <c r="J174" s="215"/>
      <c r="K174" s="210"/>
      <c r="L174" s="210"/>
      <c r="M174" s="210"/>
      <c r="N174" s="210"/>
      <c r="O174" s="210"/>
      <c r="P174" s="212"/>
    </row>
    <row r="175" spans="1:17">
      <c r="A175" s="201">
        <v>28</v>
      </c>
      <c r="C175" s="212" t="s">
        <v>60</v>
      </c>
      <c r="D175" s="233"/>
      <c r="K175" s="210"/>
      <c r="M175" s="210"/>
      <c r="N175" s="210"/>
      <c r="O175" s="223"/>
      <c r="P175" s="210" t="s">
        <v>5</v>
      </c>
    </row>
    <row r="176" spans="1:17">
      <c r="A176" s="201"/>
      <c r="C176" s="261" t="s">
        <v>390</v>
      </c>
      <c r="E176" s="213">
        <f>J243*E115</f>
        <v>185350859.74842665</v>
      </c>
      <c r="F176" s="210"/>
      <c r="G176" s="210" t="s">
        <v>27</v>
      </c>
      <c r="H176" s="255"/>
      <c r="I176" s="210"/>
      <c r="J176" s="213">
        <f>J243*J115</f>
        <v>29363457.642931785</v>
      </c>
      <c r="K176" s="210"/>
      <c r="L176" s="233"/>
      <c r="M176" s="210"/>
      <c r="N176" s="210"/>
      <c r="O176" s="223"/>
      <c r="P176" s="210"/>
    </row>
    <row r="177" spans="1:16">
      <c r="A177" s="201"/>
      <c r="C177" s="212"/>
      <c r="E177" s="236"/>
      <c r="F177" s="210"/>
      <c r="G177" s="210"/>
      <c r="H177" s="255"/>
      <c r="I177" s="210"/>
      <c r="J177" s="236"/>
      <c r="K177" s="210"/>
      <c r="L177" s="233"/>
      <c r="M177" s="210"/>
      <c r="N177" s="210"/>
      <c r="O177" s="223"/>
      <c r="P177" s="210"/>
    </row>
    <row r="178" spans="1:16" ht="15.75" thickBot="1">
      <c r="A178" s="201">
        <v>29</v>
      </c>
      <c r="C178" s="212" t="s">
        <v>264</v>
      </c>
      <c r="D178" s="210"/>
      <c r="E178" s="238">
        <f>E176+E173+E162+E151+E145</f>
        <v>267202846.29869133</v>
      </c>
      <c r="F178" s="264"/>
      <c r="G178" s="264"/>
      <c r="H178" s="264"/>
      <c r="I178" s="264"/>
      <c r="J178" s="238">
        <f>J176+J173+J162+J151+J145</f>
        <v>72070264.594598457</v>
      </c>
      <c r="K178" s="196"/>
      <c r="L178" s="196"/>
      <c r="M178" s="196"/>
      <c r="N178" s="196"/>
      <c r="O178" s="196"/>
      <c r="P178" s="212"/>
    </row>
    <row r="179" spans="1:16" ht="15.75" thickTop="1">
      <c r="A179" s="201"/>
      <c r="C179" s="212"/>
      <c r="D179" s="210"/>
      <c r="E179" s="264"/>
      <c r="F179" s="210"/>
      <c r="G179" s="210"/>
      <c r="H179" s="210"/>
      <c r="I179" s="210"/>
      <c r="J179" s="264"/>
      <c r="K179" s="196"/>
      <c r="L179" s="196"/>
      <c r="M179" s="196"/>
      <c r="N179" s="196"/>
      <c r="O179" s="196"/>
      <c r="P179" s="212"/>
    </row>
    <row r="180" spans="1:16">
      <c r="A180" s="201"/>
      <c r="C180" s="212"/>
      <c r="D180" s="210"/>
      <c r="E180" s="264"/>
      <c r="F180" s="210"/>
      <c r="G180" s="210"/>
      <c r="H180" s="210"/>
      <c r="I180" s="210"/>
      <c r="J180" s="264"/>
      <c r="K180" s="196"/>
      <c r="L180" s="196"/>
      <c r="M180" s="196"/>
      <c r="N180" s="196"/>
      <c r="O180" s="196"/>
      <c r="P180" s="212"/>
    </row>
    <row r="181" spans="1:16">
      <c r="A181" s="201"/>
      <c r="C181" s="192"/>
      <c r="D181" s="192"/>
      <c r="E181" s="193"/>
      <c r="F181" s="192"/>
      <c r="G181" s="192"/>
      <c r="H181" s="192"/>
      <c r="I181" s="194"/>
      <c r="K181" s="201"/>
      <c r="L181" s="222"/>
      <c r="M181" s="201"/>
      <c r="N181" s="196"/>
      <c r="O181" s="196"/>
      <c r="P181" s="196"/>
    </row>
    <row r="182" spans="1:16" ht="18">
      <c r="A182" s="190"/>
      <c r="C182" s="192"/>
      <c r="D182" s="192"/>
      <c r="E182" s="193"/>
      <c r="F182" s="192"/>
      <c r="G182" s="192"/>
      <c r="H182" s="192"/>
      <c r="I182" s="194"/>
      <c r="J182" s="195" t="str">
        <f>J1</f>
        <v>Attachment H-24A</v>
      </c>
      <c r="M182" s="222"/>
      <c r="N182" s="196"/>
      <c r="O182" s="196"/>
      <c r="P182" s="196"/>
    </row>
    <row r="183" spans="1:16">
      <c r="C183" s="192"/>
      <c r="D183" s="192"/>
      <c r="E183" s="193"/>
      <c r="F183" s="192"/>
      <c r="G183" s="192"/>
      <c r="H183" s="192"/>
      <c r="I183" s="194"/>
      <c r="J183" s="195" t="s">
        <v>436</v>
      </c>
      <c r="M183" s="195"/>
      <c r="N183" s="196"/>
      <c r="O183" s="196"/>
      <c r="P183" s="196"/>
    </row>
    <row r="184" spans="1:16">
      <c r="C184" s="192"/>
      <c r="D184" s="192"/>
      <c r="E184" s="193"/>
      <c r="F184" s="192"/>
      <c r="G184" s="192"/>
      <c r="H184" s="192"/>
      <c r="I184" s="194"/>
      <c r="M184" s="195"/>
      <c r="N184" s="196"/>
      <c r="O184" s="196"/>
      <c r="P184" s="196"/>
    </row>
    <row r="185" spans="1:16">
      <c r="C185" s="192"/>
      <c r="D185" s="192"/>
      <c r="E185" s="193"/>
      <c r="F185" s="192"/>
      <c r="G185" s="192"/>
      <c r="H185" s="192"/>
      <c r="I185" s="194"/>
      <c r="M185" s="195"/>
      <c r="N185" s="196"/>
      <c r="O185" s="196"/>
      <c r="P185" s="196"/>
    </row>
    <row r="186" spans="1:16">
      <c r="C186" s="192"/>
      <c r="D186" s="192"/>
      <c r="E186" s="193"/>
      <c r="F186" s="192"/>
      <c r="G186" s="192"/>
      <c r="H186" s="192"/>
      <c r="I186" s="194"/>
      <c r="M186" s="195"/>
      <c r="N186" s="196"/>
      <c r="O186" s="196"/>
      <c r="P186" s="196"/>
    </row>
    <row r="187" spans="1:16">
      <c r="C187" s="192"/>
      <c r="D187" s="192"/>
      <c r="E187" s="193"/>
      <c r="F187" s="192"/>
      <c r="G187" s="192"/>
      <c r="H187" s="192"/>
      <c r="I187" s="194"/>
      <c r="J187" s="195"/>
      <c r="M187" s="195"/>
      <c r="N187" s="196"/>
      <c r="O187" s="196"/>
      <c r="P187" s="196"/>
    </row>
    <row r="188" spans="1:16">
      <c r="C188" s="192" t="s">
        <v>4</v>
      </c>
      <c r="D188" s="192"/>
      <c r="E188" s="193"/>
      <c r="F188" s="192"/>
      <c r="G188" s="192"/>
      <c r="H188" s="192"/>
      <c r="I188" s="194"/>
      <c r="J188" s="222" t="str">
        <f>J7</f>
        <v>For the 12 months ended 12/31/2015</v>
      </c>
      <c r="M188" s="195"/>
      <c r="N188" s="196"/>
      <c r="O188" s="196"/>
      <c r="P188" s="196"/>
    </row>
    <row r="189" spans="1:16">
      <c r="A189" s="198" t="str">
        <f>A8</f>
        <v>Rate Formula Template</v>
      </c>
      <c r="B189" s="197"/>
      <c r="C189" s="197"/>
      <c r="D189" s="198"/>
      <c r="E189" s="197"/>
      <c r="F189" s="198"/>
      <c r="G189" s="198"/>
      <c r="H189" s="198"/>
      <c r="I189" s="198"/>
      <c r="J189" s="197"/>
      <c r="K189" s="200"/>
      <c r="L189" s="197"/>
      <c r="M189" s="196"/>
      <c r="N189" s="196"/>
      <c r="O189" s="196"/>
      <c r="P189" s="196"/>
    </row>
    <row r="190" spans="1:16">
      <c r="A190" s="239" t="str">
        <f>$A$9</f>
        <v>Utilizing EKPC 2015 Form FF1 Data (ver.FINAL AUDITED)</v>
      </c>
      <c r="B190" s="197"/>
      <c r="C190" s="198"/>
      <c r="D190" s="199"/>
      <c r="E190" s="197"/>
      <c r="F190" s="199"/>
      <c r="G190" s="199"/>
      <c r="H190" s="199"/>
      <c r="I190" s="198"/>
      <c r="J190" s="198"/>
      <c r="K190" s="200"/>
      <c r="L190" s="200"/>
      <c r="M190" s="196"/>
      <c r="N190" s="196"/>
      <c r="O190" s="196"/>
      <c r="P190" s="196"/>
    </row>
    <row r="191" spans="1:16">
      <c r="A191" s="200"/>
      <c r="B191" s="197"/>
      <c r="C191" s="200"/>
      <c r="D191" s="200"/>
      <c r="E191" s="197"/>
      <c r="F191" s="200"/>
      <c r="G191" s="200"/>
      <c r="H191" s="200"/>
      <c r="I191" s="200"/>
      <c r="J191" s="200"/>
      <c r="K191" s="200"/>
      <c r="L191" s="200"/>
      <c r="M191" s="210"/>
      <c r="N191" s="210"/>
      <c r="O191" s="210"/>
      <c r="P191" s="212"/>
    </row>
    <row r="192" spans="1:16">
      <c r="A192" s="295" t="str">
        <f>$A$11</f>
        <v>East Kentucky Power Cooperative, Inc.</v>
      </c>
      <c r="B192" s="197"/>
      <c r="C192" s="200"/>
      <c r="D192" s="200"/>
      <c r="E192" s="197"/>
      <c r="F192" s="200"/>
      <c r="G192" s="200"/>
      <c r="H192" s="200"/>
      <c r="I192" s="200"/>
      <c r="J192" s="200"/>
      <c r="K192" s="200"/>
      <c r="L192" s="200"/>
      <c r="M192" s="210"/>
      <c r="N192" s="210"/>
      <c r="O192" s="210"/>
      <c r="P192" s="212"/>
    </row>
    <row r="193" spans="1:24" ht="15.75">
      <c r="A193" s="265" t="s">
        <v>227</v>
      </c>
      <c r="B193" s="197"/>
      <c r="C193" s="197"/>
      <c r="D193" s="197"/>
      <c r="E193" s="197"/>
      <c r="F193" s="200"/>
      <c r="G193" s="200"/>
      <c r="H193" s="200"/>
      <c r="I193" s="200"/>
      <c r="J193" s="200"/>
      <c r="K193" s="199"/>
      <c r="L193" s="199"/>
      <c r="M193" s="210"/>
      <c r="N193" s="196"/>
      <c r="O193" s="210"/>
      <c r="P193" s="212"/>
    </row>
    <row r="194" spans="1:24" ht="15.75">
      <c r="A194" s="201" t="s">
        <v>6</v>
      </c>
      <c r="C194" s="227"/>
      <c r="D194" s="196"/>
      <c r="E194" s="196"/>
      <c r="F194" s="196"/>
      <c r="G194" s="196"/>
      <c r="H194" s="196"/>
      <c r="I194" s="196"/>
      <c r="J194" s="196"/>
      <c r="K194" s="210"/>
      <c r="L194" s="210"/>
      <c r="M194" s="210"/>
      <c r="N194" s="196"/>
      <c r="O194" s="210"/>
      <c r="P194" s="212"/>
    </row>
    <row r="195" spans="1:24" ht="15.75">
      <c r="A195" s="203" t="s">
        <v>8</v>
      </c>
      <c r="B195" s="241"/>
      <c r="C195" s="266" t="s">
        <v>253</v>
      </c>
      <c r="D195" s="196"/>
      <c r="E195" s="196"/>
      <c r="F195" s="196"/>
      <c r="G195" s="196"/>
      <c r="H195" s="196"/>
      <c r="K195" s="210"/>
      <c r="L195" s="210"/>
      <c r="M195" s="210"/>
      <c r="N195" s="196"/>
      <c r="O195" s="210"/>
      <c r="P195" s="212"/>
    </row>
    <row r="196" spans="1:24">
      <c r="A196" s="201"/>
      <c r="C196" s="192"/>
      <c r="D196" s="196"/>
      <c r="E196" s="196"/>
      <c r="F196" s="196"/>
      <c r="G196" s="196"/>
      <c r="H196" s="196"/>
      <c r="I196" s="196"/>
      <c r="J196" s="196"/>
      <c r="K196" s="210"/>
      <c r="L196" s="210"/>
      <c r="M196" s="210"/>
      <c r="N196" s="196"/>
      <c r="O196" s="210"/>
      <c r="P196" s="212"/>
    </row>
    <row r="197" spans="1:24">
      <c r="A197" s="201">
        <v>1</v>
      </c>
      <c r="C197" s="194" t="s">
        <v>254</v>
      </c>
      <c r="D197" s="196"/>
      <c r="E197" s="210"/>
      <c r="F197" s="210"/>
      <c r="G197" s="210"/>
      <c r="H197" s="210"/>
      <c r="I197" s="210"/>
      <c r="J197" s="215">
        <f>E76</f>
        <v>593688833</v>
      </c>
      <c r="K197" s="210"/>
      <c r="L197" s="210"/>
      <c r="M197" s="210"/>
      <c r="N197" s="196"/>
      <c r="O197" s="210"/>
      <c r="P197" s="212"/>
    </row>
    <row r="198" spans="1:24" ht="15.75">
      <c r="A198" s="201">
        <v>2</v>
      </c>
      <c r="C198" s="447" t="s">
        <v>461</v>
      </c>
      <c r="J198" s="215">
        <v>0</v>
      </c>
      <c r="K198" s="210"/>
      <c r="L198" s="210"/>
      <c r="M198" s="210"/>
      <c r="N198" s="308"/>
      <c r="O198" s="310"/>
      <c r="P198" s="506"/>
      <c r="Q198" s="2"/>
      <c r="R198" s="2"/>
      <c r="S198" s="2"/>
      <c r="T198" s="2"/>
      <c r="U198" s="2"/>
      <c r="V198" s="2"/>
    </row>
    <row r="199" spans="1:24" ht="16.5" thickBot="1">
      <c r="A199" s="201">
        <v>3</v>
      </c>
      <c r="C199" s="478" t="s">
        <v>513</v>
      </c>
      <c r="D199" s="531" t="s">
        <v>556</v>
      </c>
      <c r="E199" s="532"/>
      <c r="F199" s="210"/>
      <c r="G199" s="210"/>
      <c r="H199" s="237"/>
      <c r="I199" s="210"/>
      <c r="J199" s="231">
        <f>'Pg 5 of 8 Trans Plant In OATT'!C21</f>
        <v>13360366.83</v>
      </c>
      <c r="K199" s="210"/>
      <c r="M199" s="210"/>
      <c r="N199" s="310"/>
      <c r="O199" s="308"/>
      <c r="P199" s="506"/>
      <c r="Q199" s="2"/>
      <c r="R199" s="2"/>
      <c r="S199" s="2"/>
      <c r="T199" s="2"/>
      <c r="U199" s="2"/>
      <c r="V199" s="2"/>
    </row>
    <row r="200" spans="1:24">
      <c r="A200" s="201">
        <v>4</v>
      </c>
      <c r="C200" s="194" t="s">
        <v>255</v>
      </c>
      <c r="D200" s="196"/>
      <c r="E200" s="210"/>
      <c r="F200" s="210"/>
      <c r="G200" s="210"/>
      <c r="H200" s="237"/>
      <c r="I200" s="210"/>
      <c r="J200" s="215">
        <f>J197-J198-J199</f>
        <v>580328466.16999996</v>
      </c>
      <c r="K200" s="210"/>
      <c r="L200" s="210"/>
      <c r="M200" s="210"/>
      <c r="N200" s="196"/>
      <c r="O200" s="210"/>
      <c r="P200" s="212"/>
    </row>
    <row r="201" spans="1:24">
      <c r="A201" s="201"/>
      <c r="D201" s="196"/>
      <c r="E201" s="210"/>
      <c r="F201" s="210"/>
      <c r="G201" s="210"/>
      <c r="H201" s="237"/>
      <c r="I201" s="210"/>
      <c r="K201" s="210"/>
      <c r="L201" s="210"/>
      <c r="M201" s="210"/>
      <c r="N201" s="196"/>
      <c r="O201" s="210"/>
      <c r="P201" s="212"/>
    </row>
    <row r="202" spans="1:24">
      <c r="A202" s="201">
        <v>5</v>
      </c>
      <c r="C202" s="194" t="s">
        <v>256</v>
      </c>
      <c r="D202" s="202"/>
      <c r="E202" s="268"/>
      <c r="F202" s="268"/>
      <c r="G202" s="268"/>
      <c r="H202" s="225"/>
      <c r="I202" s="210" t="s">
        <v>64</v>
      </c>
      <c r="J202" s="269">
        <f>IF(J197&gt;0,J200/J197,0)</f>
        <v>0.97749601123118979</v>
      </c>
      <c r="K202" s="210"/>
      <c r="L202" s="210"/>
      <c r="M202" s="210"/>
      <c r="N202" s="196"/>
      <c r="O202" s="150"/>
      <c r="P202" s="150"/>
      <c r="Q202" s="150"/>
      <c r="R202" s="150"/>
      <c r="S202" s="150"/>
      <c r="T202" s="150"/>
      <c r="U202" s="150"/>
      <c r="V202" s="150"/>
      <c r="W202" s="150"/>
      <c r="X202" s="150"/>
    </row>
    <row r="203" spans="1:24">
      <c r="A203" s="201"/>
      <c r="K203" s="210"/>
      <c r="L203" s="210"/>
      <c r="M203" s="210"/>
      <c r="N203" s="196"/>
      <c r="O203" s="150"/>
      <c r="P203" s="150"/>
      <c r="Q203" s="150"/>
      <c r="R203" s="150"/>
      <c r="S203" s="150"/>
      <c r="T203" s="150"/>
      <c r="U203" s="150"/>
      <c r="V203" s="150"/>
      <c r="W203" s="150"/>
      <c r="X203" s="150"/>
    </row>
    <row r="204" spans="1:24" ht="15.75">
      <c r="A204" s="201"/>
      <c r="C204" s="227" t="s">
        <v>61</v>
      </c>
      <c r="K204" s="210"/>
      <c r="L204" s="210"/>
      <c r="M204" s="210"/>
      <c r="N204" s="196"/>
      <c r="O204" s="150"/>
      <c r="P204" s="150"/>
      <c r="Q204" s="150"/>
      <c r="R204" s="150"/>
      <c r="S204" s="150"/>
      <c r="T204" s="150"/>
      <c r="U204" s="150"/>
      <c r="V204" s="150"/>
      <c r="W204" s="150"/>
      <c r="X204" s="150"/>
    </row>
    <row r="205" spans="1:24">
      <c r="A205" s="201"/>
      <c r="K205" s="210"/>
      <c r="L205" s="210"/>
      <c r="M205" s="210"/>
      <c r="N205" s="196"/>
      <c r="O205" s="150"/>
      <c r="P205" s="150"/>
      <c r="Q205" s="150"/>
      <c r="R205" s="150"/>
      <c r="S205" s="150"/>
      <c r="T205" s="150"/>
      <c r="U205" s="150"/>
      <c r="V205" s="150"/>
      <c r="W205" s="150"/>
      <c r="X205" s="150"/>
    </row>
    <row r="206" spans="1:24">
      <c r="A206" s="201">
        <v>6</v>
      </c>
      <c r="C206" s="191" t="s">
        <v>62</v>
      </c>
      <c r="E206" s="196"/>
      <c r="F206" s="196"/>
      <c r="G206" s="196"/>
      <c r="H206" s="223"/>
      <c r="I206" s="196"/>
      <c r="J206" s="215">
        <f>E135</f>
        <v>49191150.659999996</v>
      </c>
      <c r="K206" s="210"/>
      <c r="L206" s="210"/>
      <c r="M206" s="210"/>
      <c r="N206" s="210"/>
      <c r="O206" s="150"/>
      <c r="P206" s="150"/>
      <c r="Q206" s="150"/>
      <c r="R206" s="150"/>
      <c r="S206" s="150"/>
      <c r="T206" s="150"/>
      <c r="U206" s="150"/>
      <c r="V206" s="150"/>
      <c r="W206" s="150"/>
      <c r="X206" s="150"/>
    </row>
    <row r="207" spans="1:24" ht="15.75" thickBot="1">
      <c r="A207" s="201">
        <v>7</v>
      </c>
      <c r="C207" s="478" t="s">
        <v>512</v>
      </c>
      <c r="D207" s="531" t="s">
        <v>502</v>
      </c>
      <c r="E207" s="267"/>
      <c r="F207" s="267"/>
      <c r="G207" s="210"/>
      <c r="H207" s="210"/>
      <c r="I207" s="210"/>
      <c r="J207" s="231">
        <f>'Pg 4 of 8 Sch 1 Charges 561'!D42</f>
        <v>2872736.13</v>
      </c>
      <c r="K207" s="210"/>
      <c r="M207" s="310"/>
      <c r="N207" s="310"/>
      <c r="O207" s="310"/>
      <c r="P207" s="157"/>
      <c r="Q207" s="157"/>
      <c r="R207" s="150"/>
      <c r="S207" s="150"/>
      <c r="T207" s="150"/>
      <c r="U207" s="150"/>
      <c r="V207" s="150"/>
      <c r="W207" s="150"/>
      <c r="X207" s="150"/>
    </row>
    <row r="208" spans="1:24">
      <c r="A208" s="201">
        <v>8</v>
      </c>
      <c r="C208" s="194" t="s">
        <v>133</v>
      </c>
      <c r="D208" s="202"/>
      <c r="E208" s="268"/>
      <c r="F208" s="268"/>
      <c r="G208" s="268"/>
      <c r="H208" s="225"/>
      <c r="I208" s="268"/>
      <c r="J208" s="215">
        <f>J206-J207</f>
        <v>46318414.529999994</v>
      </c>
      <c r="M208" s="210"/>
      <c r="N208" s="210"/>
      <c r="O208" s="150"/>
      <c r="P208" s="150"/>
      <c r="Q208" s="150"/>
      <c r="R208" s="150"/>
      <c r="S208" s="150"/>
      <c r="T208" s="150"/>
      <c r="U208" s="150"/>
      <c r="V208" s="150"/>
      <c r="W208" s="150"/>
      <c r="X208" s="150"/>
    </row>
    <row r="209" spans="1:24">
      <c r="A209" s="201"/>
      <c r="C209" s="194"/>
      <c r="D209" s="196"/>
      <c r="E209" s="210"/>
      <c r="F209" s="210"/>
      <c r="G209" s="210"/>
      <c r="H209" s="210"/>
      <c r="M209" s="210"/>
      <c r="N209" s="210"/>
      <c r="O209" s="150"/>
      <c r="P209" s="150"/>
      <c r="Q209" s="150"/>
      <c r="R209" s="150"/>
      <c r="S209" s="150"/>
      <c r="T209" s="150"/>
      <c r="U209" s="150"/>
      <c r="V209" s="150"/>
      <c r="W209" s="150"/>
      <c r="X209" s="150"/>
    </row>
    <row r="210" spans="1:24">
      <c r="A210" s="201">
        <v>9</v>
      </c>
      <c r="C210" s="194" t="s">
        <v>132</v>
      </c>
      <c r="D210" s="196"/>
      <c r="E210" s="210"/>
      <c r="F210" s="210"/>
      <c r="G210" s="210"/>
      <c r="H210" s="210"/>
      <c r="I210" s="210"/>
      <c r="J210" s="230">
        <f>IF(J206&gt;0,J208/J206,0)</f>
        <v>0.94160055027263312</v>
      </c>
      <c r="L210" s="2"/>
      <c r="M210" s="310"/>
      <c r="N210" s="310"/>
      <c r="O210" s="150"/>
      <c r="P210" s="150"/>
      <c r="Q210" s="150"/>
      <c r="R210" s="150"/>
      <c r="S210" s="150"/>
      <c r="T210" s="150"/>
      <c r="U210" s="150"/>
      <c r="V210" s="150"/>
      <c r="W210" s="150"/>
      <c r="X210" s="150"/>
    </row>
    <row r="211" spans="1:24">
      <c r="A211" s="201">
        <v>10</v>
      </c>
      <c r="C211" s="194" t="s">
        <v>257</v>
      </c>
      <c r="D211" s="196"/>
      <c r="E211" s="210"/>
      <c r="F211" s="210"/>
      <c r="G211" s="210"/>
      <c r="H211" s="210"/>
      <c r="I211" s="196" t="s">
        <v>12</v>
      </c>
      <c r="J211" s="270">
        <f>J202</f>
        <v>0.97749601123118979</v>
      </c>
      <c r="L211" s="2"/>
      <c r="M211" s="310"/>
      <c r="N211" s="310"/>
      <c r="O211" s="150"/>
      <c r="P211" s="150"/>
      <c r="Q211" s="150"/>
      <c r="R211" s="150"/>
      <c r="S211" s="150"/>
      <c r="T211" s="150"/>
      <c r="U211" s="150"/>
      <c r="V211" s="150"/>
      <c r="W211" s="150"/>
      <c r="X211" s="150"/>
    </row>
    <row r="212" spans="1:24">
      <c r="A212" s="201">
        <v>11</v>
      </c>
      <c r="C212" s="194" t="s">
        <v>258</v>
      </c>
      <c r="D212" s="196"/>
      <c r="E212" s="196"/>
      <c r="F212" s="196"/>
      <c r="G212" s="196"/>
      <c r="H212" s="196"/>
      <c r="I212" s="196" t="s">
        <v>63</v>
      </c>
      <c r="J212" s="271">
        <f>J211*J210</f>
        <v>0.92041078206459226</v>
      </c>
      <c r="L212" s="2"/>
      <c r="M212" s="310"/>
      <c r="N212" s="310"/>
      <c r="O212" s="150"/>
      <c r="P212" s="150"/>
      <c r="Q212" s="150"/>
      <c r="R212" s="150"/>
      <c r="S212" s="150"/>
      <c r="T212" s="150"/>
      <c r="U212" s="150"/>
      <c r="V212" s="150"/>
      <c r="W212" s="150"/>
      <c r="X212" s="150"/>
    </row>
    <row r="213" spans="1:24">
      <c r="A213" s="201"/>
      <c r="D213" s="196"/>
      <c r="E213" s="210"/>
      <c r="F213" s="210"/>
      <c r="G213" s="210"/>
      <c r="H213" s="237"/>
      <c r="I213" s="210"/>
      <c r="M213" s="210"/>
      <c r="N213" s="210"/>
      <c r="O213" s="150"/>
      <c r="P213" s="150"/>
      <c r="Q213" s="150"/>
      <c r="R213" s="150"/>
      <c r="S213" s="150"/>
      <c r="T213" s="150"/>
      <c r="U213" s="150"/>
      <c r="V213" s="150"/>
      <c r="W213" s="150"/>
      <c r="X213" s="150"/>
    </row>
    <row r="214" spans="1:24" ht="15.75">
      <c r="A214" s="201" t="s">
        <v>5</v>
      </c>
      <c r="C214" s="227" t="s">
        <v>65</v>
      </c>
      <c r="D214" s="210"/>
      <c r="E214" s="210"/>
      <c r="F214" s="210"/>
      <c r="G214" s="210"/>
      <c r="H214" s="210"/>
      <c r="I214" s="210"/>
      <c r="J214" s="210"/>
      <c r="K214" s="210"/>
      <c r="L214" s="210"/>
      <c r="M214" s="210"/>
      <c r="N214" s="210"/>
      <c r="O214" s="150"/>
      <c r="P214" s="150"/>
      <c r="Q214" s="150"/>
      <c r="R214" s="150"/>
      <c r="S214" s="150"/>
      <c r="T214" s="150"/>
      <c r="U214" s="150"/>
      <c r="V214" s="150"/>
      <c r="W214" s="150"/>
      <c r="X214" s="150"/>
    </row>
    <row r="215" spans="1:24" ht="15.75" thickBot="1">
      <c r="A215" s="201" t="s">
        <v>5</v>
      </c>
      <c r="C215" s="212"/>
      <c r="D215" s="267" t="s">
        <v>66</v>
      </c>
      <c r="E215" s="272" t="s">
        <v>67</v>
      </c>
      <c r="F215" s="272" t="s">
        <v>12</v>
      </c>
      <c r="G215" s="210"/>
      <c r="H215" s="272" t="s">
        <v>68</v>
      </c>
      <c r="I215" s="210"/>
      <c r="J215" s="210"/>
      <c r="K215" s="210"/>
      <c r="L215" s="210"/>
      <c r="M215" s="210"/>
      <c r="N215" s="210"/>
      <c r="O215" s="150"/>
      <c r="P215" s="150"/>
      <c r="Q215" s="150"/>
      <c r="R215" s="150"/>
      <c r="S215" s="150"/>
      <c r="T215" s="150"/>
      <c r="U215" s="150"/>
      <c r="V215" s="150"/>
      <c r="W215" s="150"/>
      <c r="X215" s="150"/>
    </row>
    <row r="216" spans="1:24">
      <c r="A216" s="201">
        <v>12</v>
      </c>
      <c r="C216" s="212" t="s">
        <v>26</v>
      </c>
      <c r="D216" s="210" t="s">
        <v>317</v>
      </c>
      <c r="E216" s="576">
        <v>33334801</v>
      </c>
      <c r="F216" s="273">
        <v>0</v>
      </c>
      <c r="G216" s="273"/>
      <c r="H216" s="215">
        <f>E216*F216</f>
        <v>0</v>
      </c>
      <c r="I216" s="210"/>
      <c r="J216" s="210"/>
      <c r="K216" s="210"/>
      <c r="L216" s="210"/>
      <c r="M216" s="210"/>
      <c r="N216" s="210"/>
      <c r="O216" s="150"/>
      <c r="P216" s="150"/>
      <c r="Q216" s="150"/>
      <c r="R216" s="150"/>
      <c r="S216" s="150"/>
      <c r="T216" s="150"/>
      <c r="U216" s="150"/>
      <c r="V216" s="150"/>
      <c r="W216" s="150"/>
      <c r="X216" s="150"/>
    </row>
    <row r="217" spans="1:24">
      <c r="A217" s="201">
        <v>13</v>
      </c>
      <c r="C217" s="212" t="s">
        <v>28</v>
      </c>
      <c r="D217" s="210" t="s">
        <v>318</v>
      </c>
      <c r="E217" s="576">
        <v>9168077</v>
      </c>
      <c r="F217" s="273">
        <f>J202</f>
        <v>0.97749601123118979</v>
      </c>
      <c r="G217" s="273"/>
      <c r="H217" s="215">
        <f>E217*F217</f>
        <v>8961758.6981604137</v>
      </c>
      <c r="I217" s="210"/>
      <c r="J217" s="210"/>
      <c r="K217" s="210"/>
      <c r="L217" s="210"/>
      <c r="M217" s="196"/>
      <c r="N217" s="210"/>
      <c r="O217" s="150"/>
      <c r="P217" s="150"/>
      <c r="Q217" s="150"/>
      <c r="R217" s="150"/>
      <c r="S217" s="150"/>
      <c r="T217" s="150"/>
      <c r="U217" s="150"/>
      <c r="V217" s="150"/>
      <c r="W217" s="150"/>
      <c r="X217" s="150"/>
    </row>
    <row r="218" spans="1:24">
      <c r="A218" s="201">
        <v>14</v>
      </c>
      <c r="C218" s="212" t="s">
        <v>29</v>
      </c>
      <c r="D218" s="210" t="s">
        <v>69</v>
      </c>
      <c r="E218" s="576">
        <v>828986</v>
      </c>
      <c r="F218" s="273">
        <v>0</v>
      </c>
      <c r="G218" s="273"/>
      <c r="H218" s="215">
        <f>E218*F218</f>
        <v>0</v>
      </c>
      <c r="I218" s="210"/>
      <c r="J218" s="274" t="s">
        <v>70</v>
      </c>
      <c r="K218" s="210"/>
      <c r="L218" s="210"/>
      <c r="M218" s="210"/>
      <c r="N218" s="210"/>
      <c r="O218" s="150"/>
      <c r="P218" s="150"/>
      <c r="Q218" s="150"/>
      <c r="R218" s="150"/>
      <c r="S218" s="150"/>
      <c r="T218" s="150"/>
      <c r="U218" s="150"/>
      <c r="V218" s="150"/>
      <c r="W218" s="150"/>
      <c r="X218" s="150"/>
    </row>
    <row r="219" spans="1:24" ht="15.75" thickBot="1">
      <c r="A219" s="201">
        <v>15</v>
      </c>
      <c r="C219" s="212" t="s">
        <v>71</v>
      </c>
      <c r="D219" s="210" t="s">
        <v>328</v>
      </c>
      <c r="E219" s="538">
        <f>1212175+11088+10885008</f>
        <v>12108271</v>
      </c>
      <c r="F219" s="273">
        <v>0</v>
      </c>
      <c r="G219" s="273"/>
      <c r="H219" s="231">
        <f>E219*F219</f>
        <v>0</v>
      </c>
      <c r="I219" s="210"/>
      <c r="J219" s="209" t="s">
        <v>72</v>
      </c>
      <c r="K219" s="210"/>
      <c r="L219" s="210"/>
      <c r="M219" s="210"/>
      <c r="N219" s="210"/>
      <c r="O219" s="150"/>
      <c r="P219" s="150"/>
      <c r="Q219" s="150"/>
      <c r="R219" s="150"/>
      <c r="S219" s="150"/>
      <c r="T219" s="150"/>
      <c r="U219" s="150"/>
      <c r="V219" s="150"/>
      <c r="W219" s="150"/>
      <c r="X219" s="150"/>
    </row>
    <row r="220" spans="1:24">
      <c r="A220" s="201">
        <v>16</v>
      </c>
      <c r="C220" s="212" t="s">
        <v>129</v>
      </c>
      <c r="D220" s="210"/>
      <c r="E220" s="215">
        <f>SUM(E216:E219)</f>
        <v>55440135</v>
      </c>
      <c r="F220" s="210"/>
      <c r="G220" s="210"/>
      <c r="H220" s="215">
        <f>SUM(H216:H219)</f>
        <v>8961758.6981604137</v>
      </c>
      <c r="I220" s="223" t="s">
        <v>73</v>
      </c>
      <c r="J220" s="230">
        <f>IF(H220&gt;0,H220/E220,0)</f>
        <v>0.16164749054381655</v>
      </c>
      <c r="K220"/>
      <c r="L220"/>
      <c r="M220" s="310"/>
      <c r="N220" s="310"/>
      <c r="O220" s="210"/>
      <c r="P220" s="212"/>
    </row>
    <row r="221" spans="1:24">
      <c r="A221" s="201"/>
      <c r="C221" s="212"/>
      <c r="D221" s="210"/>
      <c r="E221" s="210"/>
      <c r="F221" s="210"/>
      <c r="G221" s="210"/>
      <c r="H221" s="210"/>
      <c r="I221" s="210"/>
      <c r="J221" s="210"/>
      <c r="K221"/>
      <c r="L221"/>
      <c r="M221" s="210" t="s">
        <v>5</v>
      </c>
      <c r="N221" s="210"/>
      <c r="O221" s="210"/>
      <c r="P221" s="212"/>
    </row>
    <row r="222" spans="1:24" ht="15.75">
      <c r="A222" s="201"/>
      <c r="C222" s="227" t="s">
        <v>261</v>
      </c>
      <c r="D222" s="210"/>
      <c r="E222" s="210"/>
      <c r="F222" s="210"/>
      <c r="G222" s="210"/>
      <c r="H222" s="210"/>
      <c r="I222" s="210"/>
      <c r="J222" s="210"/>
      <c r="K222"/>
      <c r="L222"/>
      <c r="M222" s="210"/>
      <c r="N222" s="210"/>
      <c r="O222" s="210"/>
      <c r="P222" s="212"/>
    </row>
    <row r="223" spans="1:24">
      <c r="A223" s="201"/>
      <c r="C223" s="212"/>
      <c r="D223" s="210"/>
      <c r="E223" s="237" t="s">
        <v>86</v>
      </c>
      <c r="F223" s="210"/>
      <c r="G223" s="210"/>
      <c r="H223" s="237" t="s">
        <v>74</v>
      </c>
      <c r="I223" s="255" t="s">
        <v>5</v>
      </c>
      <c r="J223" s="233" t="str">
        <f>J218</f>
        <v>W&amp;S Allocator</v>
      </c>
      <c r="K223"/>
      <c r="L223"/>
      <c r="M223" s="210"/>
      <c r="N223" s="210"/>
      <c r="O223" s="210"/>
      <c r="P223" s="212"/>
    </row>
    <row r="224" spans="1:24">
      <c r="A224" s="201">
        <v>17</v>
      </c>
      <c r="C224" s="212" t="s">
        <v>75</v>
      </c>
      <c r="D224" s="210" t="s">
        <v>76</v>
      </c>
      <c r="E224" s="344">
        <v>1</v>
      </c>
      <c r="F224" s="210"/>
      <c r="H224" s="201" t="s">
        <v>77</v>
      </c>
      <c r="I224" s="275"/>
      <c r="J224" s="201" t="s">
        <v>78</v>
      </c>
      <c r="K224"/>
      <c r="L224"/>
      <c r="M224" s="210"/>
      <c r="N224" s="210"/>
      <c r="O224" s="210"/>
      <c r="P224" s="212"/>
    </row>
    <row r="225" spans="1:18">
      <c r="A225" s="201">
        <v>18</v>
      </c>
      <c r="C225" s="212" t="s">
        <v>80</v>
      </c>
      <c r="D225" s="210" t="s">
        <v>146</v>
      </c>
      <c r="E225" s="344">
        <v>0</v>
      </c>
      <c r="F225" s="210"/>
      <c r="H225" s="214">
        <f>IF(E227&gt;0,E224/E227,0)</f>
        <v>1</v>
      </c>
      <c r="I225" s="237" t="s">
        <v>81</v>
      </c>
      <c r="J225" s="214">
        <f>J220</f>
        <v>0.16164749054381655</v>
      </c>
      <c r="K225"/>
      <c r="L225"/>
      <c r="M225" s="210"/>
      <c r="N225" s="210"/>
      <c r="O225" s="210"/>
      <c r="P225" s="212"/>
    </row>
    <row r="226" spans="1:18" ht="15.75" thickBot="1">
      <c r="A226" s="201">
        <v>19</v>
      </c>
      <c r="C226" s="277" t="s">
        <v>82</v>
      </c>
      <c r="D226" s="267" t="s">
        <v>147</v>
      </c>
      <c r="E226" s="345">
        <v>0</v>
      </c>
      <c r="F226" s="210"/>
      <c r="G226" s="210"/>
      <c r="H226" s="210" t="s">
        <v>5</v>
      </c>
      <c r="I226" s="210"/>
      <c r="J226" s="210"/>
      <c r="K226"/>
      <c r="L226"/>
      <c r="M226" s="210"/>
      <c r="N226" s="210"/>
      <c r="O226" s="210"/>
      <c r="P226" s="212"/>
    </row>
    <row r="227" spans="1:18">
      <c r="A227" s="201">
        <v>20</v>
      </c>
      <c r="C227" s="212" t="s">
        <v>122</v>
      </c>
      <c r="D227" s="210"/>
      <c r="E227" s="343">
        <f>E224+E225+E226</f>
        <v>1</v>
      </c>
      <c r="F227" s="210"/>
      <c r="G227" s="210"/>
      <c r="H227" s="210"/>
      <c r="I227" s="210"/>
      <c r="J227" s="210"/>
      <c r="K227"/>
      <c r="L227"/>
      <c r="M227" s="210"/>
      <c r="N227" s="210"/>
      <c r="O227" s="210"/>
      <c r="P227" s="212"/>
    </row>
    <row r="228" spans="1:18">
      <c r="A228" s="201"/>
      <c r="C228" s="212"/>
      <c r="D228" s="210"/>
      <c r="F228" s="210"/>
      <c r="G228" s="210"/>
      <c r="H228" s="210"/>
      <c r="I228" s="210"/>
      <c r="J228" s="210"/>
      <c r="K228"/>
      <c r="L228"/>
      <c r="M228" s="210"/>
      <c r="N228" s="210"/>
      <c r="O228" s="210"/>
      <c r="P228" s="212"/>
    </row>
    <row r="229" spans="1:18" ht="16.5" thickBot="1">
      <c r="A229" s="201"/>
      <c r="B229" s="194"/>
      <c r="C229" s="278" t="s">
        <v>83</v>
      </c>
      <c r="D229" s="210"/>
      <c r="E229" s="210"/>
      <c r="F229" s="210"/>
      <c r="G229" s="210"/>
      <c r="H229" s="210"/>
      <c r="I229" s="210"/>
      <c r="J229" s="272" t="s">
        <v>67</v>
      </c>
      <c r="K229"/>
      <c r="L229"/>
      <c r="M229" s="210"/>
      <c r="N229" s="210"/>
      <c r="O229" s="210"/>
      <c r="P229" s="212"/>
    </row>
    <row r="230" spans="1:18">
      <c r="A230" s="201">
        <v>21</v>
      </c>
      <c r="B230" s="194"/>
      <c r="C230" s="194"/>
      <c r="D230" s="210" t="s">
        <v>329</v>
      </c>
      <c r="E230" s="210"/>
      <c r="F230" s="210"/>
      <c r="G230" s="210"/>
      <c r="H230" s="210"/>
      <c r="I230" s="210"/>
      <c r="J230" s="325">
        <f>'Pg 7 of 8 Cap Str'!C18</f>
        <v>113258537</v>
      </c>
      <c r="K230"/>
      <c r="L230"/>
      <c r="M230" s="210"/>
      <c r="N230" s="210"/>
      <c r="O230" s="210"/>
      <c r="P230" s="212"/>
    </row>
    <row r="231" spans="1:18">
      <c r="A231" s="201"/>
      <c r="C231" s="212"/>
      <c r="D231" s="210"/>
      <c r="E231" s="210"/>
      <c r="F231" s="210"/>
      <c r="G231" s="210"/>
      <c r="H231" s="210"/>
      <c r="I231" s="210"/>
      <c r="J231" s="215"/>
      <c r="K231"/>
      <c r="L231"/>
      <c r="M231" s="210"/>
      <c r="N231" s="210"/>
      <c r="O231" s="210"/>
      <c r="P231" s="212"/>
    </row>
    <row r="232" spans="1:18">
      <c r="A232" s="201">
        <v>22</v>
      </c>
      <c r="B232" s="194"/>
      <c r="C232" s="192"/>
      <c r="D232" s="210" t="s">
        <v>84</v>
      </c>
      <c r="E232" s="210"/>
      <c r="F232" s="210"/>
      <c r="G232" s="210"/>
      <c r="H232" s="210"/>
      <c r="I232" s="210"/>
      <c r="J232" s="341">
        <v>0</v>
      </c>
      <c r="K232"/>
      <c r="L232"/>
      <c r="M232" s="210"/>
      <c r="N232" s="210"/>
      <c r="O232" s="210"/>
      <c r="P232" s="212"/>
    </row>
    <row r="233" spans="1:18">
      <c r="A233" s="201"/>
      <c r="B233" s="194"/>
      <c r="C233" s="192"/>
      <c r="D233" s="210"/>
      <c r="E233" s="210"/>
      <c r="F233" s="210"/>
      <c r="G233" s="210"/>
      <c r="H233" s="210"/>
      <c r="I233" s="210"/>
      <c r="J233" s="215"/>
      <c r="K233"/>
      <c r="L233"/>
      <c r="M233" s="210"/>
      <c r="N233" s="210"/>
      <c r="O233" s="210"/>
      <c r="P233" s="212"/>
    </row>
    <row r="234" spans="1:18" ht="15.75">
      <c r="A234" s="201"/>
      <c r="B234" s="194"/>
      <c r="C234" s="278" t="s">
        <v>504</v>
      </c>
      <c r="D234" s="210"/>
      <c r="E234" s="210"/>
      <c r="F234" s="210"/>
      <c r="G234" s="210"/>
      <c r="H234" s="210"/>
      <c r="I234" s="210"/>
      <c r="J234" s="215"/>
      <c r="K234"/>
      <c r="L234"/>
      <c r="M234" s="210"/>
      <c r="N234" s="210"/>
      <c r="O234" s="210"/>
      <c r="P234" s="212"/>
    </row>
    <row r="235" spans="1:18">
      <c r="A235" s="201">
        <v>23</v>
      </c>
      <c r="B235" s="194"/>
      <c r="C235" s="2" t="s">
        <v>473</v>
      </c>
      <c r="D235" s="2" t="s">
        <v>555</v>
      </c>
      <c r="J235" s="479">
        <f>'Pg 7 of 8 Cap Str'!C24</f>
        <v>2531045666</v>
      </c>
      <c r="K235"/>
      <c r="L235"/>
      <c r="M235" s="310"/>
      <c r="N235" s="310"/>
      <c r="O235" s="310"/>
      <c r="P235" s="446"/>
      <c r="Q235" s="2"/>
      <c r="R235" s="2"/>
    </row>
    <row r="236" spans="1:18">
      <c r="A236" s="201">
        <v>24</v>
      </c>
      <c r="B236" s="194"/>
      <c r="C236" s="310" t="s">
        <v>508</v>
      </c>
      <c r="D236" s="2" t="s">
        <v>505</v>
      </c>
      <c r="E236" s="194"/>
      <c r="F236" s="210"/>
      <c r="G236" s="210"/>
      <c r="H236" s="210"/>
      <c r="I236" s="210"/>
      <c r="J236" s="215">
        <f>'Pg 7 of 8 Cap Str'!C25</f>
        <v>511947050</v>
      </c>
      <c r="K236"/>
      <c r="L236"/>
      <c r="M236" s="310"/>
      <c r="N236" s="310"/>
      <c r="O236" s="310"/>
      <c r="P236" s="446"/>
      <c r="Q236" s="2"/>
      <c r="R236" s="2"/>
    </row>
    <row r="237" spans="1:18" ht="15.75" thickBot="1">
      <c r="A237" s="201">
        <v>25</v>
      </c>
      <c r="B237" s="194"/>
      <c r="C237" s="310" t="s">
        <v>506</v>
      </c>
      <c r="D237" s="2" t="s">
        <v>507</v>
      </c>
      <c r="E237" s="210"/>
      <c r="F237" s="210"/>
      <c r="G237" s="210"/>
      <c r="H237" s="210"/>
      <c r="I237" s="210"/>
      <c r="J237" s="231">
        <v>0</v>
      </c>
      <c r="K237"/>
      <c r="L237"/>
      <c r="M237" s="210"/>
      <c r="N237" s="210"/>
      <c r="O237" s="210"/>
      <c r="P237" s="212"/>
    </row>
    <row r="238" spans="1:18">
      <c r="A238" s="201">
        <v>26</v>
      </c>
      <c r="B238" s="194"/>
      <c r="C238" s="194"/>
      <c r="D238" s="310" t="s">
        <v>563</v>
      </c>
      <c r="E238" s="309" t="s">
        <v>85</v>
      </c>
      <c r="F238" s="309"/>
      <c r="G238" s="309"/>
      <c r="H238" s="309"/>
      <c r="I238" s="194"/>
      <c r="J238" s="363">
        <f>J235+J236+J237</f>
        <v>3042992716</v>
      </c>
      <c r="K238"/>
      <c r="L238"/>
      <c r="M238" s="210"/>
      <c r="N238" s="210"/>
      <c r="O238" s="210"/>
      <c r="P238" s="212"/>
    </row>
    <row r="239" spans="1:18">
      <c r="A239" s="201"/>
      <c r="C239" s="212"/>
      <c r="D239" s="310"/>
      <c r="E239" s="310"/>
      <c r="F239" s="310"/>
      <c r="G239" s="310"/>
      <c r="H239" s="493"/>
      <c r="I239" s="210"/>
      <c r="J239" s="210"/>
      <c r="K239"/>
      <c r="L239"/>
      <c r="M239" s="210"/>
      <c r="N239" s="210"/>
      <c r="O239" s="210"/>
      <c r="P239" s="212"/>
    </row>
    <row r="240" spans="1:18" ht="15.75" thickBot="1">
      <c r="A240" s="201"/>
      <c r="C240" s="212"/>
      <c r="D240" s="2"/>
      <c r="E240" s="533" t="s">
        <v>67</v>
      </c>
      <c r="F240" s="533" t="s">
        <v>86</v>
      </c>
      <c r="G240" s="310"/>
      <c r="H240" s="533" t="s">
        <v>559</v>
      </c>
      <c r="I240" s="210"/>
      <c r="J240" s="209" t="s">
        <v>87</v>
      </c>
      <c r="K240"/>
      <c r="L240"/>
      <c r="M240" s="210"/>
      <c r="N240" s="210"/>
      <c r="O240" s="210"/>
      <c r="P240" s="212"/>
    </row>
    <row r="241" spans="1:23">
      <c r="A241" s="201">
        <v>27</v>
      </c>
      <c r="C241" s="2" t="s">
        <v>462</v>
      </c>
      <c r="D241" s="534" t="s">
        <v>511</v>
      </c>
      <c r="E241" s="323">
        <f>J235</f>
        <v>2531045666</v>
      </c>
      <c r="F241" s="535">
        <f>E241/E243</f>
        <v>0.83176198637998977</v>
      </c>
      <c r="G241" s="536"/>
      <c r="H241" s="537">
        <f>'Pg 7 of 8 Cap Str'!E24</f>
        <v>4.4747725622426598E-2</v>
      </c>
      <c r="J241" s="364">
        <f>F241*H241</f>
        <v>3.7219457149696308E-2</v>
      </c>
      <c r="K241"/>
      <c r="L241"/>
      <c r="M241" s="210"/>
      <c r="N241" s="310"/>
      <c r="O241" s="210"/>
      <c r="P241" s="212"/>
    </row>
    <row r="242" spans="1:23" ht="16.5" thickBot="1">
      <c r="A242" s="201">
        <v>28</v>
      </c>
      <c r="C242" s="210" t="s">
        <v>330</v>
      </c>
      <c r="D242" s="476" t="s">
        <v>503</v>
      </c>
      <c r="E242" s="538">
        <f>J236</f>
        <v>511947050</v>
      </c>
      <c r="F242" s="535">
        <f>E242/E243</f>
        <v>0.16823801362001026</v>
      </c>
      <c r="G242" s="536"/>
      <c r="H242" s="539">
        <f>'Pg 7 of 8 Cap Str'!E25</f>
        <v>0.17773706810092191</v>
      </c>
      <c r="J242" s="365">
        <f>F242*H242</f>
        <v>2.9902131283943589E-2</v>
      </c>
      <c r="K242"/>
      <c r="L242"/>
      <c r="M242" s="210"/>
      <c r="N242" s="210"/>
      <c r="O242" s="210"/>
      <c r="P242" s="212"/>
    </row>
    <row r="243" spans="1:23" ht="15.75">
      <c r="A243" s="201">
        <v>29</v>
      </c>
      <c r="C243" s="212" t="s">
        <v>388</v>
      </c>
      <c r="D243" s="476"/>
      <c r="E243" s="540">
        <f>E241+E242</f>
        <v>3042992716</v>
      </c>
      <c r="F243" s="535"/>
      <c r="G243" s="536"/>
      <c r="H243" s="603" t="s">
        <v>602</v>
      </c>
      <c r="J243" s="367">
        <f>J241+J242</f>
        <v>6.7121588433639898E-2</v>
      </c>
      <c r="K243"/>
      <c r="L243"/>
      <c r="M243" s="210"/>
      <c r="N243" s="210"/>
      <c r="O243" s="210"/>
      <c r="P243" s="212"/>
    </row>
    <row r="244" spans="1:23">
      <c r="D244" s="476"/>
      <c r="E244" s="2"/>
      <c r="F244" s="2"/>
      <c r="G244" s="2"/>
      <c r="H244" s="2"/>
      <c r="M244" s="210"/>
      <c r="N244" s="210"/>
      <c r="O244" s="210"/>
      <c r="P244" s="212"/>
    </row>
    <row r="245" spans="1:23" ht="15.75">
      <c r="A245" s="201">
        <v>30</v>
      </c>
      <c r="C245" s="191" t="s">
        <v>510</v>
      </c>
      <c r="D245" s="476" t="s">
        <v>560</v>
      </c>
      <c r="E245" s="323"/>
      <c r="F245" s="310" t="s">
        <v>5</v>
      </c>
      <c r="G245" s="310"/>
      <c r="H245" s="541" t="s">
        <v>389</v>
      </c>
      <c r="I245" s="228"/>
      <c r="J245" s="366">
        <f>J243/H241</f>
        <v>1.5</v>
      </c>
      <c r="M245" s="210"/>
      <c r="N245" s="210"/>
      <c r="O245" s="210"/>
      <c r="P245" s="212"/>
    </row>
    <row r="246" spans="1:23" ht="15.75">
      <c r="C246" s="278"/>
      <c r="D246" s="476"/>
      <c r="E246" s="2"/>
      <c r="F246" s="2"/>
      <c r="G246" s="2"/>
      <c r="H246" s="2"/>
      <c r="J246" s="194"/>
      <c r="L246" s="210"/>
      <c r="M246" s="210"/>
      <c r="N246" s="210"/>
      <c r="O246" s="210"/>
      <c r="P246" s="212"/>
    </row>
    <row r="247" spans="1:23" ht="15.75">
      <c r="A247" s="201"/>
      <c r="C247" s="278" t="s">
        <v>88</v>
      </c>
      <c r="D247" s="193"/>
      <c r="E247" s="194"/>
      <c r="F247" s="194"/>
      <c r="G247" s="194"/>
      <c r="H247" s="194"/>
      <c r="I247" s="194"/>
      <c r="J247" s="240"/>
      <c r="K247" s="194"/>
      <c r="L247" s="194"/>
      <c r="M247" s="210"/>
      <c r="N247" s="237"/>
      <c r="O247" s="210"/>
      <c r="P247" s="212"/>
    </row>
    <row r="248" spans="1:23">
      <c r="A248" s="201"/>
      <c r="C248" s="192"/>
      <c r="D248" s="193"/>
      <c r="E248" s="192"/>
      <c r="F248" s="192"/>
      <c r="G248" s="192"/>
      <c r="H248" s="192"/>
      <c r="I248" s="192"/>
      <c r="J248" s="279"/>
      <c r="K248" s="240"/>
      <c r="O248" s="210"/>
      <c r="P248" s="212"/>
    </row>
    <row r="249" spans="1:23">
      <c r="A249" s="201"/>
      <c r="C249" s="235" t="s">
        <v>422</v>
      </c>
      <c r="D249" s="193"/>
      <c r="E249" s="194" t="s">
        <v>89</v>
      </c>
      <c r="F249" s="194"/>
      <c r="G249" s="194"/>
      <c r="H249" s="194" t="s">
        <v>5</v>
      </c>
      <c r="J249" s="622"/>
      <c r="K249" s="279"/>
      <c r="M249" s="150"/>
      <c r="N249" s="150"/>
      <c r="O249" s="150"/>
      <c r="P249" s="150"/>
      <c r="Q249" s="150"/>
    </row>
    <row r="250" spans="1:23">
      <c r="A250" s="201">
        <v>31</v>
      </c>
      <c r="C250" s="191" t="s">
        <v>331</v>
      </c>
      <c r="D250" s="193"/>
      <c r="E250" s="194"/>
      <c r="G250" s="194"/>
      <c r="H250" s="2"/>
      <c r="J250" s="750">
        <v>0</v>
      </c>
      <c r="K250" s="280"/>
      <c r="M250" s="150"/>
      <c r="N250" s="150"/>
      <c r="O250" s="150"/>
      <c r="P250" s="150"/>
      <c r="Q250" s="150"/>
      <c r="R250" s="150"/>
      <c r="S250" s="150"/>
      <c r="T250" s="150"/>
      <c r="U250" s="150"/>
      <c r="V250" s="150"/>
      <c r="W250" s="150"/>
    </row>
    <row r="251" spans="1:23" ht="15.75" thickBot="1">
      <c r="A251" s="201">
        <v>32</v>
      </c>
      <c r="C251" s="281" t="s">
        <v>266</v>
      </c>
      <c r="D251" s="458"/>
      <c r="E251" s="281"/>
      <c r="F251" s="282"/>
      <c r="G251" s="282"/>
      <c r="H251" s="282"/>
      <c r="I251" s="194"/>
      <c r="J251" s="751">
        <f>J249-J250</f>
        <v>0</v>
      </c>
      <c r="K251" s="283"/>
      <c r="M251" s="150"/>
      <c r="N251" s="150"/>
      <c r="O251" s="150"/>
      <c r="P251" s="150"/>
      <c r="Q251" s="150"/>
      <c r="R251" s="150"/>
      <c r="S251" s="150"/>
      <c r="T251" s="150"/>
      <c r="U251" s="150"/>
      <c r="V251" s="150"/>
      <c r="W251" s="150"/>
    </row>
    <row r="252" spans="1:23">
      <c r="A252" s="201">
        <v>33</v>
      </c>
      <c r="C252" s="191" t="s">
        <v>90</v>
      </c>
      <c r="D252" s="542"/>
      <c r="E252" s="2"/>
      <c r="F252" s="309"/>
      <c r="G252" s="194"/>
      <c r="H252" s="194"/>
      <c r="I252" s="194"/>
      <c r="J252" s="285">
        <f>J250-J251</f>
        <v>0</v>
      </c>
      <c r="K252" s="280"/>
      <c r="O252" s="210"/>
      <c r="P252" s="212"/>
    </row>
    <row r="253" spans="1:23">
      <c r="A253" s="201"/>
      <c r="C253" s="191" t="s">
        <v>5</v>
      </c>
      <c r="D253" s="542"/>
      <c r="E253" s="2"/>
      <c r="F253" s="309"/>
      <c r="G253" s="194"/>
      <c r="H253" s="284"/>
      <c r="I253" s="194"/>
      <c r="K253" s="279"/>
      <c r="L253" s="286"/>
      <c r="M253" s="210"/>
      <c r="N253" s="237"/>
      <c r="O253" s="210"/>
      <c r="P253" s="212"/>
    </row>
    <row r="254" spans="1:23">
      <c r="A254" s="201">
        <v>34</v>
      </c>
      <c r="C254" s="235" t="s">
        <v>509</v>
      </c>
      <c r="D254" s="542" t="s">
        <v>561</v>
      </c>
      <c r="E254" s="2"/>
      <c r="F254" s="309"/>
      <c r="G254" s="194"/>
      <c r="H254" s="287"/>
      <c r="I254" s="194"/>
      <c r="J254" s="480">
        <f>ROUND('Pg 6 of 8 Rev Cred Support'!E24,0)</f>
        <v>152462</v>
      </c>
      <c r="K254" s="279"/>
      <c r="L254" s="286"/>
      <c r="M254" s="210"/>
      <c r="N254" s="237"/>
      <c r="O254" s="210"/>
      <c r="P254"/>
    </row>
    <row r="255" spans="1:23">
      <c r="A255" s="201"/>
      <c r="D255" s="309"/>
      <c r="E255" s="309"/>
      <c r="F255" s="309"/>
      <c r="G255" s="194"/>
      <c r="H255" s="194"/>
      <c r="I255" s="194"/>
      <c r="J255" s="285"/>
      <c r="K255" s="279"/>
      <c r="L255" s="492"/>
      <c r="M255" s="310"/>
      <c r="N255" s="493"/>
      <c r="O255" s="310"/>
      <c r="P255" s="237"/>
    </row>
    <row r="256" spans="1:23">
      <c r="A256" s="201">
        <v>35</v>
      </c>
      <c r="C256" s="447" t="s">
        <v>463</v>
      </c>
      <c r="D256" s="309" t="s">
        <v>562</v>
      </c>
      <c r="E256" s="309"/>
      <c r="F256" s="309"/>
      <c r="G256" s="194"/>
      <c r="H256" s="194"/>
      <c r="I256" s="194"/>
      <c r="J256" s="480">
        <f>'Pg 6 of 8 Rev Cred Support'!E46</f>
        <v>219255.83999999799</v>
      </c>
      <c r="L256" s="494"/>
      <c r="M256" s="310"/>
      <c r="N256" s="463"/>
      <c r="O256" s="308"/>
      <c r="P256" s="237"/>
    </row>
    <row r="257" spans="1:16">
      <c r="A257" s="201"/>
      <c r="C257" s="192"/>
      <c r="D257" s="339"/>
      <c r="E257" s="543"/>
      <c r="F257" s="339"/>
      <c r="G257" s="192"/>
      <c r="H257" s="192"/>
      <c r="I257" s="194"/>
      <c r="K257" s="201"/>
      <c r="L257" s="495"/>
      <c r="M257" s="320"/>
      <c r="N257" s="308"/>
      <c r="O257" s="308"/>
      <c r="P257" s="196"/>
    </row>
    <row r="258" spans="1:16">
      <c r="C258" s="192"/>
      <c r="D258" s="339"/>
      <c r="E258" s="543"/>
      <c r="F258" s="339"/>
      <c r="G258" s="192"/>
      <c r="H258" s="192"/>
      <c r="I258" s="194"/>
      <c r="L258" s="2"/>
      <c r="M258" s="496"/>
      <c r="N258" s="308"/>
      <c r="O258" s="308"/>
      <c r="P258" s="196"/>
    </row>
    <row r="259" spans="1:16">
      <c r="C259" s="192"/>
      <c r="D259" s="339"/>
      <c r="E259" s="543"/>
      <c r="F259" s="339"/>
      <c r="G259" s="192"/>
      <c r="H259" s="192"/>
      <c r="I259" s="194"/>
      <c r="L259" s="2"/>
      <c r="M259" s="496"/>
      <c r="N259" s="308"/>
      <c r="O259" s="308"/>
      <c r="P259" s="196"/>
    </row>
    <row r="260" spans="1:16" ht="18">
      <c r="A260" s="190"/>
      <c r="C260" s="192"/>
      <c r="D260" s="192"/>
      <c r="E260" s="193"/>
      <c r="F260" s="192"/>
      <c r="G260" s="192"/>
      <c r="H260" s="192"/>
      <c r="I260" s="194"/>
      <c r="J260" s="195" t="str">
        <f>J1</f>
        <v>Attachment H-24A</v>
      </c>
      <c r="K260" s="222"/>
      <c r="M260" s="222"/>
      <c r="N260" s="196"/>
      <c r="O260" s="196"/>
      <c r="P260" s="196"/>
    </row>
    <row r="261" spans="1:16">
      <c r="C261" s="192"/>
      <c r="D261" s="192"/>
      <c r="E261" s="193"/>
      <c r="F261" s="192"/>
      <c r="G261" s="192"/>
      <c r="H261" s="192"/>
      <c r="I261" s="194"/>
      <c r="J261" s="195" t="s">
        <v>435</v>
      </c>
      <c r="M261" s="195"/>
      <c r="N261" s="196"/>
      <c r="O261" s="196"/>
      <c r="P261" s="196"/>
    </row>
    <row r="262" spans="1:16">
      <c r="C262" s="192"/>
      <c r="D262" s="192"/>
      <c r="E262" s="193"/>
      <c r="F262" s="192"/>
      <c r="G262" s="192"/>
      <c r="H262" s="192"/>
      <c r="I262" s="194"/>
      <c r="M262" s="195"/>
      <c r="N262" s="196"/>
      <c r="O262" s="196"/>
      <c r="P262" s="196"/>
    </row>
    <row r="263" spans="1:16">
      <c r="C263" s="192"/>
      <c r="D263" s="192"/>
      <c r="E263" s="193"/>
      <c r="F263" s="192"/>
      <c r="G263" s="192"/>
      <c r="H263" s="192"/>
      <c r="I263" s="194"/>
      <c r="M263" s="195"/>
      <c r="N263" s="196"/>
      <c r="O263" s="196"/>
      <c r="P263" s="196"/>
    </row>
    <row r="264" spans="1:16">
      <c r="C264" s="192"/>
      <c r="D264" s="192"/>
      <c r="E264" s="193"/>
      <c r="F264" s="192"/>
      <c r="G264" s="192"/>
      <c r="H264" s="192"/>
      <c r="I264" s="194"/>
      <c r="J264" s="195"/>
      <c r="K264" s="196"/>
      <c r="M264" s="195"/>
      <c r="N264" s="196"/>
      <c r="O264" s="196"/>
      <c r="P264" s="196"/>
    </row>
    <row r="265" spans="1:16">
      <c r="C265" s="192" t="s">
        <v>4</v>
      </c>
      <c r="D265" s="192"/>
      <c r="E265" s="193"/>
      <c r="F265" s="192"/>
      <c r="G265" s="192"/>
      <c r="H265" s="192"/>
      <c r="I265" s="194"/>
      <c r="J265" s="222" t="str">
        <f>$J$7</f>
        <v>For the 12 months ended 12/31/2015</v>
      </c>
      <c r="K265" s="196"/>
      <c r="M265" s="195"/>
      <c r="N265" s="196"/>
      <c r="O265" s="196"/>
      <c r="P265" s="196"/>
    </row>
    <row r="266" spans="1:16">
      <c r="C266" s="192"/>
      <c r="D266" s="192"/>
      <c r="E266" s="193"/>
      <c r="F266" s="192"/>
      <c r="G266" s="192"/>
      <c r="H266" s="192"/>
      <c r="I266" s="194"/>
      <c r="J266" s="197"/>
      <c r="K266" s="196"/>
      <c r="M266" s="195"/>
      <c r="N266" s="196"/>
      <c r="O266" s="196"/>
      <c r="P266" s="196"/>
    </row>
    <row r="267" spans="1:16">
      <c r="A267" s="769" t="str">
        <f>$A$8</f>
        <v>Rate Formula Template</v>
      </c>
      <c r="B267" s="769"/>
      <c r="C267" s="769"/>
      <c r="D267" s="769"/>
      <c r="E267" s="769"/>
      <c r="F267" s="769"/>
      <c r="G267" s="769"/>
      <c r="H267" s="769"/>
      <c r="I267" s="769"/>
      <c r="J267" s="769"/>
      <c r="K267" s="194"/>
      <c r="L267" s="197"/>
      <c r="M267" s="196"/>
      <c r="N267" s="196"/>
      <c r="O267" s="196"/>
      <c r="P267" s="196"/>
    </row>
    <row r="268" spans="1:16">
      <c r="A268" s="239" t="str">
        <f>$A$9</f>
        <v>Utilizing EKPC 2015 Form FF1 Data (ver.FINAL AUDITED)</v>
      </c>
      <c r="B268" s="197"/>
      <c r="C268" s="198"/>
      <c r="D268" s="199"/>
      <c r="E268" s="197"/>
      <c r="F268" s="199"/>
      <c r="G268" s="199"/>
      <c r="H268" s="199"/>
      <c r="I268" s="198"/>
      <c r="J268" s="200"/>
      <c r="K268" s="194"/>
      <c r="L268" s="200"/>
      <c r="M268" s="196"/>
      <c r="N268" s="196"/>
      <c r="O268" s="196"/>
      <c r="P268" s="196"/>
    </row>
    <row r="269" spans="1:16">
      <c r="A269" s="199"/>
      <c r="B269" s="197"/>
      <c r="C269" s="200"/>
      <c r="D269" s="200"/>
      <c r="E269" s="197"/>
      <c r="F269" s="200"/>
      <c r="G269" s="200"/>
      <c r="H269" s="200"/>
      <c r="I269" s="200"/>
      <c r="J269" s="200"/>
      <c r="K269" s="194"/>
      <c r="L269" s="200"/>
      <c r="M269" s="194"/>
      <c r="N269" s="201"/>
      <c r="O269" s="196"/>
      <c r="P269" s="196"/>
    </row>
    <row r="270" spans="1:16">
      <c r="A270" s="768" t="str">
        <f>$A$11</f>
        <v>East Kentucky Power Cooperative, Inc.</v>
      </c>
      <c r="B270" s="768"/>
      <c r="C270" s="768"/>
      <c r="D270" s="768"/>
      <c r="E270" s="768"/>
      <c r="F270" s="768"/>
      <c r="G270" s="768"/>
      <c r="H270" s="768"/>
      <c r="I270" s="768"/>
      <c r="J270" s="768"/>
      <c r="K270" s="194"/>
      <c r="L270" s="200"/>
      <c r="M270" s="194"/>
      <c r="N270" s="201"/>
      <c r="O270" s="196"/>
      <c r="P270" s="196"/>
    </row>
    <row r="271" spans="1:16" ht="15.75">
      <c r="A271" s="475"/>
      <c r="B271" s="194"/>
      <c r="C271" s="288"/>
      <c r="D271" s="201"/>
      <c r="E271" s="210"/>
      <c r="F271" s="210"/>
      <c r="G271" s="210"/>
      <c r="H271" s="210"/>
      <c r="I271" s="194"/>
      <c r="J271" s="210"/>
      <c r="K271" s="194"/>
      <c r="L271" s="289"/>
      <c r="M271" s="194"/>
      <c r="N271" s="201"/>
      <c r="O271" s="196"/>
      <c r="P271" s="196"/>
    </row>
    <row r="272" spans="1:16" ht="20.25">
      <c r="A272" s="201"/>
      <c r="B272" s="194"/>
      <c r="C272" s="278" t="s">
        <v>91</v>
      </c>
      <c r="D272" s="226"/>
      <c r="E272" s="210"/>
      <c r="F272" s="210"/>
      <c r="G272" s="210"/>
      <c r="H272" s="210"/>
      <c r="I272" s="194"/>
      <c r="J272" s="210"/>
      <c r="K272" s="194"/>
      <c r="L272" s="210"/>
      <c r="M272" s="290"/>
      <c r="N272" s="291"/>
      <c r="O272" s="196"/>
      <c r="P272" s="196"/>
    </row>
    <row r="273" spans="1:20" ht="20.25">
      <c r="A273" s="201" t="s">
        <v>93</v>
      </c>
      <c r="B273" s="194"/>
      <c r="C273" s="278" t="s">
        <v>92</v>
      </c>
      <c r="D273" s="249"/>
      <c r="E273" s="210"/>
      <c r="F273" s="210"/>
      <c r="G273" s="210"/>
      <c r="H273" s="210"/>
      <c r="I273" s="194"/>
      <c r="J273" s="210"/>
      <c r="K273" s="194"/>
      <c r="L273" s="210"/>
      <c r="M273" s="290"/>
      <c r="N273" s="291"/>
      <c r="O273" s="196"/>
      <c r="P273" s="196"/>
    </row>
    <row r="274" spans="1:20" ht="20.25">
      <c r="A274" s="203" t="s">
        <v>94</v>
      </c>
      <c r="B274" s="194"/>
      <c r="C274" s="192"/>
      <c r="D274" s="194"/>
      <c r="E274" s="210"/>
      <c r="F274" s="210"/>
      <c r="G274" s="210"/>
      <c r="H274" s="210"/>
      <c r="I274" s="194"/>
      <c r="J274" s="210"/>
      <c r="K274" s="194"/>
      <c r="L274" s="210"/>
      <c r="M274" s="290"/>
      <c r="N274" s="292"/>
      <c r="O274" s="196"/>
      <c r="P274" s="196"/>
    </row>
    <row r="275" spans="1:20" ht="20.25" customHeight="1">
      <c r="A275" s="382" t="s">
        <v>95</v>
      </c>
      <c r="B275" s="2"/>
      <c r="C275" s="308" t="s">
        <v>299</v>
      </c>
      <c r="D275" s="308"/>
      <c r="E275" s="308"/>
      <c r="F275" s="308"/>
      <c r="G275" s="310"/>
      <c r="H275" s="310"/>
      <c r="I275" s="309"/>
      <c r="J275" s="310"/>
      <c r="K275" s="309"/>
      <c r="L275" s="310"/>
      <c r="M275" s="384"/>
      <c r="N275" s="292"/>
      <c r="O275" s="196"/>
      <c r="P275" s="196"/>
    </row>
    <row r="276" spans="1:20" ht="20.25" customHeight="1">
      <c r="A276" s="382"/>
      <c r="B276" s="2"/>
      <c r="C276" s="308" t="s">
        <v>248</v>
      </c>
      <c r="D276" s="342"/>
      <c r="E276" s="308"/>
      <c r="F276" s="308"/>
      <c r="G276" s="310"/>
      <c r="H276" s="310"/>
      <c r="I276" s="309"/>
      <c r="J276" s="310"/>
      <c r="K276" s="309"/>
      <c r="L276" s="310"/>
      <c r="M276" s="384"/>
      <c r="N276" s="292"/>
      <c r="O276" s="196"/>
      <c r="P276" s="196"/>
    </row>
    <row r="277" spans="1:20" ht="20.25" customHeight="1">
      <c r="A277" s="382"/>
      <c r="B277" s="2"/>
      <c r="C277" s="308" t="s">
        <v>278</v>
      </c>
      <c r="D277" s="308"/>
      <c r="E277" s="308"/>
      <c r="F277" s="308"/>
      <c r="G277" s="310"/>
      <c r="H277" s="310"/>
      <c r="I277" s="309"/>
      <c r="J277" s="310"/>
      <c r="K277" s="309"/>
      <c r="L277" s="310"/>
      <c r="M277" s="384"/>
      <c r="N277" s="292"/>
      <c r="O277" s="196"/>
      <c r="P277" s="196"/>
    </row>
    <row r="278" spans="1:20" ht="20.25" customHeight="1">
      <c r="A278" s="382"/>
      <c r="B278" s="2"/>
      <c r="C278" s="308" t="s">
        <v>434</v>
      </c>
      <c r="D278" s="308"/>
      <c r="E278" s="342"/>
      <c r="F278" s="308"/>
      <c r="G278" s="310"/>
      <c r="H278" s="310"/>
      <c r="I278" s="309"/>
      <c r="J278" s="310"/>
      <c r="K278" s="309"/>
      <c r="L278" s="310"/>
      <c r="M278" s="384"/>
      <c r="N278" s="292"/>
      <c r="O278" s="196"/>
      <c r="P278" s="196"/>
    </row>
    <row r="279" spans="1:20" ht="20.25" customHeight="1">
      <c r="A279" s="382" t="s">
        <v>96</v>
      </c>
      <c r="B279" s="309"/>
      <c r="C279" s="339" t="str">
        <f>CONCATENATE("Revenue from AEP Grandfathered Agreement.  See Rev Cred Support, ",EKPC!J1,", Supporting Exhibit, page 6 of 8, line 16")</f>
        <v>Revenue from AEP Grandfathered Agreement.  See Rev Cred Support, Attachment H-24A, Supporting Exhibit, page 6 of 8, line 16</v>
      </c>
      <c r="D279" s="309"/>
      <c r="E279" s="310"/>
      <c r="F279" s="310"/>
      <c r="G279" s="310"/>
      <c r="H279" s="310"/>
      <c r="I279" s="309"/>
      <c r="J279" s="310"/>
      <c r="K279" s="309"/>
      <c r="L279" s="310"/>
      <c r="M279" s="384"/>
      <c r="N279" s="292"/>
      <c r="O279" s="196"/>
      <c r="P279" s="196"/>
    </row>
    <row r="280" spans="1:20" ht="20.25" customHeight="1">
      <c r="A280" s="382" t="s">
        <v>97</v>
      </c>
      <c r="B280" s="309"/>
      <c r="C280" s="339" t="s">
        <v>567</v>
      </c>
      <c r="D280" s="309"/>
      <c r="E280" s="310"/>
      <c r="F280" s="310"/>
      <c r="G280" s="310"/>
      <c r="H280" s="310"/>
      <c r="I280" s="309"/>
      <c r="J280" s="310"/>
      <c r="K280" s="309"/>
      <c r="L280" s="310"/>
      <c r="M280" s="384"/>
      <c r="N280" s="292"/>
      <c r="O280" s="196"/>
      <c r="P280" s="196"/>
    </row>
    <row r="281" spans="1:20" ht="20.25" customHeight="1">
      <c r="A281" s="382" t="s">
        <v>98</v>
      </c>
      <c r="B281" s="309"/>
      <c r="C281" s="590" t="s">
        <v>584</v>
      </c>
      <c r="D281" s="588"/>
      <c r="E281" s="589"/>
      <c r="F281" s="589"/>
      <c r="G281" s="310"/>
      <c r="H281" s="310"/>
      <c r="I281" s="309"/>
      <c r="J281" s="310"/>
      <c r="K281" s="309"/>
      <c r="L281" s="310"/>
      <c r="M281" s="384"/>
      <c r="N281" s="544"/>
      <c r="O281" s="308"/>
      <c r="P281" s="308"/>
      <c r="Q281" s="2"/>
      <c r="R281" s="2"/>
      <c r="S281" s="2"/>
      <c r="T281" s="2"/>
    </row>
    <row r="282" spans="1:20" ht="20.25" customHeight="1">
      <c r="A282" s="382"/>
      <c r="B282" s="309"/>
      <c r="C282" s="590" t="s">
        <v>402</v>
      </c>
      <c r="D282" s="588"/>
      <c r="E282" s="589"/>
      <c r="F282" s="589"/>
      <c r="G282" s="310"/>
      <c r="H282" s="310"/>
      <c r="I282" s="309"/>
      <c r="J282" s="310"/>
      <c r="K282" s="309"/>
      <c r="L282" s="310"/>
      <c r="M282" s="384"/>
      <c r="N282" s="497"/>
      <c r="O282" s="308"/>
      <c r="P282" s="308"/>
      <c r="Q282" s="2"/>
      <c r="R282" s="2"/>
      <c r="S282" s="2"/>
      <c r="T282" s="2"/>
    </row>
    <row r="283" spans="1:20" ht="20.25" customHeight="1">
      <c r="A283" s="382"/>
      <c r="B283" s="309"/>
      <c r="C283" s="590" t="s">
        <v>585</v>
      </c>
      <c r="D283" s="588"/>
      <c r="E283" s="589"/>
      <c r="F283" s="589"/>
      <c r="G283" s="310"/>
      <c r="H283" s="310"/>
      <c r="I283" s="309"/>
      <c r="J283" s="310"/>
      <c r="K283" s="309"/>
      <c r="L283" s="310"/>
      <c r="M283" s="384"/>
      <c r="N283" s="497"/>
      <c r="O283" s="308"/>
      <c r="P283" s="308"/>
      <c r="Q283" s="2"/>
      <c r="R283" s="2"/>
      <c r="S283" s="2"/>
      <c r="T283" s="2"/>
    </row>
    <row r="284" spans="1:20" ht="20.25" customHeight="1">
      <c r="A284" s="382" t="s">
        <v>99</v>
      </c>
      <c r="B284" s="309"/>
      <c r="C284" s="590" t="s">
        <v>586</v>
      </c>
      <c r="D284" s="588"/>
      <c r="E284" s="589"/>
      <c r="F284" s="589"/>
      <c r="G284" s="310"/>
      <c r="H284" s="310"/>
      <c r="I284" s="309"/>
      <c r="J284" s="310"/>
      <c r="K284" s="309"/>
      <c r="L284" s="310"/>
      <c r="M284" s="384"/>
      <c r="N284" s="292"/>
      <c r="O284" s="196"/>
      <c r="P284" s="196"/>
    </row>
    <row r="285" spans="1:20" ht="20.25" customHeight="1">
      <c r="A285" s="382"/>
      <c r="B285" s="309"/>
      <c r="C285" s="590" t="s">
        <v>402</v>
      </c>
      <c r="D285" s="588"/>
      <c r="E285" s="589"/>
      <c r="F285" s="589"/>
      <c r="G285" s="310"/>
      <c r="H285" s="310"/>
      <c r="I285" s="309"/>
      <c r="J285" s="310"/>
      <c r="K285" s="309"/>
      <c r="L285" s="310"/>
      <c r="M285" s="384"/>
      <c r="N285" s="292"/>
      <c r="O285" s="196"/>
      <c r="P285" s="196"/>
    </row>
    <row r="286" spans="1:20" ht="20.25" customHeight="1">
      <c r="A286" s="382"/>
      <c r="B286" s="309"/>
      <c r="C286" s="590" t="s">
        <v>587</v>
      </c>
      <c r="D286" s="588"/>
      <c r="E286" s="589"/>
      <c r="F286" s="589"/>
      <c r="G286" s="310"/>
      <c r="H286" s="310"/>
      <c r="I286" s="309"/>
      <c r="J286" s="310"/>
      <c r="K286" s="309"/>
      <c r="L286" s="310"/>
      <c r="M286" s="384"/>
      <c r="N286" s="292"/>
      <c r="O286" s="196"/>
      <c r="P286" s="196"/>
    </row>
    <row r="287" spans="1:20" ht="20.25" customHeight="1">
      <c r="A287" s="382" t="s">
        <v>100</v>
      </c>
      <c r="B287" s="309"/>
      <c r="C287" s="340" t="str">
        <f>CONCATENATE("Identified in EKPC Form FF1 as being non-transmission related. See ",EKPC!J1,", Supporting Exhibit, Pg 2 of 8")</f>
        <v>Identified in EKPC Form FF1 as being non-transmission related. See Attachment H-24A, Supporting Exhibit, Pg 2 of 8</v>
      </c>
      <c r="D287" s="340"/>
      <c r="E287" s="310"/>
      <c r="F287" s="310"/>
      <c r="G287" s="310"/>
      <c r="H287" s="310"/>
      <c r="I287" s="309"/>
      <c r="J287" s="310"/>
      <c r="K287" s="309"/>
      <c r="L287" s="310"/>
      <c r="M287" s="384"/>
      <c r="N287" s="292"/>
      <c r="O287" s="196"/>
      <c r="P287" s="196"/>
    </row>
    <row r="288" spans="1:20" ht="20.25" customHeight="1">
      <c r="A288" s="382" t="s">
        <v>101</v>
      </c>
      <c r="B288" s="2"/>
      <c r="C288" s="340" t="s">
        <v>564</v>
      </c>
      <c r="D288" s="340"/>
      <c r="E288" s="310"/>
      <c r="F288" s="310"/>
      <c r="G288" s="310"/>
      <c r="H288" s="310"/>
      <c r="I288" s="309"/>
      <c r="J288" s="310"/>
      <c r="K288" s="309"/>
      <c r="L288" s="310"/>
      <c r="M288" s="384"/>
      <c r="N288" s="292"/>
      <c r="O288" s="196"/>
      <c r="P288" s="196"/>
    </row>
    <row r="289" spans="1:22" ht="20.25" customHeight="1">
      <c r="A289" s="382"/>
      <c r="B289" s="309"/>
      <c r="C289" s="340" t="s">
        <v>568</v>
      </c>
      <c r="D289" s="2"/>
      <c r="E289" s="2"/>
      <c r="F289" s="310"/>
      <c r="G289" s="310"/>
      <c r="H289" s="2"/>
      <c r="I289" s="340"/>
      <c r="J289" s="340"/>
      <c r="K289" s="309"/>
      <c r="L289" s="310"/>
      <c r="M289" s="384"/>
      <c r="N289" s="292"/>
      <c r="O289" s="196"/>
      <c r="P289" s="196"/>
    </row>
    <row r="290" spans="1:22" ht="20.25" customHeight="1">
      <c r="A290" s="501" t="s">
        <v>102</v>
      </c>
      <c r="B290" s="194"/>
      <c r="C290" s="309" t="str">
        <f>CONCATENATE("Line 5 - Remove non-safety related advertising included in Account 930.1.   See ",EKPC!J1,", Supporting Exhibit, Page 3 of 8, Line 3")</f>
        <v>Line 5 - Remove non-safety related advertising included in Account 930.1.   See Attachment H-24A, Supporting Exhibit, Page 3 of 8, Line 3</v>
      </c>
      <c r="D290" s="309"/>
      <c r="E290" s="309"/>
      <c r="F290" s="309"/>
      <c r="G290" s="309"/>
      <c r="H290" s="309"/>
      <c r="I290" s="309"/>
      <c r="J290" s="310"/>
      <c r="K290" s="309"/>
      <c r="L290" s="210"/>
      <c r="M290" s="290"/>
      <c r="N290" s="292"/>
      <c r="O290" s="196"/>
      <c r="P290" s="196"/>
    </row>
    <row r="291" spans="1:22" ht="20.25" customHeight="1">
      <c r="A291" s="501"/>
      <c r="B291" s="194"/>
      <c r="C291" s="2" t="str">
        <f>CONCATENATE("Line 5a - Remove Total Regulatory Commission Expenses - See ",EKPC!J1,", Supporting Exhibit, Page 3 of 8, Line 4")</f>
        <v>Line 5a - Remove Total Regulatory Commission Expenses - See Attachment H-24A, Supporting Exhibit, Page 3 of 8, Line 4</v>
      </c>
      <c r="D291" s="309"/>
      <c r="E291" s="309"/>
      <c r="F291" s="309"/>
      <c r="G291" s="309"/>
      <c r="H291" s="309"/>
      <c r="I291" s="309"/>
      <c r="J291" s="310"/>
      <c r="K291" s="309"/>
      <c r="L291" s="210"/>
      <c r="M291" s="290"/>
      <c r="N291" s="292"/>
      <c r="O291" s="196"/>
      <c r="P291" s="196"/>
    </row>
    <row r="292" spans="1:22" ht="35.25" customHeight="1">
      <c r="A292" s="501"/>
      <c r="B292" s="194"/>
      <c r="C292" s="770" t="str">
        <f>CONCATENATE("Line 5b - Add Back Regulatory Commission Expenses directly related to transmission service, ISO filings, or transmission siting - See ",EKPC!J1,", Supporting Exhibit, Page 3 of 8, Line 6")</f>
        <v>Line 5b - Add Back Regulatory Commission Expenses directly related to transmission service, ISO filings, or transmission siting - See Attachment H-24A, Supporting Exhibit, Page 3 of 8, Line 6</v>
      </c>
      <c r="D292" s="770"/>
      <c r="E292" s="770"/>
      <c r="F292" s="770"/>
      <c r="G292" s="770"/>
      <c r="H292" s="770"/>
      <c r="I292" s="770"/>
      <c r="J292" s="770"/>
      <c r="K292" s="309"/>
      <c r="L292" s="310"/>
      <c r="M292" s="481"/>
      <c r="N292" s="150"/>
      <c r="O292" s="308"/>
      <c r="P292" s="308"/>
      <c r="Q292" s="2"/>
      <c r="R292" s="150"/>
      <c r="S292" s="150"/>
      <c r="T292" s="150"/>
      <c r="U292" s="150"/>
      <c r="V292" s="150"/>
    </row>
    <row r="293" spans="1:22" ht="20.25" customHeight="1">
      <c r="A293" s="501"/>
      <c r="B293" s="194"/>
      <c r="C293" s="2" t="str">
        <f>CONCATENATE("Line 5c - Add EKPC costs relating to PJM transition.  See ",EKPC!J1,", Supporting Exhibit, Page 3 of 8, Line 14")</f>
        <v>Line 5c - Add EKPC costs relating to PJM transition.  See Attachment H-24A, Supporting Exhibit, Page 3 of 8, Line 14</v>
      </c>
      <c r="D293" s="309"/>
      <c r="E293" s="309"/>
      <c r="F293" s="309"/>
      <c r="G293" s="309"/>
      <c r="H293" s="309"/>
      <c r="I293" s="309"/>
      <c r="J293" s="310"/>
      <c r="K293" s="309"/>
      <c r="L293" s="310"/>
      <c r="M293" s="481"/>
      <c r="N293" s="150"/>
      <c r="O293" s="308"/>
      <c r="P293" s="308"/>
      <c r="Q293" s="2"/>
      <c r="R293" s="150"/>
      <c r="S293" s="150"/>
      <c r="T293" s="150"/>
      <c r="U293" s="150"/>
      <c r="V293" s="150"/>
    </row>
    <row r="294" spans="1:22" ht="20.25" customHeight="1">
      <c r="A294" s="501" t="s">
        <v>103</v>
      </c>
      <c r="B294" s="194"/>
      <c r="C294" s="309" t="s">
        <v>537</v>
      </c>
      <c r="D294" s="309"/>
      <c r="E294" s="309"/>
      <c r="F294" s="309"/>
      <c r="G294" s="309"/>
      <c r="H294" s="309"/>
      <c r="I294" s="309"/>
      <c r="J294" s="310"/>
      <c r="K294" s="309"/>
      <c r="L294" s="310"/>
      <c r="M294" s="481"/>
      <c r="N294" s="385"/>
      <c r="O294" s="308"/>
      <c r="P294" s="308"/>
      <c r="Q294" s="2"/>
      <c r="R294" s="150"/>
      <c r="S294" s="150"/>
      <c r="T294" s="150"/>
      <c r="U294" s="150"/>
      <c r="V294" s="150"/>
    </row>
    <row r="295" spans="1:22" ht="20.25" customHeight="1">
      <c r="A295" s="501"/>
      <c r="B295" s="194"/>
      <c r="C295" s="309" t="s">
        <v>538</v>
      </c>
      <c r="D295" s="309"/>
      <c r="E295" s="309"/>
      <c r="F295" s="309"/>
      <c r="G295" s="309"/>
      <c r="H295" s="309"/>
      <c r="I295" s="309"/>
      <c r="J295" s="310"/>
      <c r="K295" s="309"/>
      <c r="L295" s="310"/>
      <c r="M295" s="481"/>
      <c r="N295" s="385"/>
      <c r="O295" s="308"/>
      <c r="P295" s="308"/>
      <c r="Q295" s="2"/>
      <c r="R295" s="150"/>
      <c r="S295" s="150"/>
      <c r="T295" s="150"/>
      <c r="U295" s="150"/>
      <c r="V295" s="150"/>
    </row>
    <row r="296" spans="1:22" ht="20.25" customHeight="1">
      <c r="A296" s="382" t="s">
        <v>104</v>
      </c>
      <c r="B296" s="309"/>
      <c r="C296" s="309" t="s">
        <v>551</v>
      </c>
      <c r="D296" s="309"/>
      <c r="E296" s="309"/>
      <c r="F296" s="309"/>
      <c r="G296" s="309"/>
      <c r="H296" s="309"/>
      <c r="I296" s="309"/>
      <c r="J296" s="309"/>
      <c r="K296" s="309"/>
      <c r="L296"/>
      <c r="N296" s="150"/>
      <c r="O296" s="150"/>
      <c r="P296" s="150"/>
      <c r="Q296" s="150"/>
      <c r="R296" s="150"/>
    </row>
    <row r="297" spans="1:22" ht="20.25" customHeight="1">
      <c r="A297" s="501" t="s">
        <v>105</v>
      </c>
      <c r="B297" s="194"/>
      <c r="C297" s="309" t="s">
        <v>536</v>
      </c>
      <c r="D297" s="309"/>
      <c r="E297" s="309"/>
      <c r="F297" s="2"/>
      <c r="G297" s="2"/>
      <c r="H297" s="2"/>
      <c r="I297" s="309"/>
      <c r="J297" s="310"/>
      <c r="K297" s="309"/>
      <c r="L297" s="210"/>
      <c r="M297" s="290"/>
      <c r="N297" s="292"/>
      <c r="O297" s="196"/>
      <c r="P297" s="196"/>
    </row>
    <row r="298" spans="1:22" ht="20.25" customHeight="1">
      <c r="A298" s="501"/>
      <c r="B298" s="194"/>
      <c r="C298" s="309" t="s">
        <v>539</v>
      </c>
      <c r="D298" s="309"/>
      <c r="E298" s="309"/>
      <c r="F298" s="309"/>
      <c r="G298" s="309"/>
      <c r="H298" s="309"/>
      <c r="I298" s="309"/>
      <c r="J298" s="310"/>
      <c r="K298" s="309"/>
      <c r="L298" s="194"/>
      <c r="M298" s="290"/>
      <c r="N298" s="293"/>
      <c r="O298" s="196"/>
      <c r="P298" s="196"/>
    </row>
    <row r="299" spans="1:22" ht="20.25" customHeight="1">
      <c r="A299" s="501"/>
      <c r="B299" s="194"/>
      <c r="C299" s="309" t="s">
        <v>540</v>
      </c>
      <c r="D299" s="309"/>
      <c r="E299" s="309"/>
      <c r="F299" s="309"/>
      <c r="G299" s="309"/>
      <c r="H299" s="309"/>
      <c r="I299" s="309"/>
      <c r="J299" s="2"/>
      <c r="K299" s="309"/>
      <c r="L299" s="194"/>
      <c r="M299" s="290"/>
      <c r="N299" s="293"/>
      <c r="O299" s="196"/>
      <c r="P299" s="196"/>
    </row>
    <row r="300" spans="1:22" ht="20.25" customHeight="1">
      <c r="A300" s="501" t="s">
        <v>106</v>
      </c>
      <c r="B300" s="194"/>
      <c r="C300" s="309" t="str">
        <f>CONCATENATE("Removes dollar amount of transmission expenses included in the OATT ancillary services rates, included in Account 561.  See ",EKPC!J1,", Supporting Exhibit, Page 4 of 8.")</f>
        <v>Removes dollar amount of transmission expenses included in the OATT ancillary services rates, included in Account 561.  See Attachment H-24A, Supporting Exhibit, Page 4 of 8.</v>
      </c>
      <c r="D300" s="309"/>
      <c r="E300" s="309"/>
      <c r="F300" s="309"/>
      <c r="G300" s="309"/>
      <c r="H300" s="309"/>
      <c r="I300" s="309"/>
      <c r="J300" s="309"/>
      <c r="K300" s="2"/>
      <c r="L300" s="150"/>
      <c r="M300" s="150"/>
      <c r="N300" s="150"/>
      <c r="O300" s="150"/>
      <c r="P300" s="150"/>
      <c r="Q300" s="150"/>
    </row>
    <row r="301" spans="1:22" ht="20.25" customHeight="1">
      <c r="A301" s="501" t="s">
        <v>107</v>
      </c>
      <c r="B301" s="194"/>
      <c r="C301" s="309" t="s">
        <v>433</v>
      </c>
      <c r="D301" s="309"/>
      <c r="E301" s="340"/>
      <c r="F301" s="309"/>
      <c r="G301" s="309"/>
      <c r="H301" s="309"/>
      <c r="I301" s="309"/>
      <c r="J301" s="340"/>
      <c r="K301" s="309"/>
      <c r="L301" s="150"/>
      <c r="M301" s="150"/>
      <c r="N301" s="150"/>
      <c r="O301" s="150"/>
      <c r="P301" s="150"/>
      <c r="Q301" s="150"/>
    </row>
    <row r="302" spans="1:22" ht="20.25" customHeight="1">
      <c r="A302" s="501" t="s">
        <v>108</v>
      </c>
      <c r="B302" s="194"/>
      <c r="C302" s="339" t="str">
        <f>CONCATENATE('Pg 7 of 8 Cap Str'!I30,TEXT('Pg 7 of 8 Cap Str'!J28,"#.00"))</f>
        <v>Proprietary Capital Cost calculated to achieve TIER of 1.50</v>
      </c>
      <c r="D302" s="309"/>
      <c r="E302" s="2"/>
      <c r="F302" s="340"/>
      <c r="G302" s="340"/>
      <c r="H302" s="340"/>
      <c r="I302" s="340"/>
      <c r="J302" s="340"/>
      <c r="K302" s="309"/>
      <c r="L302" s="150"/>
      <c r="M302" s="150"/>
      <c r="N302" s="150"/>
      <c r="O302" s="150"/>
      <c r="P302" s="150"/>
      <c r="Q302" s="150"/>
    </row>
    <row r="303" spans="1:22" ht="20.25" customHeight="1">
      <c r="A303" s="501" t="s">
        <v>109</v>
      </c>
      <c r="B303" s="194"/>
      <c r="C303" s="339" t="str">
        <f>'Pg 7 of 8 Cap Str'!I31</f>
        <v xml:space="preserve"> TIER value approved by KPSC in Case No. 2010-000167</v>
      </c>
      <c r="D303" s="309"/>
      <c r="E303" s="2"/>
      <c r="F303" s="340"/>
      <c r="G303" s="340"/>
      <c r="H303" s="340"/>
      <c r="I303" s="340"/>
      <c r="J303" s="340"/>
      <c r="K303" s="309"/>
      <c r="L303" s="194"/>
      <c r="M303" s="290"/>
      <c r="N303" s="291"/>
      <c r="O303" s="196"/>
      <c r="P303" s="196"/>
    </row>
    <row r="304" spans="1:22" ht="20.25" customHeight="1">
      <c r="A304" s="501" t="s">
        <v>110</v>
      </c>
      <c r="B304" s="194"/>
      <c r="C304" s="309" t="s">
        <v>113</v>
      </c>
      <c r="D304" s="2"/>
      <c r="E304" s="2"/>
      <c r="F304" s="340"/>
      <c r="G304" s="482"/>
      <c r="H304" s="340"/>
      <c r="I304" s="340"/>
      <c r="J304" s="309"/>
      <c r="K304" s="309"/>
      <c r="L304" s="194"/>
      <c r="M304" s="290"/>
      <c r="N304" s="497"/>
      <c r="O304" s="196"/>
      <c r="P304" s="196"/>
    </row>
    <row r="305" spans="1:18" ht="20.25" customHeight="1">
      <c r="A305" s="510" t="s">
        <v>111</v>
      </c>
      <c r="B305" s="309"/>
      <c r="C305" s="309" t="str">
        <f>CONCATENATE("Net of revenue from retained leagacy transactions.  See ",EKPC!J1,", Supporting Exhibit, page 6 of 8.")</f>
        <v>Net of revenue from retained leagacy transactions.  See Attachment H-24A, Supporting Exhibit, page 6 of 8.</v>
      </c>
      <c r="D305" s="2"/>
      <c r="E305" s="2"/>
      <c r="F305" s="2"/>
      <c r="G305" s="2"/>
      <c r="H305" s="2"/>
      <c r="I305" s="2"/>
      <c r="J305" s="2"/>
      <c r="K305" s="309"/>
      <c r="L305" s="309"/>
      <c r="M305" s="384"/>
      <c r="N305" s="497"/>
      <c r="O305" s="308"/>
      <c r="P305" s="308"/>
      <c r="Q305" s="2"/>
      <c r="R305" s="2"/>
    </row>
    <row r="306" spans="1:18">
      <c r="C306" s="2"/>
      <c r="D306" s="2"/>
      <c r="E306" s="2"/>
      <c r="F306" s="2"/>
      <c r="G306" s="2"/>
      <c r="H306" s="2"/>
      <c r="I306" s="2"/>
      <c r="J306" s="309"/>
      <c r="K306" s="309"/>
      <c r="L306" s="150"/>
      <c r="M306" s="150"/>
      <c r="N306" s="157"/>
      <c r="O306" s="150"/>
      <c r="P306" s="150"/>
      <c r="Q306" s="150"/>
      <c r="R306" s="2"/>
    </row>
    <row r="307" spans="1:18">
      <c r="C307" s="2"/>
      <c r="D307" s="2"/>
      <c r="E307" s="2"/>
      <c r="F307" s="2"/>
      <c r="G307" s="2"/>
      <c r="H307" s="2"/>
      <c r="I307" s="2"/>
      <c r="J307" s="309"/>
      <c r="K307" s="309"/>
      <c r="L307" s="150"/>
      <c r="M307" s="150"/>
      <c r="N307" s="150"/>
      <c r="O307" s="150"/>
      <c r="P307" s="150"/>
      <c r="Q307" s="150"/>
      <c r="R307" s="2"/>
    </row>
    <row r="308" spans="1:18" ht="20.25">
      <c r="C308" s="2"/>
      <c r="D308" s="2"/>
      <c r="E308" s="2"/>
      <c r="F308" s="2"/>
      <c r="G308" s="2"/>
      <c r="H308" s="2"/>
      <c r="I308" s="309"/>
      <c r="J308" s="309"/>
      <c r="K308" s="309"/>
      <c r="L308" s="194"/>
      <c r="M308" s="290"/>
      <c r="N308" s="291"/>
      <c r="O308" s="196"/>
      <c r="P308" s="196"/>
    </row>
    <row r="309" spans="1:18" ht="20.25">
      <c r="C309" s="2"/>
      <c r="D309" s="2"/>
      <c r="E309" s="2"/>
      <c r="F309" s="2"/>
      <c r="G309" s="2"/>
      <c r="H309" s="2"/>
      <c r="I309" s="2"/>
      <c r="J309" s="2"/>
      <c r="K309" s="309"/>
      <c r="L309" s="309"/>
      <c r="M309" s="290"/>
      <c r="N309" s="291"/>
      <c r="O309" s="196"/>
      <c r="P309" s="196"/>
    </row>
    <row r="310" spans="1:18" ht="20.25">
      <c r="F310" s="309"/>
      <c r="G310" s="309"/>
      <c r="H310" s="309"/>
      <c r="I310" s="194"/>
      <c r="J310" s="194"/>
      <c r="K310" s="194"/>
      <c r="L310" s="194"/>
      <c r="M310" s="290"/>
      <c r="N310" s="497"/>
      <c r="O310" s="196"/>
      <c r="P310" s="196"/>
    </row>
    <row r="311" spans="1:18" ht="20.25">
      <c r="D311" s="309"/>
      <c r="E311" s="309"/>
      <c r="F311" s="309"/>
      <c r="G311" s="309"/>
      <c r="H311" s="309"/>
      <c r="I311" s="194"/>
      <c r="J311" s="194"/>
      <c r="K311" s="194"/>
      <c r="L311" s="194"/>
      <c r="M311" s="290"/>
      <c r="N311" s="291"/>
      <c r="O311" s="196"/>
      <c r="P311" s="196"/>
    </row>
    <row r="312" spans="1:18" ht="20.25">
      <c r="F312" s="309"/>
      <c r="G312" s="309"/>
      <c r="H312" s="309"/>
      <c r="I312" s="194"/>
      <c r="J312" s="194"/>
      <c r="K312" s="194"/>
      <c r="L312" s="194"/>
      <c r="M312" s="290"/>
      <c r="N312" s="291"/>
      <c r="O312" s="196"/>
      <c r="P312" s="196"/>
    </row>
    <row r="313" spans="1:18" ht="20.25">
      <c r="F313" s="309"/>
      <c r="G313" s="309"/>
      <c r="H313" s="309"/>
      <c r="I313" s="194"/>
      <c r="J313" s="194"/>
      <c r="K313" s="194"/>
      <c r="L313" s="194"/>
      <c r="M313" s="290"/>
      <c r="N313" s="291"/>
      <c r="O313" s="196"/>
      <c r="P313" s="196"/>
    </row>
  </sheetData>
  <mergeCells count="3">
    <mergeCell ref="A270:J270"/>
    <mergeCell ref="A267:J267"/>
    <mergeCell ref="C292:J292"/>
  </mergeCells>
  <phoneticPr fontId="0" type="noConversion"/>
  <printOptions horizontalCentered="1"/>
  <pageMargins left="0.25" right="0.25" top="1" bottom="0.5" header="0.25" footer="0.25"/>
  <pageSetup scale="52" fitToHeight="0" orientation="portrait" blackAndWhite="1" r:id="rId1"/>
  <headerFooter alignWithMargins="0"/>
  <rowBreaks count="4" manualBreakCount="4">
    <brk id="56" max="9" man="1"/>
    <brk id="117" max="9" man="1"/>
    <brk id="181" max="9" man="1"/>
    <brk id="259" max="9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L27"/>
  <sheetViews>
    <sheetView zoomScale="70" zoomScaleNormal="70" workbookViewId="0">
      <selection activeCell="K30" sqref="K30"/>
    </sheetView>
  </sheetViews>
  <sheetFormatPr defaultColWidth="7.109375" defaultRowHeight="15"/>
  <cols>
    <col min="1" max="1" width="7.109375" style="28"/>
    <col min="2" max="2" width="60.5546875" style="28" customWidth="1"/>
    <col min="3" max="3" width="29.21875" style="28" customWidth="1"/>
    <col min="4" max="4" width="11.6640625" style="28" customWidth="1"/>
    <col min="5" max="5" width="17.6640625" style="297" customWidth="1"/>
    <col min="6" max="6" width="11.6640625" style="28" customWidth="1"/>
    <col min="7" max="7" width="10.109375" style="28" customWidth="1"/>
    <col min="8" max="8" width="14.77734375" style="28" customWidth="1"/>
    <col min="9" max="9" width="16.77734375" style="28" customWidth="1"/>
    <col min="10" max="10" width="8.77734375" style="28" bestFit="1" customWidth="1"/>
    <col min="11" max="17" width="25.5546875" style="28" customWidth="1"/>
    <col min="18" max="19" width="25.5546875" style="28" bestFit="1" customWidth="1"/>
    <col min="20" max="20" width="29.21875" style="28" bestFit="1" customWidth="1"/>
    <col min="21" max="28" width="13" style="28" customWidth="1"/>
    <col min="29" max="29" width="13" style="28" bestFit="1" customWidth="1"/>
    <col min="30" max="33" width="13" style="28" customWidth="1"/>
    <col min="34" max="34" width="16.77734375" style="28" bestFit="1" customWidth="1"/>
    <col min="35" max="35" width="8.21875" style="28" customWidth="1"/>
    <col min="36" max="53" width="16.21875" style="28" bestFit="1" customWidth="1"/>
    <col min="54" max="54" width="16.77734375" style="28" bestFit="1" customWidth="1"/>
    <col min="55" max="55" width="7.77734375" style="28" bestFit="1" customWidth="1"/>
    <col min="56" max="56" width="8.21875" style="28" bestFit="1" customWidth="1"/>
    <col min="57" max="57" width="9.88671875" style="28" bestFit="1" customWidth="1"/>
    <col min="58" max="58" width="6.33203125" style="28" customWidth="1"/>
    <col min="59" max="59" width="9.88671875" style="28" bestFit="1" customWidth="1"/>
    <col min="60" max="60" width="6.33203125" style="28" customWidth="1"/>
    <col min="61" max="61" width="9.88671875" style="28" bestFit="1" customWidth="1"/>
    <col min="62" max="63" width="6.33203125" style="28" customWidth="1"/>
    <col min="64" max="64" width="9.88671875" style="28" bestFit="1" customWidth="1"/>
    <col min="65" max="65" width="6.33203125" style="28" customWidth="1"/>
    <col min="66" max="66" width="9.88671875" style="28" bestFit="1" customWidth="1"/>
    <col min="67" max="67" width="6.33203125" style="28" customWidth="1"/>
    <col min="68" max="68" width="9.88671875" style="28" bestFit="1" customWidth="1"/>
    <col min="69" max="69" width="6.33203125" style="28" customWidth="1"/>
    <col min="70" max="70" width="9.88671875" style="28" bestFit="1" customWidth="1"/>
    <col min="71" max="71" width="8.21875" style="28" bestFit="1" customWidth="1"/>
    <col min="72" max="16384" width="7.109375" style="28"/>
  </cols>
  <sheetData>
    <row r="1" spans="1:11">
      <c r="B1" s="1"/>
      <c r="C1" s="1"/>
      <c r="D1" s="338" t="str">
        <f>EKPC!J1</f>
        <v>Attachment H-24A</v>
      </c>
    </row>
    <row r="2" spans="1:11">
      <c r="B2" s="1"/>
      <c r="C2" s="1"/>
      <c r="D2" s="168" t="s">
        <v>554</v>
      </c>
    </row>
    <row r="3" spans="1:11">
      <c r="B3" s="484"/>
      <c r="C3" s="17"/>
      <c r="D3" s="168" t="s">
        <v>380</v>
      </c>
    </row>
    <row r="4" spans="1:11" ht="15.75">
      <c r="B4" s="16"/>
      <c r="C4" s="17"/>
      <c r="D4" s="168" t="str">
        <f>EKPC!$J$124</f>
        <v>For the 12 months ended 12/31/2015</v>
      </c>
    </row>
    <row r="5" spans="1:11" ht="15.75">
      <c r="B5" s="16"/>
      <c r="C5" s="17"/>
      <c r="D5" s="17"/>
      <c r="E5" s="168"/>
    </row>
    <row r="6" spans="1:11" ht="15.75">
      <c r="B6" s="788" t="str">
        <f>EKPC!A11</f>
        <v>East Kentucky Power Cooperative, Inc.</v>
      </c>
      <c r="C6" s="788"/>
      <c r="D6" s="788"/>
      <c r="E6" s="738"/>
    </row>
    <row r="7" spans="1:11" ht="15.75">
      <c r="B7" s="788" t="str">
        <f>EKPC!A9</f>
        <v>Utilizing EKPC 2015 Form FF1 Data (ver.FINAL AUDITED)</v>
      </c>
      <c r="C7" s="788"/>
      <c r="D7" s="788"/>
      <c r="E7" s="337"/>
    </row>
    <row r="8" spans="1:11" ht="15.75">
      <c r="B8" s="16"/>
      <c r="C8" s="168"/>
    </row>
    <row r="9" spans="1:11" ht="15.75">
      <c r="B9" s="16"/>
      <c r="C9" s="6"/>
    </row>
    <row r="10" spans="1:11" ht="15.75">
      <c r="B10" s="16" t="s">
        <v>259</v>
      </c>
      <c r="C10" s="17"/>
    </row>
    <row r="11" spans="1:11" ht="15.75">
      <c r="B11" s="16"/>
      <c r="C11" s="17"/>
    </row>
    <row r="12" spans="1:11">
      <c r="B12" s="8"/>
      <c r="C12" s="8"/>
    </row>
    <row r="13" spans="1:11">
      <c r="B13" s="8"/>
      <c r="C13" s="8"/>
    </row>
    <row r="14" spans="1:11">
      <c r="B14" s="18"/>
      <c r="C14" s="20"/>
      <c r="E14" s="299" t="s">
        <v>400</v>
      </c>
      <c r="F14" s="300"/>
      <c r="H14" s="300" t="s">
        <v>401</v>
      </c>
      <c r="I14" s="300"/>
    </row>
    <row r="15" spans="1:11" ht="20.25">
      <c r="A15" s="451" t="s">
        <v>188</v>
      </c>
      <c r="B15" s="18"/>
      <c r="C15" s="21" t="s">
        <v>321</v>
      </c>
      <c r="E15" s="299">
        <v>28600175.210000001</v>
      </c>
      <c r="F15" s="300" t="s">
        <v>322</v>
      </c>
      <c r="H15" s="299">
        <v>21484020.890000001</v>
      </c>
      <c r="I15" s="300" t="s">
        <v>322</v>
      </c>
      <c r="K15" s="708"/>
    </row>
    <row r="16" spans="1:11" ht="20.25">
      <c r="B16" s="18"/>
      <c r="C16" s="21"/>
      <c r="E16" s="299">
        <v>9896096.3200000003</v>
      </c>
      <c r="F16" s="300" t="s">
        <v>323</v>
      </c>
      <c r="H16" s="299">
        <v>8123654.0599999996</v>
      </c>
      <c r="I16" s="300" t="s">
        <v>323</v>
      </c>
      <c r="K16" s="708"/>
    </row>
    <row r="17" spans="1:12">
      <c r="A17" s="448" t="s">
        <v>486</v>
      </c>
      <c r="B17" s="22" t="s">
        <v>396</v>
      </c>
      <c r="C17" s="81">
        <v>13360366.83</v>
      </c>
      <c r="E17" s="301">
        <f>E15-E16</f>
        <v>18704078.890000001</v>
      </c>
      <c r="F17" s="300" t="s">
        <v>324</v>
      </c>
      <c r="H17" s="301">
        <f>H15-H16</f>
        <v>13360366.830000002</v>
      </c>
      <c r="I17" s="300" t="s">
        <v>324</v>
      </c>
      <c r="K17" s="708"/>
    </row>
    <row r="18" spans="1:12" ht="15.75">
      <c r="A18" s="448" t="s">
        <v>206</v>
      </c>
      <c r="B18" s="22" t="s">
        <v>169</v>
      </c>
      <c r="C18" s="304">
        <v>0</v>
      </c>
      <c r="E18" s="298"/>
    </row>
    <row r="19" spans="1:12" ht="17.25">
      <c r="A19" s="448" t="s">
        <v>487</v>
      </c>
      <c r="B19" s="22" t="s">
        <v>170</v>
      </c>
      <c r="C19" s="753">
        <v>0</v>
      </c>
      <c r="E19"/>
      <c r="F19"/>
      <c r="G19"/>
      <c r="H19"/>
      <c r="I19"/>
      <c r="J19"/>
      <c r="K19"/>
      <c r="L19"/>
    </row>
    <row r="20" spans="1:12">
      <c r="A20" s="449"/>
      <c r="B20" s="23"/>
      <c r="C20" s="18"/>
      <c r="D20" s="18"/>
      <c r="E20"/>
      <c r="F20"/>
      <c r="G20"/>
      <c r="H20"/>
      <c r="I20"/>
      <c r="J20"/>
      <c r="K20"/>
      <c r="L20"/>
    </row>
    <row r="21" spans="1:12" ht="17.25" customHeight="1" thickBot="1">
      <c r="A21" s="448" t="s">
        <v>488</v>
      </c>
      <c r="B21" s="171" t="s">
        <v>447</v>
      </c>
      <c r="C21" s="700">
        <f>SUM(C17:C20)</f>
        <v>13360366.83</v>
      </c>
      <c r="E21"/>
      <c r="F21"/>
      <c r="G21"/>
      <c r="H21"/>
      <c r="I21"/>
      <c r="J21"/>
      <c r="K21"/>
      <c r="L21"/>
    </row>
    <row r="22" spans="1:12" ht="15.75" thickTop="1">
      <c r="B22" s="18"/>
      <c r="C22" s="379"/>
      <c r="E22"/>
      <c r="F22"/>
      <c r="G22"/>
      <c r="H22"/>
      <c r="I22"/>
      <c r="J22"/>
      <c r="K22"/>
      <c r="L22"/>
    </row>
    <row r="23" spans="1:12">
      <c r="B23" s="614" t="s">
        <v>393</v>
      </c>
      <c r="C23" s="608"/>
      <c r="D23" s="608"/>
    </row>
    <row r="24" spans="1:12" ht="29.25" customHeight="1">
      <c r="B24" s="793" t="s">
        <v>598</v>
      </c>
      <c r="C24" s="793"/>
      <c r="D24" s="793"/>
      <c r="E24"/>
      <c r="F24"/>
      <c r="G24"/>
      <c r="H24"/>
      <c r="I24"/>
      <c r="J24"/>
      <c r="K24"/>
      <c r="L24"/>
    </row>
    <row r="25" spans="1:12">
      <c r="B25" s="546" t="str">
        <f>CONCATENATE(" (2) To ",EKPC!J1,", page 4 of 5, Line 3")</f>
        <v xml:space="preserve"> (2) To Attachment H-24A, page 4 of 5, Line 3</v>
      </c>
      <c r="C25" s="546"/>
      <c r="E25"/>
      <c r="F25"/>
      <c r="G25"/>
      <c r="H25"/>
      <c r="I25"/>
      <c r="J25"/>
      <c r="K25"/>
      <c r="L25"/>
    </row>
    <row r="27" spans="1:12" ht="15.75">
      <c r="E27" s="381"/>
    </row>
  </sheetData>
  <mergeCells count="3">
    <mergeCell ref="B6:D6"/>
    <mergeCell ref="B7:D7"/>
    <mergeCell ref="B24:D24"/>
  </mergeCells>
  <pageMargins left="1" right="1" top="1" bottom="0.5" header="0.5" footer="0.5"/>
  <pageSetup scale="88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 enableFormatConditionsCalculation="0">
    <pageSetUpPr fitToPage="1"/>
  </sheetPr>
  <dimension ref="A1:X80"/>
  <sheetViews>
    <sheetView zoomScale="70" zoomScaleNormal="70" workbookViewId="0">
      <selection activeCell="G15" sqref="G15:G38"/>
    </sheetView>
  </sheetViews>
  <sheetFormatPr defaultColWidth="7.109375" defaultRowHeight="15"/>
  <cols>
    <col min="1" max="1" width="7.109375" style="439"/>
    <col min="2" max="2" width="51.33203125" style="18" customWidth="1"/>
    <col min="3" max="3" width="18.88671875" style="18" customWidth="1"/>
    <col min="4" max="4" width="1.77734375" style="18" customWidth="1"/>
    <col min="5" max="5" width="24.88671875" style="18" customWidth="1"/>
    <col min="6" max="6" width="7.109375" style="18"/>
    <col min="7" max="7" width="8.44140625" style="18" bestFit="1" customWidth="1"/>
    <col min="8" max="8" width="10.21875" style="18" bestFit="1" customWidth="1"/>
    <col min="9" max="9" width="13.44140625" style="302" bestFit="1" customWidth="1"/>
    <col min="10" max="10" width="7.109375" style="18"/>
    <col min="11" max="11" width="2.5546875" style="150" customWidth="1"/>
    <col min="12" max="12" width="14.5546875" style="82" bestFit="1" customWidth="1"/>
    <col min="13" max="13" width="7.109375" style="82"/>
    <col min="14" max="14" width="15.21875" style="82" customWidth="1"/>
    <col min="15" max="15" width="14.6640625" style="82" customWidth="1"/>
    <col min="16" max="24" width="7.109375" style="82"/>
    <col min="25" max="16384" width="7.109375" style="18"/>
  </cols>
  <sheetData>
    <row r="1" spans="1:24" s="8" customFormat="1">
      <c r="A1" s="438"/>
      <c r="B1" s="1"/>
      <c r="C1" s="1"/>
      <c r="D1" s="1"/>
      <c r="E1" s="1"/>
      <c r="F1" s="338" t="str">
        <f>EKPC!J1</f>
        <v>Attachment H-24A</v>
      </c>
      <c r="I1" s="302"/>
      <c r="K1" s="150"/>
      <c r="L1" s="151"/>
      <c r="M1" s="151"/>
      <c r="N1" s="151"/>
      <c r="O1" s="151"/>
      <c r="P1" s="151"/>
      <c r="Q1" s="151"/>
      <c r="R1" s="151"/>
      <c r="S1" s="151"/>
      <c r="T1" s="151"/>
      <c r="U1" s="151"/>
      <c r="V1" s="151"/>
      <c r="W1" s="151"/>
      <c r="X1" s="151"/>
    </row>
    <row r="2" spans="1:24" s="8" customFormat="1">
      <c r="A2" s="438"/>
      <c r="B2" s="1"/>
      <c r="C2" s="1"/>
      <c r="D2" s="1"/>
      <c r="E2" s="1"/>
      <c r="F2" s="168" t="s">
        <v>554</v>
      </c>
      <c r="I2" s="302"/>
      <c r="K2" s="150"/>
      <c r="L2" s="151"/>
      <c r="M2" s="151"/>
      <c r="N2" s="151"/>
      <c r="O2" s="151"/>
      <c r="P2" s="151"/>
      <c r="Q2" s="151"/>
      <c r="R2" s="151"/>
      <c r="S2" s="151"/>
      <c r="T2" s="151"/>
      <c r="U2" s="151"/>
      <c r="V2" s="151"/>
      <c r="W2" s="151"/>
      <c r="X2" s="151"/>
    </row>
    <row r="3" spans="1:24" s="8" customFormat="1">
      <c r="A3" s="438"/>
      <c r="B3"/>
      <c r="C3"/>
      <c r="D3" s="17"/>
      <c r="E3" s="17"/>
      <c r="F3" s="168" t="s">
        <v>379</v>
      </c>
      <c r="I3" s="302"/>
      <c r="K3" s="150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1"/>
      <c r="X3" s="151"/>
    </row>
    <row r="4" spans="1:24" s="8" customFormat="1" ht="18">
      <c r="A4" s="438"/>
      <c r="B4" s="25"/>
      <c r="C4" s="25"/>
      <c r="D4" s="17"/>
      <c r="E4" s="17"/>
      <c r="F4" s="168" t="str">
        <f>EKPC!$J$124</f>
        <v>For the 12 months ended 12/31/2015</v>
      </c>
      <c r="I4" s="302"/>
      <c r="K4" s="150"/>
      <c r="L4" s="151"/>
      <c r="M4" s="151"/>
      <c r="N4" s="151"/>
      <c r="O4" s="151"/>
      <c r="P4" s="151"/>
      <c r="Q4" s="151"/>
      <c r="R4" s="151"/>
      <c r="S4" s="151"/>
      <c r="T4" s="151"/>
      <c r="U4" s="151"/>
      <c r="V4" s="151"/>
      <c r="W4" s="151"/>
      <c r="X4" s="151"/>
    </row>
    <row r="5" spans="1:24" s="8" customFormat="1" ht="18">
      <c r="A5" s="438"/>
      <c r="B5" s="25"/>
      <c r="C5" s="25"/>
      <c r="D5" s="17"/>
      <c r="E5" s="17"/>
      <c r="F5" s="168"/>
      <c r="I5" s="302"/>
      <c r="K5" s="150"/>
      <c r="L5" s="151"/>
      <c r="M5" s="151"/>
      <c r="N5" s="151"/>
      <c r="O5" s="151"/>
      <c r="P5" s="151"/>
      <c r="Q5" s="151"/>
      <c r="R5" s="151"/>
      <c r="S5" s="151"/>
      <c r="T5" s="151"/>
      <c r="U5" s="151"/>
      <c r="V5" s="151"/>
      <c r="W5" s="151"/>
      <c r="X5" s="151"/>
    </row>
    <row r="6" spans="1:24" s="8" customFormat="1" ht="15.75">
      <c r="A6" s="438"/>
      <c r="B6" s="788" t="str">
        <f>EKPC!A11</f>
        <v>East Kentucky Power Cooperative, Inc.</v>
      </c>
      <c r="C6" s="788"/>
      <c r="D6" s="788"/>
      <c r="E6" s="788"/>
      <c r="F6" s="788"/>
      <c r="H6" s="754"/>
      <c r="I6" s="302"/>
      <c r="K6" s="150"/>
      <c r="L6" s="151"/>
      <c r="M6" s="151"/>
      <c r="N6" s="151"/>
      <c r="O6" s="151"/>
      <c r="P6" s="151"/>
      <c r="Q6" s="151"/>
      <c r="R6" s="151"/>
      <c r="S6" s="151"/>
      <c r="T6" s="151"/>
      <c r="U6" s="151"/>
      <c r="V6" s="151"/>
      <c r="W6" s="151"/>
      <c r="X6" s="151"/>
    </row>
    <row r="7" spans="1:24" s="8" customFormat="1" ht="15.75">
      <c r="A7" s="438"/>
      <c r="B7" s="788" t="str">
        <f>EKPC!A9</f>
        <v>Utilizing EKPC 2015 Form FF1 Data (ver.FINAL AUDITED)</v>
      </c>
      <c r="C7" s="788"/>
      <c r="D7" s="788"/>
      <c r="E7" s="788"/>
      <c r="F7" s="788"/>
      <c r="I7" s="302"/>
      <c r="K7" s="150"/>
      <c r="L7" s="151"/>
      <c r="M7" s="151"/>
      <c r="N7" s="151"/>
      <c r="O7" s="151"/>
      <c r="P7" s="151"/>
      <c r="Q7" s="151"/>
      <c r="R7" s="151"/>
      <c r="S7" s="151"/>
      <c r="T7" s="151"/>
      <c r="U7" s="151"/>
      <c r="V7" s="151"/>
      <c r="W7" s="151"/>
      <c r="X7" s="151"/>
    </row>
    <row r="8" spans="1:24" s="8" customFormat="1" ht="15.75">
      <c r="A8" s="438"/>
      <c r="B8" s="16"/>
      <c r="C8" s="16"/>
      <c r="D8" s="16"/>
      <c r="E8" s="168"/>
      <c r="I8" s="302"/>
      <c r="K8" s="150"/>
      <c r="L8" s="151"/>
      <c r="M8" s="151"/>
      <c r="N8" s="151"/>
      <c r="O8" s="151"/>
      <c r="P8" s="151"/>
      <c r="Q8" s="151"/>
      <c r="R8" s="151"/>
      <c r="S8" s="151"/>
      <c r="T8" s="151"/>
      <c r="U8" s="151"/>
      <c r="V8" s="151"/>
      <c r="W8" s="151"/>
      <c r="X8" s="151"/>
    </row>
    <row r="9" spans="1:24" s="8" customFormat="1" ht="15.75">
      <c r="A9" s="438"/>
      <c r="B9" s="16"/>
      <c r="C9" s="16"/>
      <c r="D9" s="16"/>
      <c r="E9" s="168"/>
      <c r="I9" s="302"/>
      <c r="K9" s="150"/>
      <c r="L9" s="151"/>
      <c r="M9" s="151"/>
      <c r="N9" s="151"/>
      <c r="O9" s="151"/>
      <c r="P9" s="151"/>
      <c r="Q9" s="151"/>
      <c r="R9" s="151"/>
      <c r="S9" s="151"/>
      <c r="T9" s="151"/>
      <c r="U9" s="151"/>
      <c r="V9" s="151"/>
      <c r="W9" s="151"/>
      <c r="X9" s="151"/>
    </row>
    <row r="10" spans="1:24" s="8" customFormat="1" ht="15.75">
      <c r="A10" s="438"/>
      <c r="B10" s="16" t="s">
        <v>534</v>
      </c>
      <c r="C10" s="16"/>
      <c r="D10" s="16"/>
      <c r="E10" s="17"/>
      <c r="I10" s="302"/>
      <c r="K10" s="150"/>
      <c r="L10" s="151"/>
      <c r="M10" s="151"/>
      <c r="N10" s="151"/>
      <c r="O10" s="151"/>
      <c r="P10" s="151"/>
      <c r="Q10" s="151"/>
      <c r="R10" s="151"/>
      <c r="S10" s="151"/>
      <c r="T10" s="151"/>
      <c r="U10" s="151"/>
      <c r="V10" s="151"/>
      <c r="W10" s="151"/>
      <c r="X10" s="151"/>
    </row>
    <row r="12" spans="1:24" ht="15.75">
      <c r="B12" s="19"/>
      <c r="C12" s="19"/>
      <c r="D12" s="19"/>
    </row>
    <row r="13" spans="1:24" ht="20.25">
      <c r="A13" s="441"/>
      <c r="E13" s="79" t="s">
        <v>112</v>
      </c>
      <c r="F13" s="152"/>
      <c r="G13" s="152"/>
      <c r="H13" s="152"/>
      <c r="J13" s="153"/>
    </row>
    <row r="14" spans="1:24" ht="20.25">
      <c r="A14" s="452" t="s">
        <v>188</v>
      </c>
      <c r="E14" s="21" t="s">
        <v>321</v>
      </c>
      <c r="F14" s="154"/>
      <c r="G14"/>
      <c r="H14"/>
      <c r="I14"/>
      <c r="J14"/>
      <c r="K14"/>
      <c r="L14"/>
      <c r="M14"/>
      <c r="N14"/>
      <c r="O14"/>
      <c r="P14"/>
      <c r="Q14"/>
      <c r="R14"/>
    </row>
    <row r="15" spans="1:24">
      <c r="A15" s="442">
        <v>1</v>
      </c>
      <c r="B15" s="554" t="s">
        <v>530</v>
      </c>
      <c r="C15" s="427"/>
      <c r="D15" s="155"/>
      <c r="E15" s="699">
        <v>884972913</v>
      </c>
      <c r="G15"/>
      <c r="H15" s="577"/>
      <c r="I15" s="351"/>
      <c r="J15" s="351"/>
      <c r="K15"/>
      <c r="L15" s="570"/>
      <c r="M15" s="577"/>
      <c r="N15" s="577"/>
      <c r="O15" s="577"/>
      <c r="P15" s="577"/>
      <c r="Q15" s="577"/>
      <c r="R15"/>
    </row>
    <row r="16" spans="1:24">
      <c r="A16" s="442"/>
      <c r="B16" s="297"/>
      <c r="G16"/>
      <c r="H16" s="577"/>
      <c r="I16" s="351"/>
      <c r="J16" s="351"/>
      <c r="K16"/>
      <c r="L16"/>
      <c r="M16"/>
      <c r="N16"/>
      <c r="O16"/>
      <c r="P16"/>
      <c r="Q16"/>
      <c r="R16"/>
    </row>
    <row r="17" spans="1:18">
      <c r="A17" s="442">
        <v>2</v>
      </c>
      <c r="B17" s="297" t="s">
        <v>213</v>
      </c>
      <c r="C17" s="442"/>
      <c r="E17" s="721">
        <v>0</v>
      </c>
      <c r="G17"/>
      <c r="H17" s="577"/>
      <c r="I17" s="351"/>
      <c r="J17" s="351"/>
      <c r="K17"/>
      <c r="L17"/>
      <c r="M17"/>
      <c r="N17"/>
      <c r="O17"/>
      <c r="P17"/>
      <c r="Q17"/>
      <c r="R17"/>
    </row>
    <row r="18" spans="1:18">
      <c r="A18" s="442"/>
      <c r="B18" s="297"/>
      <c r="C18" s="442"/>
      <c r="E18" s="82"/>
      <c r="G18"/>
      <c r="H18" s="577"/>
      <c r="I18" s="351"/>
      <c r="J18" s="351"/>
      <c r="K18"/>
      <c r="L18"/>
      <c r="M18"/>
      <c r="N18"/>
      <c r="O18"/>
      <c r="P18"/>
      <c r="Q18"/>
      <c r="R18"/>
    </row>
    <row r="19" spans="1:18">
      <c r="A19" s="442">
        <v>3</v>
      </c>
      <c r="B19" s="562" t="s">
        <v>490</v>
      </c>
      <c r="C19" s="443" t="s">
        <v>476</v>
      </c>
      <c r="E19" s="170">
        <v>152462</v>
      </c>
      <c r="G19"/>
      <c r="H19" s="577"/>
      <c r="I19" s="351"/>
      <c r="J19" s="351"/>
      <c r="K19"/>
      <c r="L19"/>
      <c r="M19"/>
      <c r="N19"/>
      <c r="O19"/>
      <c r="P19"/>
      <c r="Q19"/>
      <c r="R19"/>
    </row>
    <row r="20" spans="1:18">
      <c r="A20" s="442">
        <v>4</v>
      </c>
      <c r="B20" s="297" t="s">
        <v>316</v>
      </c>
      <c r="C20" s="442"/>
      <c r="E20" s="755">
        <v>1</v>
      </c>
      <c r="G20"/>
      <c r="H20" s="577"/>
      <c r="I20" s="351"/>
      <c r="J20" s="351"/>
      <c r="K20"/>
      <c r="L20"/>
      <c r="M20"/>
      <c r="N20"/>
      <c r="O20"/>
      <c r="P20"/>
      <c r="Q20"/>
      <c r="R20"/>
    </row>
    <row r="21" spans="1:18" ht="17.25">
      <c r="A21" s="442">
        <v>5</v>
      </c>
      <c r="B21" s="556" t="str">
        <f>CONCATENATE("  Revenue Credit Applicable to ", EKPC!J1)</f>
        <v xml:space="preserve">  Revenue Credit Applicable to Attachment H-24A</v>
      </c>
      <c r="C21" s="442"/>
      <c r="D21" s="156"/>
      <c r="E21" s="158">
        <f>ROUND(E19*E20,0)+E17</f>
        <v>152462</v>
      </c>
      <c r="G21"/>
      <c r="H21"/>
      <c r="I21"/>
      <c r="J21"/>
      <c r="K21"/>
      <c r="L21"/>
      <c r="M21"/>
      <c r="N21"/>
      <c r="O21"/>
      <c r="P21"/>
      <c r="Q21"/>
      <c r="R21"/>
    </row>
    <row r="22" spans="1:18">
      <c r="A22" s="442"/>
      <c r="B22" s="297"/>
      <c r="C22" s="442"/>
      <c r="E22" s="170"/>
      <c r="G22"/>
      <c r="H22"/>
      <c r="I22"/>
      <c r="J22"/>
      <c r="K22"/>
      <c r="L22"/>
      <c r="M22"/>
      <c r="N22"/>
      <c r="O22"/>
      <c r="P22"/>
      <c r="Q22"/>
      <c r="R22"/>
    </row>
    <row r="23" spans="1:18">
      <c r="A23" s="442"/>
      <c r="B23" s="297"/>
      <c r="C23" s="442"/>
      <c r="E23" s="170"/>
      <c r="G23"/>
      <c r="H23"/>
      <c r="I23"/>
      <c r="J23"/>
      <c r="K23"/>
      <c r="L23"/>
      <c r="M23"/>
      <c r="N23"/>
      <c r="O23"/>
      <c r="P23"/>
      <c r="Q23"/>
      <c r="R23"/>
    </row>
    <row r="24" spans="1:18" ht="17.25">
      <c r="A24" s="442">
        <v>6</v>
      </c>
      <c r="B24" s="555" t="s">
        <v>493</v>
      </c>
      <c r="C24" s="444" t="s">
        <v>475</v>
      </c>
      <c r="E24" s="158">
        <f>E23+E21</f>
        <v>152462</v>
      </c>
      <c r="G24"/>
      <c r="H24"/>
      <c r="I24"/>
      <c r="J24"/>
      <c r="K24"/>
      <c r="L24"/>
      <c r="M24"/>
      <c r="N24"/>
      <c r="O24"/>
      <c r="P24"/>
      <c r="Q24"/>
      <c r="R24"/>
    </row>
    <row r="25" spans="1:18">
      <c r="A25" s="442"/>
      <c r="C25" s="442"/>
      <c r="E25" s="170"/>
      <c r="G25"/>
      <c r="H25"/>
      <c r="I25"/>
      <c r="J25"/>
      <c r="K25"/>
      <c r="L25"/>
      <c r="M25"/>
      <c r="N25"/>
      <c r="O25"/>
      <c r="P25"/>
      <c r="Q25"/>
      <c r="R25"/>
    </row>
    <row r="26" spans="1:18" ht="15.75">
      <c r="A26" s="442"/>
      <c r="B26" s="19"/>
      <c r="C26" s="19"/>
      <c r="D26" s="19"/>
      <c r="E26" s="82"/>
      <c r="G26"/>
      <c r="H26"/>
      <c r="I26"/>
      <c r="J26"/>
      <c r="K26"/>
      <c r="L26"/>
      <c r="M26"/>
      <c r="N26"/>
      <c r="O26"/>
      <c r="P26"/>
      <c r="Q26"/>
      <c r="R26"/>
    </row>
    <row r="27" spans="1:18" ht="20.25">
      <c r="A27" s="442"/>
      <c r="C27" s="442"/>
      <c r="E27" s="79" t="s">
        <v>404</v>
      </c>
      <c r="F27" s="152"/>
      <c r="G27"/>
      <c r="H27"/>
      <c r="I27"/>
      <c r="J27"/>
      <c r="K27"/>
      <c r="L27"/>
      <c r="M27"/>
      <c r="N27"/>
      <c r="O27"/>
      <c r="P27"/>
      <c r="Q27"/>
      <c r="R27"/>
    </row>
    <row r="28" spans="1:18" ht="20.25">
      <c r="A28" s="442"/>
      <c r="C28" s="442"/>
      <c r="E28" s="80" t="s">
        <v>321</v>
      </c>
      <c r="F28" s="154"/>
      <c r="G28"/>
      <c r="H28"/>
      <c r="I28"/>
      <c r="J28"/>
      <c r="K28"/>
      <c r="L28"/>
      <c r="M28"/>
      <c r="N28"/>
      <c r="O28"/>
      <c r="P28"/>
      <c r="Q28"/>
      <c r="R28"/>
    </row>
    <row r="29" spans="1:18">
      <c r="A29" s="442">
        <v>7</v>
      </c>
      <c r="B29" s="176" t="s">
        <v>594</v>
      </c>
      <c r="C29" s="445" t="s">
        <v>478</v>
      </c>
      <c r="D29" s="22"/>
      <c r="E29" s="81">
        <v>16786200</v>
      </c>
      <c r="G29"/>
      <c r="H29"/>
      <c r="I29"/>
      <c r="J29"/>
      <c r="K29"/>
      <c r="L29"/>
      <c r="M29"/>
      <c r="N29"/>
      <c r="O29"/>
      <c r="P29"/>
      <c r="Q29"/>
      <c r="R29"/>
    </row>
    <row r="30" spans="1:18" ht="17.25">
      <c r="A30" s="442"/>
      <c r="B30" s="22" t="s">
        <v>252</v>
      </c>
      <c r="C30" s="444"/>
      <c r="D30" s="22"/>
      <c r="E30" s="158"/>
      <c r="G30"/>
      <c r="H30"/>
      <c r="I30"/>
      <c r="J30"/>
      <c r="K30"/>
      <c r="L30"/>
      <c r="M30"/>
      <c r="N30"/>
      <c r="O30"/>
      <c r="P30"/>
      <c r="Q30"/>
      <c r="R30"/>
    </row>
    <row r="31" spans="1:18">
      <c r="A31" s="442">
        <v>8</v>
      </c>
      <c r="B31" s="155" t="s">
        <v>592</v>
      </c>
      <c r="C31" s="444"/>
      <c r="D31" s="155"/>
      <c r="E31" s="170">
        <f>11717830+246805.13+71017+1268986.9</f>
        <v>13304639.030000001</v>
      </c>
      <c r="G31"/>
      <c r="H31" s="577"/>
      <c r="I31" s="351"/>
      <c r="J31" s="351"/>
      <c r="K31" s="351"/>
      <c r="L31" s="351"/>
      <c r="M31" s="351"/>
      <c r="N31" s="351"/>
      <c r="O31" s="351"/>
      <c r="P31" s="351"/>
      <c r="Q31" s="351"/>
      <c r="R31"/>
    </row>
    <row r="32" spans="1:18" ht="15.75">
      <c r="A32" s="442">
        <v>9</v>
      </c>
      <c r="B32" s="155" t="s">
        <v>374</v>
      </c>
      <c r="C32" s="444"/>
      <c r="D32" s="155"/>
      <c r="E32" s="718">
        <v>0</v>
      </c>
      <c r="G32"/>
      <c r="H32" s="577"/>
      <c r="I32" s="351"/>
      <c r="J32" s="351"/>
      <c r="K32" s="351"/>
      <c r="L32" s="351"/>
      <c r="M32" s="351"/>
      <c r="N32" s="351"/>
      <c r="O32" s="351"/>
      <c r="P32" s="351"/>
      <c r="Q32" s="351"/>
      <c r="R32"/>
    </row>
    <row r="33" spans="1:18">
      <c r="A33" s="442">
        <v>10</v>
      </c>
      <c r="B33" s="155" t="s">
        <v>150</v>
      </c>
      <c r="C33" s="444"/>
      <c r="D33" s="155"/>
      <c r="E33" s="718">
        <v>0</v>
      </c>
      <c r="G33"/>
      <c r="H33" s="577"/>
      <c r="I33" s="351"/>
      <c r="J33" s="351"/>
      <c r="K33" s="351"/>
      <c r="L33" s="351"/>
      <c r="M33" s="351"/>
      <c r="N33" s="351"/>
      <c r="O33" s="351"/>
      <c r="P33" s="351"/>
      <c r="Q33" s="351"/>
      <c r="R33"/>
    </row>
    <row r="34" spans="1:18">
      <c r="A34" s="442">
        <v>11</v>
      </c>
      <c r="B34" s="155" t="s">
        <v>577</v>
      </c>
      <c r="C34" s="444"/>
      <c r="D34" s="155"/>
      <c r="E34" s="170">
        <f>43200+49182.96</f>
        <v>92382.959999999992</v>
      </c>
      <c r="G34"/>
      <c r="H34" s="464"/>
      <c r="I34" s="464"/>
      <c r="J34" s="464"/>
      <c r="K34" s="464"/>
      <c r="L34" s="464"/>
      <c r="M34" s="464"/>
      <c r="N34" s="464"/>
      <c r="O34" s="464"/>
      <c r="P34" s="464"/>
      <c r="Q34" s="464"/>
      <c r="R34"/>
    </row>
    <row r="35" spans="1:18" ht="17.25">
      <c r="A35" s="442">
        <v>12</v>
      </c>
      <c r="B35" s="155" t="s">
        <v>578</v>
      </c>
      <c r="C35" s="444"/>
      <c r="D35" s="155"/>
      <c r="E35" s="172">
        <v>600</v>
      </c>
      <c r="G35"/>
      <c r="H35" s="464"/>
      <c r="I35" s="464"/>
      <c r="J35" s="464"/>
      <c r="K35" s="464"/>
      <c r="L35" s="464"/>
      <c r="M35" s="464"/>
      <c r="N35" s="464"/>
      <c r="O35" s="464"/>
      <c r="P35" s="351"/>
      <c r="Q35" s="351"/>
      <c r="R35"/>
    </row>
    <row r="36" spans="1:18" ht="17.25">
      <c r="A36" s="442">
        <v>13</v>
      </c>
      <c r="B36" s="176" t="s">
        <v>376</v>
      </c>
      <c r="C36" s="445"/>
      <c r="D36" s="155"/>
      <c r="E36" s="158">
        <f>E29-SUM(E31:E35)</f>
        <v>3388578.0099999979</v>
      </c>
      <c r="G36"/>
      <c r="H36" s="577"/>
      <c r="I36" s="351"/>
      <c r="J36" s="351"/>
      <c r="K36" s="351"/>
      <c r="L36" s="351"/>
      <c r="M36" s="351"/>
      <c r="N36" s="351"/>
      <c r="O36" s="351"/>
      <c r="P36" s="351"/>
      <c r="Q36" s="351"/>
      <c r="R36"/>
    </row>
    <row r="37" spans="1:18">
      <c r="A37" s="442"/>
      <c r="C37" s="442"/>
      <c r="D37" s="155"/>
      <c r="E37" s="82"/>
      <c r="G37"/>
      <c r="H37" s="577"/>
      <c r="I37" s="351"/>
      <c r="J37" s="351"/>
      <c r="K37" s="351"/>
      <c r="L37" s="351"/>
      <c r="M37" s="351"/>
      <c r="N37" s="351"/>
      <c r="O37" s="351"/>
      <c r="P37" s="351"/>
      <c r="Q37" s="351"/>
      <c r="R37"/>
    </row>
    <row r="38" spans="1:18" ht="17.25">
      <c r="A38" s="442">
        <v>14</v>
      </c>
      <c r="B38" s="82" t="s">
        <v>470</v>
      </c>
      <c r="C38" s="443"/>
      <c r="E38" s="753">
        <v>3026700.67</v>
      </c>
      <c r="G38"/>
      <c r="H38" s="577"/>
      <c r="I38" s="351"/>
      <c r="J38" s="351"/>
      <c r="K38" s="351"/>
      <c r="L38" s="351"/>
      <c r="M38" s="351"/>
      <c r="N38" s="351"/>
      <c r="O38" s="351"/>
      <c r="P38" s="351"/>
      <c r="Q38" s="351"/>
      <c r="R38"/>
    </row>
    <row r="39" spans="1:18">
      <c r="A39" s="442"/>
      <c r="C39" s="442"/>
      <c r="E39" s="82"/>
      <c r="G39"/>
      <c r="H39"/>
      <c r="I39"/>
      <c r="J39"/>
      <c r="K39"/>
      <c r="L39"/>
      <c r="M39"/>
      <c r="N39"/>
      <c r="O39"/>
      <c r="P39"/>
      <c r="Q39"/>
      <c r="R39"/>
    </row>
    <row r="40" spans="1:18" ht="17.25">
      <c r="A40" s="442">
        <v>15</v>
      </c>
      <c r="B40" s="155" t="s">
        <v>595</v>
      </c>
      <c r="C40" s="444"/>
      <c r="E40" s="158">
        <f>E36-E38</f>
        <v>361877.33999999799</v>
      </c>
      <c r="G40"/>
      <c r="H40"/>
      <c r="I40"/>
      <c r="J40"/>
      <c r="K40"/>
      <c r="L40"/>
      <c r="M40"/>
      <c r="N40"/>
      <c r="O40"/>
      <c r="P40"/>
      <c r="Q40"/>
      <c r="R40"/>
    </row>
    <row r="41" spans="1:18">
      <c r="A41" s="442"/>
      <c r="C41" s="442"/>
      <c r="E41" s="82"/>
      <c r="H41" s="173"/>
      <c r="I41" s="303"/>
      <c r="J41" s="173"/>
    </row>
    <row r="42" spans="1:18">
      <c r="A42" s="442"/>
      <c r="C42" s="442"/>
      <c r="E42" s="82"/>
      <c r="H42" s="173"/>
      <c r="I42" s="303"/>
      <c r="J42" s="173"/>
    </row>
    <row r="43" spans="1:18" ht="15.75">
      <c r="A43" s="442"/>
      <c r="C43" s="442"/>
      <c r="E43" s="686" t="s">
        <v>403</v>
      </c>
      <c r="G43" s="82"/>
      <c r="H43" s="175"/>
      <c r="I43" s="465"/>
      <c r="J43" s="175"/>
      <c r="K43" s="157"/>
    </row>
    <row r="44" spans="1:18" ht="15.75">
      <c r="A44" s="442">
        <v>16</v>
      </c>
      <c r="B44" s="18" t="s">
        <v>613</v>
      </c>
      <c r="C44" s="442" t="s">
        <v>492</v>
      </c>
      <c r="E44" s="756">
        <v>142621.5</v>
      </c>
      <c r="G44" s="513"/>
      <c r="H44" s="175"/>
      <c r="I44" s="465"/>
      <c r="J44" s="175"/>
      <c r="K44" s="570"/>
    </row>
    <row r="45" spans="1:18" ht="15.75">
      <c r="A45" s="442"/>
      <c r="C45" s="442"/>
      <c r="E45" s="383"/>
      <c r="G45" s="82"/>
      <c r="H45" s="175"/>
      <c r="I45" s="465"/>
      <c r="J45" s="175"/>
      <c r="K45" s="570"/>
    </row>
    <row r="46" spans="1:18" ht="15.75">
      <c r="A46" s="442">
        <v>17</v>
      </c>
      <c r="B46" s="18" t="s">
        <v>491</v>
      </c>
      <c r="C46" s="442" t="s">
        <v>599</v>
      </c>
      <c r="E46" s="437">
        <f>E40-E44</f>
        <v>219255.83999999799</v>
      </c>
      <c r="G46" s="82"/>
      <c r="H46" s="82"/>
      <c r="I46" s="465"/>
      <c r="J46" s="175"/>
      <c r="K46" s="570"/>
    </row>
    <row r="47" spans="1:18" ht="15.75">
      <c r="E47" s="383"/>
      <c r="G47" s="82"/>
      <c r="H47" s="175"/>
      <c r="I47" s="465"/>
      <c r="J47" s="175"/>
      <c r="K47" s="570"/>
    </row>
    <row r="48" spans="1:18">
      <c r="G48" s="175"/>
      <c r="H48" s="82"/>
      <c r="I48" s="465"/>
      <c r="J48" s="175"/>
      <c r="K48" s="570"/>
    </row>
    <row r="49" spans="1:24">
      <c r="B49" s="380" t="s">
        <v>393</v>
      </c>
      <c r="C49" s="380"/>
      <c r="D49" s="155"/>
      <c r="F49" s="159"/>
      <c r="G49" s="175"/>
      <c r="H49" s="82"/>
      <c r="I49" s="304"/>
      <c r="J49" s="82"/>
      <c r="K49" s="570"/>
    </row>
    <row r="50" spans="1:24">
      <c r="B50" s="547" t="s">
        <v>612</v>
      </c>
      <c r="C50" s="547"/>
      <c r="D50" s="155"/>
      <c r="E50" s="173"/>
      <c r="F50" s="174"/>
      <c r="G50" s="175"/>
      <c r="H50" s="175"/>
      <c r="I50" s="465"/>
      <c r="J50" s="175"/>
      <c r="K50" s="568"/>
      <c r="L50" s="175"/>
      <c r="M50" s="175"/>
    </row>
    <row r="51" spans="1:24" s="173" customFormat="1">
      <c r="A51" s="440"/>
      <c r="B51" s="548" t="str">
        <f>CONCATENATE("(2) To ",EKPC!J1,", Page 4 of 5, line 34")</f>
        <v>(2) To Attachment H-24A, Page 4 of 5, line 34</v>
      </c>
      <c r="C51" s="548"/>
      <c r="D51" s="155"/>
      <c r="F51" s="174"/>
      <c r="G51" s="175"/>
      <c r="H51" s="175"/>
      <c r="I51" s="465"/>
      <c r="J51" s="175"/>
      <c r="K51" s="568"/>
      <c r="L51" s="175"/>
      <c r="M51" s="175"/>
      <c r="N51" s="175"/>
      <c r="O51" s="175"/>
      <c r="P51" s="175"/>
      <c r="Q51" s="175"/>
      <c r="R51" s="175"/>
      <c r="S51" s="175"/>
      <c r="T51" s="175"/>
      <c r="U51" s="175"/>
      <c r="V51" s="175"/>
      <c r="W51" s="175"/>
      <c r="X51" s="175"/>
    </row>
    <row r="52" spans="1:24" s="173" customFormat="1" ht="30" customHeight="1">
      <c r="A52" s="440"/>
      <c r="B52" s="794" t="s">
        <v>611</v>
      </c>
      <c r="C52" s="794"/>
      <c r="D52" s="794"/>
      <c r="E52" s="794"/>
      <c r="F52" s="174"/>
      <c r="G52" s="175"/>
      <c r="H52" s="175"/>
      <c r="I52" s="465"/>
      <c r="J52" s="175"/>
      <c r="K52" s="568"/>
      <c r="L52" s="175"/>
      <c r="M52" s="175"/>
      <c r="N52" s="175"/>
      <c r="O52" s="175"/>
      <c r="P52" s="175"/>
      <c r="Q52" s="175"/>
      <c r="R52" s="175"/>
      <c r="S52" s="175"/>
      <c r="T52" s="175"/>
      <c r="U52" s="175"/>
      <c r="V52" s="175"/>
      <c r="W52" s="175"/>
      <c r="X52" s="175"/>
    </row>
    <row r="53" spans="1:24" ht="15" customHeight="1">
      <c r="B53" s="549" t="str">
        <f>CONCATENATE("(4) Revenue from AEP GFA Account 456101- to ",EKPC!J1,", Page 1 of 5, Line 4.")</f>
        <v>(4) Revenue from AEP GFA Account 456101- to Attachment H-24A, Page 1 of 5, Line 4.</v>
      </c>
      <c r="C53" s="549"/>
      <c r="D53" s="82"/>
      <c r="E53" s="80"/>
      <c r="F53" s="82"/>
      <c r="G53" s="82"/>
      <c r="H53" s="82"/>
      <c r="I53" s="304"/>
      <c r="J53" s="82"/>
      <c r="K53" s="157"/>
    </row>
    <row r="54" spans="1:24" ht="15.75">
      <c r="B54" s="550" t="str">
        <f>CONCATENATE("(5) To ",EKPC!J1,", Page 4 of 5, Line 35")</f>
        <v>(5) To Attachment H-24A, Page 4 of 5, Line 35</v>
      </c>
      <c r="C54" s="550"/>
      <c r="D54" s="184"/>
      <c r="E54" s="170"/>
      <c r="F54" s="82"/>
      <c r="G54" s="185"/>
      <c r="H54" s="82"/>
      <c r="I54" s="304"/>
      <c r="J54" s="82"/>
      <c r="K54" s="157"/>
    </row>
    <row r="55" spans="1:24" ht="15.75">
      <c r="B55" s="184"/>
      <c r="C55" s="184"/>
      <c r="D55" s="184"/>
      <c r="E55" s="170"/>
      <c r="F55" s="82"/>
      <c r="G55" s="185"/>
      <c r="H55" s="82"/>
      <c r="I55" s="304"/>
      <c r="J55" s="82"/>
      <c r="K55" s="157"/>
    </row>
    <row r="56" spans="1:24" ht="15.75">
      <c r="B56" s="184"/>
      <c r="C56" s="184"/>
      <c r="D56" s="184"/>
      <c r="E56" s="170"/>
      <c r="F56" s="82"/>
      <c r="G56" s="185"/>
      <c r="H56" s="82"/>
      <c r="I56" s="304"/>
      <c r="J56" s="82"/>
      <c r="K56" s="157"/>
    </row>
    <row r="57" spans="1:24" ht="15.75">
      <c r="B57" s="184"/>
      <c r="C57" s="184"/>
      <c r="D57" s="184"/>
      <c r="E57" s="170"/>
      <c r="F57" s="82"/>
      <c r="G57" s="185"/>
      <c r="H57" s="82"/>
      <c r="I57" s="304"/>
      <c r="J57" s="82"/>
      <c r="K57" s="157"/>
    </row>
    <row r="58" spans="1:24" ht="15.75">
      <c r="B58" s="184"/>
      <c r="C58" s="184"/>
      <c r="D58" s="184"/>
      <c r="E58" s="170"/>
      <c r="F58" s="82"/>
      <c r="G58" s="185"/>
      <c r="H58" s="82"/>
      <c r="I58" s="304"/>
      <c r="J58" s="82"/>
      <c r="K58" s="157"/>
    </row>
    <row r="59" spans="1:24" ht="15.75">
      <c r="B59" s="184"/>
      <c r="C59" s="184"/>
      <c r="D59" s="184"/>
      <c r="E59" s="170"/>
      <c r="F59" s="82"/>
      <c r="G59" s="185"/>
      <c r="H59" s="82"/>
      <c r="I59" s="304"/>
      <c r="J59" s="82"/>
      <c r="K59" s="157"/>
    </row>
    <row r="60" spans="1:24" ht="15.75">
      <c r="B60" s="184"/>
      <c r="C60" s="184"/>
      <c r="D60" s="184"/>
      <c r="E60" s="170"/>
      <c r="F60" s="82"/>
      <c r="G60" s="185"/>
      <c r="H60" s="82"/>
      <c r="I60" s="304"/>
      <c r="J60" s="82"/>
      <c r="K60" s="157"/>
    </row>
    <row r="61" spans="1:24" ht="15.75">
      <c r="B61" s="82"/>
      <c r="C61" s="82"/>
      <c r="D61" s="82"/>
      <c r="E61" s="186"/>
      <c r="F61" s="82"/>
      <c r="G61" s="185"/>
      <c r="H61" s="82"/>
      <c r="I61" s="304"/>
      <c r="J61" s="82"/>
      <c r="K61" s="157"/>
    </row>
    <row r="62" spans="1:24" ht="15.75">
      <c r="B62" s="187"/>
      <c r="C62" s="187"/>
      <c r="D62" s="184"/>
      <c r="E62" s="188"/>
      <c r="F62" s="82"/>
      <c r="G62" s="185"/>
      <c r="H62" s="82"/>
      <c r="I62" s="304"/>
      <c r="J62" s="82"/>
      <c r="K62" s="157"/>
    </row>
    <row r="63" spans="1:24" ht="15.75">
      <c r="B63" s="184"/>
      <c r="C63" s="184"/>
      <c r="D63" s="184"/>
      <c r="E63" s="186"/>
      <c r="F63" s="82"/>
      <c r="G63" s="185"/>
      <c r="H63" s="82"/>
      <c r="I63" s="304"/>
      <c r="J63" s="82"/>
      <c r="K63" s="157"/>
    </row>
    <row r="64" spans="1:24" ht="15.75">
      <c r="B64" s="184"/>
      <c r="C64" s="184"/>
      <c r="D64" s="184"/>
      <c r="E64" s="170"/>
      <c r="F64" s="82"/>
      <c r="G64" s="185"/>
      <c r="H64" s="82"/>
      <c r="I64" s="304"/>
      <c r="J64" s="82"/>
      <c r="K64" s="157"/>
    </row>
    <row r="65" spans="2:11" ht="17.25">
      <c r="B65" s="184"/>
      <c r="C65" s="184"/>
      <c r="D65" s="184"/>
      <c r="E65" s="172"/>
      <c r="F65" s="82"/>
      <c r="G65" s="185"/>
      <c r="H65" s="82"/>
      <c r="I65" s="304"/>
      <c r="J65" s="82"/>
      <c r="K65" s="157"/>
    </row>
    <row r="66" spans="2:11" ht="15.75">
      <c r="B66" s="184"/>
      <c r="C66" s="184"/>
      <c r="D66" s="184"/>
      <c r="E66" s="189"/>
      <c r="F66" s="82"/>
      <c r="G66" s="185"/>
      <c r="H66" s="82"/>
      <c r="I66" s="304"/>
      <c r="J66" s="82"/>
      <c r="K66" s="157"/>
    </row>
    <row r="67" spans="2:11" ht="15.75">
      <c r="B67" s="82"/>
      <c r="C67" s="82"/>
      <c r="D67" s="82"/>
      <c r="E67" s="189"/>
      <c r="F67" s="82"/>
      <c r="G67" s="185"/>
      <c r="H67" s="82"/>
      <c r="I67" s="304"/>
      <c r="J67" s="82"/>
      <c r="K67" s="157"/>
    </row>
    <row r="68" spans="2:11" ht="15.75">
      <c r="B68" s="82"/>
      <c r="C68" s="82"/>
      <c r="D68" s="82"/>
      <c r="E68" s="189"/>
      <c r="F68" s="82"/>
      <c r="G68" s="185"/>
      <c r="H68" s="82"/>
      <c r="I68" s="304"/>
      <c r="J68" s="82"/>
      <c r="K68" s="157"/>
    </row>
    <row r="69" spans="2:11" ht="15.75">
      <c r="B69" s="82"/>
      <c r="C69" s="82"/>
      <c r="D69" s="82"/>
      <c r="E69" s="189"/>
      <c r="F69" s="82"/>
      <c r="G69" s="185"/>
      <c r="H69" s="82"/>
      <c r="I69" s="304"/>
      <c r="J69" s="82"/>
      <c r="K69" s="157"/>
    </row>
    <row r="70" spans="2:11" ht="15.75">
      <c r="B70" s="184"/>
      <c r="C70" s="184"/>
      <c r="D70" s="184"/>
      <c r="E70" s="170"/>
      <c r="F70" s="82"/>
      <c r="G70" s="185"/>
      <c r="H70" s="82"/>
      <c r="I70" s="304"/>
      <c r="J70" s="82"/>
      <c r="K70" s="157"/>
    </row>
    <row r="71" spans="2:11" ht="15.75">
      <c r="B71" s="184"/>
      <c r="C71" s="184"/>
      <c r="D71" s="184"/>
      <c r="E71" s="170"/>
      <c r="F71" s="82"/>
      <c r="G71" s="185"/>
      <c r="H71" s="82"/>
      <c r="I71" s="304"/>
      <c r="J71" s="82"/>
      <c r="K71" s="157"/>
    </row>
    <row r="72" spans="2:11" ht="15.75">
      <c r="B72" s="184"/>
      <c r="C72" s="184"/>
      <c r="D72" s="184"/>
      <c r="E72" s="170"/>
      <c r="F72" s="82"/>
      <c r="G72" s="185"/>
      <c r="H72" s="82"/>
      <c r="I72" s="304"/>
      <c r="J72" s="82"/>
      <c r="K72" s="157"/>
    </row>
    <row r="73" spans="2:11" ht="15.75">
      <c r="B73" s="184"/>
      <c r="C73" s="184"/>
      <c r="D73" s="184"/>
      <c r="E73" s="170"/>
      <c r="F73" s="82"/>
      <c r="G73" s="185"/>
      <c r="H73" s="82"/>
      <c r="I73" s="304"/>
      <c r="J73" s="82"/>
      <c r="K73" s="157"/>
    </row>
    <row r="74" spans="2:11" ht="15.75">
      <c r="B74" s="184"/>
      <c r="C74" s="184"/>
      <c r="D74" s="184"/>
      <c r="E74" s="170"/>
      <c r="F74" s="82"/>
      <c r="G74" s="185"/>
      <c r="H74" s="82"/>
      <c r="I74" s="304"/>
      <c r="J74" s="82"/>
      <c r="K74" s="157"/>
    </row>
    <row r="75" spans="2:11" ht="15.75">
      <c r="B75" s="184"/>
      <c r="C75" s="184"/>
      <c r="D75" s="184"/>
      <c r="E75" s="170"/>
      <c r="F75" s="82"/>
      <c r="G75" s="185"/>
      <c r="H75" s="82"/>
      <c r="I75" s="304"/>
      <c r="J75" s="82"/>
      <c r="K75" s="157"/>
    </row>
    <row r="76" spans="2:11" ht="17.25">
      <c r="B76" s="184"/>
      <c r="C76" s="184"/>
      <c r="D76" s="184"/>
      <c r="E76" s="172"/>
      <c r="F76" s="82"/>
      <c r="G76" s="185"/>
      <c r="H76" s="82"/>
      <c r="I76" s="304"/>
      <c r="J76" s="82"/>
      <c r="K76" s="157"/>
    </row>
    <row r="77" spans="2:11">
      <c r="B77" s="184"/>
      <c r="C77" s="184"/>
      <c r="D77" s="184"/>
      <c r="E77" s="188"/>
      <c r="F77" s="82"/>
      <c r="G77" s="82"/>
      <c r="H77" s="82"/>
      <c r="I77" s="304"/>
      <c r="J77" s="82"/>
      <c r="K77" s="157"/>
    </row>
    <row r="78" spans="2:11">
      <c r="B78" s="82"/>
      <c r="C78" s="82"/>
      <c r="D78" s="82"/>
      <c r="E78" s="82"/>
      <c r="F78" s="82"/>
      <c r="G78" s="82"/>
      <c r="H78" s="82"/>
      <c r="I78" s="304"/>
      <c r="J78" s="82"/>
      <c r="K78" s="157"/>
    </row>
    <row r="79" spans="2:11">
      <c r="B79" s="82"/>
      <c r="C79" s="82"/>
      <c r="D79" s="82"/>
      <c r="E79" s="82"/>
      <c r="F79" s="82"/>
      <c r="G79" s="82"/>
      <c r="H79" s="82"/>
      <c r="I79" s="304"/>
      <c r="J79" s="82"/>
      <c r="K79" s="157"/>
    </row>
    <row r="80" spans="2:11">
      <c r="B80" s="82"/>
      <c r="C80" s="82"/>
      <c r="D80" s="82"/>
      <c r="E80" s="82"/>
      <c r="F80" s="82"/>
      <c r="G80" s="82"/>
      <c r="H80" s="82"/>
      <c r="I80" s="304"/>
      <c r="J80" s="82"/>
      <c r="K80" s="157"/>
    </row>
  </sheetData>
  <mergeCells count="3">
    <mergeCell ref="B6:F6"/>
    <mergeCell ref="B7:F7"/>
    <mergeCell ref="B52:E52"/>
  </mergeCells>
  <phoneticPr fontId="21" type="noConversion"/>
  <pageMargins left="1" right="1" top="1" bottom="1" header="0.5" footer="0.5"/>
  <pageSetup scale="62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V48"/>
  <sheetViews>
    <sheetView zoomScale="70" zoomScaleNormal="70" workbookViewId="0"/>
  </sheetViews>
  <sheetFormatPr defaultRowHeight="14.25"/>
  <cols>
    <col min="1" max="1" width="7" style="89" customWidth="1"/>
    <col min="2" max="2" width="43.6640625" style="89" customWidth="1"/>
    <col min="3" max="3" width="17.33203125" style="89" bestFit="1" customWidth="1"/>
    <col min="4" max="4" width="8.33203125" style="90" customWidth="1"/>
    <col min="5" max="5" width="15" style="89" customWidth="1"/>
    <col min="6" max="6" width="13.5546875" style="89" customWidth="1"/>
    <col min="7" max="7" width="16.77734375" style="89" bestFit="1" customWidth="1"/>
    <col min="8" max="8" width="5.77734375" style="89" customWidth="1"/>
    <col min="9" max="9" width="11.77734375" style="89" customWidth="1"/>
    <col min="10" max="249" width="8.77734375" style="89"/>
    <col min="250" max="250" width="54.6640625" style="89" customWidth="1"/>
    <col min="251" max="251" width="13.77734375" style="89" customWidth="1"/>
    <col min="252" max="252" width="0" style="89" hidden="1" customWidth="1"/>
    <col min="253" max="253" width="6.6640625" style="89" customWidth="1"/>
    <col min="254" max="254" width="15" style="89" customWidth="1"/>
    <col min="255" max="255" width="3.6640625" style="89" bestFit="1" customWidth="1"/>
    <col min="256" max="256" width="15.44140625" style="89" bestFit="1" customWidth="1"/>
    <col min="257" max="257" width="3.77734375" style="89" customWidth="1"/>
    <col min="258" max="258" width="11.21875" style="89" bestFit="1" customWidth="1"/>
    <col min="259" max="259" width="3.6640625" style="89" customWidth="1"/>
    <col min="260" max="260" width="13.5546875" style="89" customWidth="1"/>
    <col min="261" max="261" width="1" style="89" customWidth="1"/>
    <col min="262" max="262" width="14.21875" style="89" bestFit="1" customWidth="1"/>
    <col min="263" max="263" width="3.33203125" style="89" customWidth="1"/>
    <col min="264" max="264" width="20.44140625" style="89" customWidth="1"/>
    <col min="265" max="505" width="8.77734375" style="89"/>
    <col min="506" max="506" width="54.6640625" style="89" customWidth="1"/>
    <col min="507" max="507" width="13.77734375" style="89" customWidth="1"/>
    <col min="508" max="508" width="0" style="89" hidden="1" customWidth="1"/>
    <col min="509" max="509" width="6.6640625" style="89" customWidth="1"/>
    <col min="510" max="510" width="15" style="89" customWidth="1"/>
    <col min="511" max="511" width="3.6640625" style="89" bestFit="1" customWidth="1"/>
    <col min="512" max="512" width="15.44140625" style="89" bestFit="1" customWidth="1"/>
    <col min="513" max="513" width="3.77734375" style="89" customWidth="1"/>
    <col min="514" max="514" width="11.21875" style="89" bestFit="1" customWidth="1"/>
    <col min="515" max="515" width="3.6640625" style="89" customWidth="1"/>
    <col min="516" max="516" width="13.5546875" style="89" customWidth="1"/>
    <col min="517" max="517" width="1" style="89" customWidth="1"/>
    <col min="518" max="518" width="14.21875" style="89" bestFit="1" customWidth="1"/>
    <col min="519" max="519" width="3.33203125" style="89" customWidth="1"/>
    <col min="520" max="520" width="20.44140625" style="89" customWidth="1"/>
    <col min="521" max="761" width="8.77734375" style="89"/>
    <col min="762" max="762" width="54.6640625" style="89" customWidth="1"/>
    <col min="763" max="763" width="13.77734375" style="89" customWidth="1"/>
    <col min="764" max="764" width="0" style="89" hidden="1" customWidth="1"/>
    <col min="765" max="765" width="6.6640625" style="89" customWidth="1"/>
    <col min="766" max="766" width="15" style="89" customWidth="1"/>
    <col min="767" max="767" width="3.6640625" style="89" bestFit="1" customWidth="1"/>
    <col min="768" max="768" width="15.44140625" style="89" bestFit="1" customWidth="1"/>
    <col min="769" max="769" width="3.77734375" style="89" customWidth="1"/>
    <col min="770" max="770" width="11.21875" style="89" bestFit="1" customWidth="1"/>
    <col min="771" max="771" width="3.6640625" style="89" customWidth="1"/>
    <col min="772" max="772" width="13.5546875" style="89" customWidth="1"/>
    <col min="773" max="773" width="1" style="89" customWidth="1"/>
    <col min="774" max="774" width="14.21875" style="89" bestFit="1" customWidth="1"/>
    <col min="775" max="775" width="3.33203125" style="89" customWidth="1"/>
    <col min="776" max="776" width="20.44140625" style="89" customWidth="1"/>
    <col min="777" max="1017" width="8.77734375" style="89"/>
    <col min="1018" max="1018" width="54.6640625" style="89" customWidth="1"/>
    <col min="1019" max="1019" width="13.77734375" style="89" customWidth="1"/>
    <col min="1020" max="1020" width="0" style="89" hidden="1" customWidth="1"/>
    <col min="1021" max="1021" width="6.6640625" style="89" customWidth="1"/>
    <col min="1022" max="1022" width="15" style="89" customWidth="1"/>
    <col min="1023" max="1023" width="3.6640625" style="89" bestFit="1" customWidth="1"/>
    <col min="1024" max="1024" width="15.44140625" style="89" bestFit="1" customWidth="1"/>
    <col min="1025" max="1025" width="3.77734375" style="89" customWidth="1"/>
    <col min="1026" max="1026" width="11.21875" style="89" bestFit="1" customWidth="1"/>
    <col min="1027" max="1027" width="3.6640625" style="89" customWidth="1"/>
    <col min="1028" max="1028" width="13.5546875" style="89" customWidth="1"/>
    <col min="1029" max="1029" width="1" style="89" customWidth="1"/>
    <col min="1030" max="1030" width="14.21875" style="89" bestFit="1" customWidth="1"/>
    <col min="1031" max="1031" width="3.33203125" style="89" customWidth="1"/>
    <col min="1032" max="1032" width="20.44140625" style="89" customWidth="1"/>
    <col min="1033" max="1273" width="8.77734375" style="89"/>
    <col min="1274" max="1274" width="54.6640625" style="89" customWidth="1"/>
    <col min="1275" max="1275" width="13.77734375" style="89" customWidth="1"/>
    <col min="1276" max="1276" width="0" style="89" hidden="1" customWidth="1"/>
    <col min="1277" max="1277" width="6.6640625" style="89" customWidth="1"/>
    <col min="1278" max="1278" width="15" style="89" customWidth="1"/>
    <col min="1279" max="1279" width="3.6640625" style="89" bestFit="1" customWidth="1"/>
    <col min="1280" max="1280" width="15.44140625" style="89" bestFit="1" customWidth="1"/>
    <col min="1281" max="1281" width="3.77734375" style="89" customWidth="1"/>
    <col min="1282" max="1282" width="11.21875" style="89" bestFit="1" customWidth="1"/>
    <col min="1283" max="1283" width="3.6640625" style="89" customWidth="1"/>
    <col min="1284" max="1284" width="13.5546875" style="89" customWidth="1"/>
    <col min="1285" max="1285" width="1" style="89" customWidth="1"/>
    <col min="1286" max="1286" width="14.21875" style="89" bestFit="1" customWidth="1"/>
    <col min="1287" max="1287" width="3.33203125" style="89" customWidth="1"/>
    <col min="1288" max="1288" width="20.44140625" style="89" customWidth="1"/>
    <col min="1289" max="1529" width="8.77734375" style="89"/>
    <col min="1530" max="1530" width="54.6640625" style="89" customWidth="1"/>
    <col min="1531" max="1531" width="13.77734375" style="89" customWidth="1"/>
    <col min="1532" max="1532" width="0" style="89" hidden="1" customWidth="1"/>
    <col min="1533" max="1533" width="6.6640625" style="89" customWidth="1"/>
    <col min="1534" max="1534" width="15" style="89" customWidth="1"/>
    <col min="1535" max="1535" width="3.6640625" style="89" bestFit="1" customWidth="1"/>
    <col min="1536" max="1536" width="15.44140625" style="89" bestFit="1" customWidth="1"/>
    <col min="1537" max="1537" width="3.77734375" style="89" customWidth="1"/>
    <col min="1538" max="1538" width="11.21875" style="89" bestFit="1" customWidth="1"/>
    <col min="1539" max="1539" width="3.6640625" style="89" customWidth="1"/>
    <col min="1540" max="1540" width="13.5546875" style="89" customWidth="1"/>
    <col min="1541" max="1541" width="1" style="89" customWidth="1"/>
    <col min="1542" max="1542" width="14.21875" style="89" bestFit="1" customWidth="1"/>
    <col min="1543" max="1543" width="3.33203125" style="89" customWidth="1"/>
    <col min="1544" max="1544" width="20.44140625" style="89" customWidth="1"/>
    <col min="1545" max="1785" width="8.77734375" style="89"/>
    <col min="1786" max="1786" width="54.6640625" style="89" customWidth="1"/>
    <col min="1787" max="1787" width="13.77734375" style="89" customWidth="1"/>
    <col min="1788" max="1788" width="0" style="89" hidden="1" customWidth="1"/>
    <col min="1789" max="1789" width="6.6640625" style="89" customWidth="1"/>
    <col min="1790" max="1790" width="15" style="89" customWidth="1"/>
    <col min="1791" max="1791" width="3.6640625" style="89" bestFit="1" customWidth="1"/>
    <col min="1792" max="1792" width="15.44140625" style="89" bestFit="1" customWidth="1"/>
    <col min="1793" max="1793" width="3.77734375" style="89" customWidth="1"/>
    <col min="1794" max="1794" width="11.21875" style="89" bestFit="1" customWidth="1"/>
    <col min="1795" max="1795" width="3.6640625" style="89" customWidth="1"/>
    <col min="1796" max="1796" width="13.5546875" style="89" customWidth="1"/>
    <col min="1797" max="1797" width="1" style="89" customWidth="1"/>
    <col min="1798" max="1798" width="14.21875" style="89" bestFit="1" customWidth="1"/>
    <col min="1799" max="1799" width="3.33203125" style="89" customWidth="1"/>
    <col min="1800" max="1800" width="20.44140625" style="89" customWidth="1"/>
    <col min="1801" max="2041" width="8.77734375" style="89"/>
    <col min="2042" max="2042" width="54.6640625" style="89" customWidth="1"/>
    <col min="2043" max="2043" width="13.77734375" style="89" customWidth="1"/>
    <col min="2044" max="2044" width="0" style="89" hidden="1" customWidth="1"/>
    <col min="2045" max="2045" width="6.6640625" style="89" customWidth="1"/>
    <col min="2046" max="2046" width="15" style="89" customWidth="1"/>
    <col min="2047" max="2047" width="3.6640625" style="89" bestFit="1" customWidth="1"/>
    <col min="2048" max="2048" width="15.44140625" style="89" bestFit="1" customWidth="1"/>
    <col min="2049" max="2049" width="3.77734375" style="89" customWidth="1"/>
    <col min="2050" max="2050" width="11.21875" style="89" bestFit="1" customWidth="1"/>
    <col min="2051" max="2051" width="3.6640625" style="89" customWidth="1"/>
    <col min="2052" max="2052" width="13.5546875" style="89" customWidth="1"/>
    <col min="2053" max="2053" width="1" style="89" customWidth="1"/>
    <col min="2054" max="2054" width="14.21875" style="89" bestFit="1" customWidth="1"/>
    <col min="2055" max="2055" width="3.33203125" style="89" customWidth="1"/>
    <col min="2056" max="2056" width="20.44140625" style="89" customWidth="1"/>
    <col min="2057" max="2297" width="8.77734375" style="89"/>
    <col min="2298" max="2298" width="54.6640625" style="89" customWidth="1"/>
    <col min="2299" max="2299" width="13.77734375" style="89" customWidth="1"/>
    <col min="2300" max="2300" width="0" style="89" hidden="1" customWidth="1"/>
    <col min="2301" max="2301" width="6.6640625" style="89" customWidth="1"/>
    <col min="2302" max="2302" width="15" style="89" customWidth="1"/>
    <col min="2303" max="2303" width="3.6640625" style="89" bestFit="1" customWidth="1"/>
    <col min="2304" max="2304" width="15.44140625" style="89" bestFit="1" customWidth="1"/>
    <col min="2305" max="2305" width="3.77734375" style="89" customWidth="1"/>
    <col min="2306" max="2306" width="11.21875" style="89" bestFit="1" customWidth="1"/>
    <col min="2307" max="2307" width="3.6640625" style="89" customWidth="1"/>
    <col min="2308" max="2308" width="13.5546875" style="89" customWidth="1"/>
    <col min="2309" max="2309" width="1" style="89" customWidth="1"/>
    <col min="2310" max="2310" width="14.21875" style="89" bestFit="1" customWidth="1"/>
    <col min="2311" max="2311" width="3.33203125" style="89" customWidth="1"/>
    <col min="2312" max="2312" width="20.44140625" style="89" customWidth="1"/>
    <col min="2313" max="2553" width="8.77734375" style="89"/>
    <col min="2554" max="2554" width="54.6640625" style="89" customWidth="1"/>
    <col min="2555" max="2555" width="13.77734375" style="89" customWidth="1"/>
    <col min="2556" max="2556" width="0" style="89" hidden="1" customWidth="1"/>
    <col min="2557" max="2557" width="6.6640625" style="89" customWidth="1"/>
    <col min="2558" max="2558" width="15" style="89" customWidth="1"/>
    <col min="2559" max="2559" width="3.6640625" style="89" bestFit="1" customWidth="1"/>
    <col min="2560" max="2560" width="15.44140625" style="89" bestFit="1" customWidth="1"/>
    <col min="2561" max="2561" width="3.77734375" style="89" customWidth="1"/>
    <col min="2562" max="2562" width="11.21875" style="89" bestFit="1" customWidth="1"/>
    <col min="2563" max="2563" width="3.6640625" style="89" customWidth="1"/>
    <col min="2564" max="2564" width="13.5546875" style="89" customWidth="1"/>
    <col min="2565" max="2565" width="1" style="89" customWidth="1"/>
    <col min="2566" max="2566" width="14.21875" style="89" bestFit="1" customWidth="1"/>
    <col min="2567" max="2567" width="3.33203125" style="89" customWidth="1"/>
    <col min="2568" max="2568" width="20.44140625" style="89" customWidth="1"/>
    <col min="2569" max="2809" width="8.77734375" style="89"/>
    <col min="2810" max="2810" width="54.6640625" style="89" customWidth="1"/>
    <col min="2811" max="2811" width="13.77734375" style="89" customWidth="1"/>
    <col min="2812" max="2812" width="0" style="89" hidden="1" customWidth="1"/>
    <col min="2813" max="2813" width="6.6640625" style="89" customWidth="1"/>
    <col min="2814" max="2814" width="15" style="89" customWidth="1"/>
    <col min="2815" max="2815" width="3.6640625" style="89" bestFit="1" customWidth="1"/>
    <col min="2816" max="2816" width="15.44140625" style="89" bestFit="1" customWidth="1"/>
    <col min="2817" max="2817" width="3.77734375" style="89" customWidth="1"/>
    <col min="2818" max="2818" width="11.21875" style="89" bestFit="1" customWidth="1"/>
    <col min="2819" max="2819" width="3.6640625" style="89" customWidth="1"/>
    <col min="2820" max="2820" width="13.5546875" style="89" customWidth="1"/>
    <col min="2821" max="2821" width="1" style="89" customWidth="1"/>
    <col min="2822" max="2822" width="14.21875" style="89" bestFit="1" customWidth="1"/>
    <col min="2823" max="2823" width="3.33203125" style="89" customWidth="1"/>
    <col min="2824" max="2824" width="20.44140625" style="89" customWidth="1"/>
    <col min="2825" max="3065" width="8.77734375" style="89"/>
    <col min="3066" max="3066" width="54.6640625" style="89" customWidth="1"/>
    <col min="3067" max="3067" width="13.77734375" style="89" customWidth="1"/>
    <col min="3068" max="3068" width="0" style="89" hidden="1" customWidth="1"/>
    <col min="3069" max="3069" width="6.6640625" style="89" customWidth="1"/>
    <col min="3070" max="3070" width="15" style="89" customWidth="1"/>
    <col min="3071" max="3071" width="3.6640625" style="89" bestFit="1" customWidth="1"/>
    <col min="3072" max="3072" width="15.44140625" style="89" bestFit="1" customWidth="1"/>
    <col min="3073" max="3073" width="3.77734375" style="89" customWidth="1"/>
    <col min="3074" max="3074" width="11.21875" style="89" bestFit="1" customWidth="1"/>
    <col min="3075" max="3075" width="3.6640625" style="89" customWidth="1"/>
    <col min="3076" max="3076" width="13.5546875" style="89" customWidth="1"/>
    <col min="3077" max="3077" width="1" style="89" customWidth="1"/>
    <col min="3078" max="3078" width="14.21875" style="89" bestFit="1" customWidth="1"/>
    <col min="3079" max="3079" width="3.33203125" style="89" customWidth="1"/>
    <col min="3080" max="3080" width="20.44140625" style="89" customWidth="1"/>
    <col min="3081" max="3321" width="8.77734375" style="89"/>
    <col min="3322" max="3322" width="54.6640625" style="89" customWidth="1"/>
    <col min="3323" max="3323" width="13.77734375" style="89" customWidth="1"/>
    <col min="3324" max="3324" width="0" style="89" hidden="1" customWidth="1"/>
    <col min="3325" max="3325" width="6.6640625" style="89" customWidth="1"/>
    <col min="3326" max="3326" width="15" style="89" customWidth="1"/>
    <col min="3327" max="3327" width="3.6640625" style="89" bestFit="1" customWidth="1"/>
    <col min="3328" max="3328" width="15.44140625" style="89" bestFit="1" customWidth="1"/>
    <col min="3329" max="3329" width="3.77734375" style="89" customWidth="1"/>
    <col min="3330" max="3330" width="11.21875" style="89" bestFit="1" customWidth="1"/>
    <col min="3331" max="3331" width="3.6640625" style="89" customWidth="1"/>
    <col min="3332" max="3332" width="13.5546875" style="89" customWidth="1"/>
    <col min="3333" max="3333" width="1" style="89" customWidth="1"/>
    <col min="3334" max="3334" width="14.21875" style="89" bestFit="1" customWidth="1"/>
    <col min="3335" max="3335" width="3.33203125" style="89" customWidth="1"/>
    <col min="3336" max="3336" width="20.44140625" style="89" customWidth="1"/>
    <col min="3337" max="3577" width="8.77734375" style="89"/>
    <col min="3578" max="3578" width="54.6640625" style="89" customWidth="1"/>
    <col min="3579" max="3579" width="13.77734375" style="89" customWidth="1"/>
    <col min="3580" max="3580" width="0" style="89" hidden="1" customWidth="1"/>
    <col min="3581" max="3581" width="6.6640625" style="89" customWidth="1"/>
    <col min="3582" max="3582" width="15" style="89" customWidth="1"/>
    <col min="3583" max="3583" width="3.6640625" style="89" bestFit="1" customWidth="1"/>
    <col min="3584" max="3584" width="15.44140625" style="89" bestFit="1" customWidth="1"/>
    <col min="3585" max="3585" width="3.77734375" style="89" customWidth="1"/>
    <col min="3586" max="3586" width="11.21875" style="89" bestFit="1" customWidth="1"/>
    <col min="3587" max="3587" width="3.6640625" style="89" customWidth="1"/>
    <col min="3588" max="3588" width="13.5546875" style="89" customWidth="1"/>
    <col min="3589" max="3589" width="1" style="89" customWidth="1"/>
    <col min="3590" max="3590" width="14.21875" style="89" bestFit="1" customWidth="1"/>
    <col min="3591" max="3591" width="3.33203125" style="89" customWidth="1"/>
    <col min="3592" max="3592" width="20.44140625" style="89" customWidth="1"/>
    <col min="3593" max="3833" width="8.77734375" style="89"/>
    <col min="3834" max="3834" width="54.6640625" style="89" customWidth="1"/>
    <col min="3835" max="3835" width="13.77734375" style="89" customWidth="1"/>
    <col min="3836" max="3836" width="0" style="89" hidden="1" customWidth="1"/>
    <col min="3837" max="3837" width="6.6640625" style="89" customWidth="1"/>
    <col min="3838" max="3838" width="15" style="89" customWidth="1"/>
    <col min="3839" max="3839" width="3.6640625" style="89" bestFit="1" customWidth="1"/>
    <col min="3840" max="3840" width="15.44140625" style="89" bestFit="1" customWidth="1"/>
    <col min="3841" max="3841" width="3.77734375" style="89" customWidth="1"/>
    <col min="3842" max="3842" width="11.21875" style="89" bestFit="1" customWidth="1"/>
    <col min="3843" max="3843" width="3.6640625" style="89" customWidth="1"/>
    <col min="3844" max="3844" width="13.5546875" style="89" customWidth="1"/>
    <col min="3845" max="3845" width="1" style="89" customWidth="1"/>
    <col min="3846" max="3846" width="14.21875" style="89" bestFit="1" customWidth="1"/>
    <col min="3847" max="3847" width="3.33203125" style="89" customWidth="1"/>
    <col min="3848" max="3848" width="20.44140625" style="89" customWidth="1"/>
    <col min="3849" max="4089" width="8.77734375" style="89"/>
    <col min="4090" max="4090" width="54.6640625" style="89" customWidth="1"/>
    <col min="4091" max="4091" width="13.77734375" style="89" customWidth="1"/>
    <col min="4092" max="4092" width="0" style="89" hidden="1" customWidth="1"/>
    <col min="4093" max="4093" width="6.6640625" style="89" customWidth="1"/>
    <col min="4094" max="4094" width="15" style="89" customWidth="1"/>
    <col min="4095" max="4095" width="3.6640625" style="89" bestFit="1" customWidth="1"/>
    <col min="4096" max="4096" width="15.44140625" style="89" bestFit="1" customWidth="1"/>
    <col min="4097" max="4097" width="3.77734375" style="89" customWidth="1"/>
    <col min="4098" max="4098" width="11.21875" style="89" bestFit="1" customWidth="1"/>
    <col min="4099" max="4099" width="3.6640625" style="89" customWidth="1"/>
    <col min="4100" max="4100" width="13.5546875" style="89" customWidth="1"/>
    <col min="4101" max="4101" width="1" style="89" customWidth="1"/>
    <col min="4102" max="4102" width="14.21875" style="89" bestFit="1" customWidth="1"/>
    <col min="4103" max="4103" width="3.33203125" style="89" customWidth="1"/>
    <col min="4104" max="4104" width="20.44140625" style="89" customWidth="1"/>
    <col min="4105" max="4345" width="8.77734375" style="89"/>
    <col min="4346" max="4346" width="54.6640625" style="89" customWidth="1"/>
    <col min="4347" max="4347" width="13.77734375" style="89" customWidth="1"/>
    <col min="4348" max="4348" width="0" style="89" hidden="1" customWidth="1"/>
    <col min="4349" max="4349" width="6.6640625" style="89" customWidth="1"/>
    <col min="4350" max="4350" width="15" style="89" customWidth="1"/>
    <col min="4351" max="4351" width="3.6640625" style="89" bestFit="1" customWidth="1"/>
    <col min="4352" max="4352" width="15.44140625" style="89" bestFit="1" customWidth="1"/>
    <col min="4353" max="4353" width="3.77734375" style="89" customWidth="1"/>
    <col min="4354" max="4354" width="11.21875" style="89" bestFit="1" customWidth="1"/>
    <col min="4355" max="4355" width="3.6640625" style="89" customWidth="1"/>
    <col min="4356" max="4356" width="13.5546875" style="89" customWidth="1"/>
    <col min="4357" max="4357" width="1" style="89" customWidth="1"/>
    <col min="4358" max="4358" width="14.21875" style="89" bestFit="1" customWidth="1"/>
    <col min="4359" max="4359" width="3.33203125" style="89" customWidth="1"/>
    <col min="4360" max="4360" width="20.44140625" style="89" customWidth="1"/>
    <col min="4361" max="4601" width="8.77734375" style="89"/>
    <col min="4602" max="4602" width="54.6640625" style="89" customWidth="1"/>
    <col min="4603" max="4603" width="13.77734375" style="89" customWidth="1"/>
    <col min="4604" max="4604" width="0" style="89" hidden="1" customWidth="1"/>
    <col min="4605" max="4605" width="6.6640625" style="89" customWidth="1"/>
    <col min="4606" max="4606" width="15" style="89" customWidth="1"/>
    <col min="4607" max="4607" width="3.6640625" style="89" bestFit="1" customWidth="1"/>
    <col min="4608" max="4608" width="15.44140625" style="89" bestFit="1" customWidth="1"/>
    <col min="4609" max="4609" width="3.77734375" style="89" customWidth="1"/>
    <col min="4610" max="4610" width="11.21875" style="89" bestFit="1" customWidth="1"/>
    <col min="4611" max="4611" width="3.6640625" style="89" customWidth="1"/>
    <col min="4612" max="4612" width="13.5546875" style="89" customWidth="1"/>
    <col min="4613" max="4613" width="1" style="89" customWidth="1"/>
    <col min="4614" max="4614" width="14.21875" style="89" bestFit="1" customWidth="1"/>
    <col min="4615" max="4615" width="3.33203125" style="89" customWidth="1"/>
    <col min="4616" max="4616" width="20.44140625" style="89" customWidth="1"/>
    <col min="4617" max="4857" width="8.77734375" style="89"/>
    <col min="4858" max="4858" width="54.6640625" style="89" customWidth="1"/>
    <col min="4859" max="4859" width="13.77734375" style="89" customWidth="1"/>
    <col min="4860" max="4860" width="0" style="89" hidden="1" customWidth="1"/>
    <col min="4861" max="4861" width="6.6640625" style="89" customWidth="1"/>
    <col min="4862" max="4862" width="15" style="89" customWidth="1"/>
    <col min="4863" max="4863" width="3.6640625" style="89" bestFit="1" customWidth="1"/>
    <col min="4864" max="4864" width="15.44140625" style="89" bestFit="1" customWidth="1"/>
    <col min="4865" max="4865" width="3.77734375" style="89" customWidth="1"/>
    <col min="4866" max="4866" width="11.21875" style="89" bestFit="1" customWidth="1"/>
    <col min="4867" max="4867" width="3.6640625" style="89" customWidth="1"/>
    <col min="4868" max="4868" width="13.5546875" style="89" customWidth="1"/>
    <col min="4869" max="4869" width="1" style="89" customWidth="1"/>
    <col min="4870" max="4870" width="14.21875" style="89" bestFit="1" customWidth="1"/>
    <col min="4871" max="4871" width="3.33203125" style="89" customWidth="1"/>
    <col min="4872" max="4872" width="20.44140625" style="89" customWidth="1"/>
    <col min="4873" max="5113" width="8.77734375" style="89"/>
    <col min="5114" max="5114" width="54.6640625" style="89" customWidth="1"/>
    <col min="5115" max="5115" width="13.77734375" style="89" customWidth="1"/>
    <col min="5116" max="5116" width="0" style="89" hidden="1" customWidth="1"/>
    <col min="5117" max="5117" width="6.6640625" style="89" customWidth="1"/>
    <col min="5118" max="5118" width="15" style="89" customWidth="1"/>
    <col min="5119" max="5119" width="3.6640625" style="89" bestFit="1" customWidth="1"/>
    <col min="5120" max="5120" width="15.44140625" style="89" bestFit="1" customWidth="1"/>
    <col min="5121" max="5121" width="3.77734375" style="89" customWidth="1"/>
    <col min="5122" max="5122" width="11.21875" style="89" bestFit="1" customWidth="1"/>
    <col min="5123" max="5123" width="3.6640625" style="89" customWidth="1"/>
    <col min="5124" max="5124" width="13.5546875" style="89" customWidth="1"/>
    <col min="5125" max="5125" width="1" style="89" customWidth="1"/>
    <col min="5126" max="5126" width="14.21875" style="89" bestFit="1" customWidth="1"/>
    <col min="5127" max="5127" width="3.33203125" style="89" customWidth="1"/>
    <col min="5128" max="5128" width="20.44140625" style="89" customWidth="1"/>
    <col min="5129" max="5369" width="8.77734375" style="89"/>
    <col min="5370" max="5370" width="54.6640625" style="89" customWidth="1"/>
    <col min="5371" max="5371" width="13.77734375" style="89" customWidth="1"/>
    <col min="5372" max="5372" width="0" style="89" hidden="1" customWidth="1"/>
    <col min="5373" max="5373" width="6.6640625" style="89" customWidth="1"/>
    <col min="5374" max="5374" width="15" style="89" customWidth="1"/>
    <col min="5375" max="5375" width="3.6640625" style="89" bestFit="1" customWidth="1"/>
    <col min="5376" max="5376" width="15.44140625" style="89" bestFit="1" customWidth="1"/>
    <col min="5377" max="5377" width="3.77734375" style="89" customWidth="1"/>
    <col min="5378" max="5378" width="11.21875" style="89" bestFit="1" customWidth="1"/>
    <col min="5379" max="5379" width="3.6640625" style="89" customWidth="1"/>
    <col min="5380" max="5380" width="13.5546875" style="89" customWidth="1"/>
    <col min="5381" max="5381" width="1" style="89" customWidth="1"/>
    <col min="5382" max="5382" width="14.21875" style="89" bestFit="1" customWidth="1"/>
    <col min="5383" max="5383" width="3.33203125" style="89" customWidth="1"/>
    <col min="5384" max="5384" width="20.44140625" style="89" customWidth="1"/>
    <col min="5385" max="5625" width="8.77734375" style="89"/>
    <col min="5626" max="5626" width="54.6640625" style="89" customWidth="1"/>
    <col min="5627" max="5627" width="13.77734375" style="89" customWidth="1"/>
    <col min="5628" max="5628" width="0" style="89" hidden="1" customWidth="1"/>
    <col min="5629" max="5629" width="6.6640625" style="89" customWidth="1"/>
    <col min="5630" max="5630" width="15" style="89" customWidth="1"/>
    <col min="5631" max="5631" width="3.6640625" style="89" bestFit="1" customWidth="1"/>
    <col min="5632" max="5632" width="15.44140625" style="89" bestFit="1" customWidth="1"/>
    <col min="5633" max="5633" width="3.77734375" style="89" customWidth="1"/>
    <col min="5634" max="5634" width="11.21875" style="89" bestFit="1" customWidth="1"/>
    <col min="5635" max="5635" width="3.6640625" style="89" customWidth="1"/>
    <col min="5636" max="5636" width="13.5546875" style="89" customWidth="1"/>
    <col min="5637" max="5637" width="1" style="89" customWidth="1"/>
    <col min="5638" max="5638" width="14.21875" style="89" bestFit="1" customWidth="1"/>
    <col min="5639" max="5639" width="3.33203125" style="89" customWidth="1"/>
    <col min="5640" max="5640" width="20.44140625" style="89" customWidth="1"/>
    <col min="5641" max="5881" width="8.77734375" style="89"/>
    <col min="5882" max="5882" width="54.6640625" style="89" customWidth="1"/>
    <col min="5883" max="5883" width="13.77734375" style="89" customWidth="1"/>
    <col min="5884" max="5884" width="0" style="89" hidden="1" customWidth="1"/>
    <col min="5885" max="5885" width="6.6640625" style="89" customWidth="1"/>
    <col min="5886" max="5886" width="15" style="89" customWidth="1"/>
    <col min="5887" max="5887" width="3.6640625" style="89" bestFit="1" customWidth="1"/>
    <col min="5888" max="5888" width="15.44140625" style="89" bestFit="1" customWidth="1"/>
    <col min="5889" max="5889" width="3.77734375" style="89" customWidth="1"/>
    <col min="5890" max="5890" width="11.21875" style="89" bestFit="1" customWidth="1"/>
    <col min="5891" max="5891" width="3.6640625" style="89" customWidth="1"/>
    <col min="5892" max="5892" width="13.5546875" style="89" customWidth="1"/>
    <col min="5893" max="5893" width="1" style="89" customWidth="1"/>
    <col min="5894" max="5894" width="14.21875" style="89" bestFit="1" customWidth="1"/>
    <col min="5895" max="5895" width="3.33203125" style="89" customWidth="1"/>
    <col min="5896" max="5896" width="20.44140625" style="89" customWidth="1"/>
    <col min="5897" max="6137" width="8.77734375" style="89"/>
    <col min="6138" max="6138" width="54.6640625" style="89" customWidth="1"/>
    <col min="6139" max="6139" width="13.77734375" style="89" customWidth="1"/>
    <col min="6140" max="6140" width="0" style="89" hidden="1" customWidth="1"/>
    <col min="6141" max="6141" width="6.6640625" style="89" customWidth="1"/>
    <col min="6142" max="6142" width="15" style="89" customWidth="1"/>
    <col min="6143" max="6143" width="3.6640625" style="89" bestFit="1" customWidth="1"/>
    <col min="6144" max="6144" width="15.44140625" style="89" bestFit="1" customWidth="1"/>
    <col min="6145" max="6145" width="3.77734375" style="89" customWidth="1"/>
    <col min="6146" max="6146" width="11.21875" style="89" bestFit="1" customWidth="1"/>
    <col min="6147" max="6147" width="3.6640625" style="89" customWidth="1"/>
    <col min="6148" max="6148" width="13.5546875" style="89" customWidth="1"/>
    <col min="6149" max="6149" width="1" style="89" customWidth="1"/>
    <col min="6150" max="6150" width="14.21875" style="89" bestFit="1" customWidth="1"/>
    <col min="6151" max="6151" width="3.33203125" style="89" customWidth="1"/>
    <col min="6152" max="6152" width="20.44140625" style="89" customWidth="1"/>
    <col min="6153" max="6393" width="8.77734375" style="89"/>
    <col min="6394" max="6394" width="54.6640625" style="89" customWidth="1"/>
    <col min="6395" max="6395" width="13.77734375" style="89" customWidth="1"/>
    <col min="6396" max="6396" width="0" style="89" hidden="1" customWidth="1"/>
    <col min="6397" max="6397" width="6.6640625" style="89" customWidth="1"/>
    <col min="6398" max="6398" width="15" style="89" customWidth="1"/>
    <col min="6399" max="6399" width="3.6640625" style="89" bestFit="1" customWidth="1"/>
    <col min="6400" max="6400" width="15.44140625" style="89" bestFit="1" customWidth="1"/>
    <col min="6401" max="6401" width="3.77734375" style="89" customWidth="1"/>
    <col min="6402" max="6402" width="11.21875" style="89" bestFit="1" customWidth="1"/>
    <col min="6403" max="6403" width="3.6640625" style="89" customWidth="1"/>
    <col min="6404" max="6404" width="13.5546875" style="89" customWidth="1"/>
    <col min="6405" max="6405" width="1" style="89" customWidth="1"/>
    <col min="6406" max="6406" width="14.21875" style="89" bestFit="1" customWidth="1"/>
    <col min="6407" max="6407" width="3.33203125" style="89" customWidth="1"/>
    <col min="6408" max="6408" width="20.44140625" style="89" customWidth="1"/>
    <col min="6409" max="6649" width="8.77734375" style="89"/>
    <col min="6650" max="6650" width="54.6640625" style="89" customWidth="1"/>
    <col min="6651" max="6651" width="13.77734375" style="89" customWidth="1"/>
    <col min="6652" max="6652" width="0" style="89" hidden="1" customWidth="1"/>
    <col min="6653" max="6653" width="6.6640625" style="89" customWidth="1"/>
    <col min="6654" max="6654" width="15" style="89" customWidth="1"/>
    <col min="6655" max="6655" width="3.6640625" style="89" bestFit="1" customWidth="1"/>
    <col min="6656" max="6656" width="15.44140625" style="89" bestFit="1" customWidth="1"/>
    <col min="6657" max="6657" width="3.77734375" style="89" customWidth="1"/>
    <col min="6658" max="6658" width="11.21875" style="89" bestFit="1" customWidth="1"/>
    <col min="6659" max="6659" width="3.6640625" style="89" customWidth="1"/>
    <col min="6660" max="6660" width="13.5546875" style="89" customWidth="1"/>
    <col min="6661" max="6661" width="1" style="89" customWidth="1"/>
    <col min="6662" max="6662" width="14.21875" style="89" bestFit="1" customWidth="1"/>
    <col min="6663" max="6663" width="3.33203125" style="89" customWidth="1"/>
    <col min="6664" max="6664" width="20.44140625" style="89" customWidth="1"/>
    <col min="6665" max="6905" width="8.77734375" style="89"/>
    <col min="6906" max="6906" width="54.6640625" style="89" customWidth="1"/>
    <col min="6907" max="6907" width="13.77734375" style="89" customWidth="1"/>
    <col min="6908" max="6908" width="0" style="89" hidden="1" customWidth="1"/>
    <col min="6909" max="6909" width="6.6640625" style="89" customWidth="1"/>
    <col min="6910" max="6910" width="15" style="89" customWidth="1"/>
    <col min="6911" max="6911" width="3.6640625" style="89" bestFit="1" customWidth="1"/>
    <col min="6912" max="6912" width="15.44140625" style="89" bestFit="1" customWidth="1"/>
    <col min="6913" max="6913" width="3.77734375" style="89" customWidth="1"/>
    <col min="6914" max="6914" width="11.21875" style="89" bestFit="1" customWidth="1"/>
    <col min="6915" max="6915" width="3.6640625" style="89" customWidth="1"/>
    <col min="6916" max="6916" width="13.5546875" style="89" customWidth="1"/>
    <col min="6917" max="6917" width="1" style="89" customWidth="1"/>
    <col min="6918" max="6918" width="14.21875" style="89" bestFit="1" customWidth="1"/>
    <col min="6919" max="6919" width="3.33203125" style="89" customWidth="1"/>
    <col min="6920" max="6920" width="20.44140625" style="89" customWidth="1"/>
    <col min="6921" max="7161" width="8.77734375" style="89"/>
    <col min="7162" max="7162" width="54.6640625" style="89" customWidth="1"/>
    <col min="7163" max="7163" width="13.77734375" style="89" customWidth="1"/>
    <col min="7164" max="7164" width="0" style="89" hidden="1" customWidth="1"/>
    <col min="7165" max="7165" width="6.6640625" style="89" customWidth="1"/>
    <col min="7166" max="7166" width="15" style="89" customWidth="1"/>
    <col min="7167" max="7167" width="3.6640625" style="89" bestFit="1" customWidth="1"/>
    <col min="7168" max="7168" width="15.44140625" style="89" bestFit="1" customWidth="1"/>
    <col min="7169" max="7169" width="3.77734375" style="89" customWidth="1"/>
    <col min="7170" max="7170" width="11.21875" style="89" bestFit="1" customWidth="1"/>
    <col min="7171" max="7171" width="3.6640625" style="89" customWidth="1"/>
    <col min="7172" max="7172" width="13.5546875" style="89" customWidth="1"/>
    <col min="7173" max="7173" width="1" style="89" customWidth="1"/>
    <col min="7174" max="7174" width="14.21875" style="89" bestFit="1" customWidth="1"/>
    <col min="7175" max="7175" width="3.33203125" style="89" customWidth="1"/>
    <col min="7176" max="7176" width="20.44140625" style="89" customWidth="1"/>
    <col min="7177" max="7417" width="8.77734375" style="89"/>
    <col min="7418" max="7418" width="54.6640625" style="89" customWidth="1"/>
    <col min="7419" max="7419" width="13.77734375" style="89" customWidth="1"/>
    <col min="7420" max="7420" width="0" style="89" hidden="1" customWidth="1"/>
    <col min="7421" max="7421" width="6.6640625" style="89" customWidth="1"/>
    <col min="7422" max="7422" width="15" style="89" customWidth="1"/>
    <col min="7423" max="7423" width="3.6640625" style="89" bestFit="1" customWidth="1"/>
    <col min="7424" max="7424" width="15.44140625" style="89" bestFit="1" customWidth="1"/>
    <col min="7425" max="7425" width="3.77734375" style="89" customWidth="1"/>
    <col min="7426" max="7426" width="11.21875" style="89" bestFit="1" customWidth="1"/>
    <col min="7427" max="7427" width="3.6640625" style="89" customWidth="1"/>
    <col min="7428" max="7428" width="13.5546875" style="89" customWidth="1"/>
    <col min="7429" max="7429" width="1" style="89" customWidth="1"/>
    <col min="7430" max="7430" width="14.21875" style="89" bestFit="1" customWidth="1"/>
    <col min="7431" max="7431" width="3.33203125" style="89" customWidth="1"/>
    <col min="7432" max="7432" width="20.44140625" style="89" customWidth="1"/>
    <col min="7433" max="7673" width="8.77734375" style="89"/>
    <col min="7674" max="7674" width="54.6640625" style="89" customWidth="1"/>
    <col min="7675" max="7675" width="13.77734375" style="89" customWidth="1"/>
    <col min="7676" max="7676" width="0" style="89" hidden="1" customWidth="1"/>
    <col min="7677" max="7677" width="6.6640625" style="89" customWidth="1"/>
    <col min="7678" max="7678" width="15" style="89" customWidth="1"/>
    <col min="7679" max="7679" width="3.6640625" style="89" bestFit="1" customWidth="1"/>
    <col min="7680" max="7680" width="15.44140625" style="89" bestFit="1" customWidth="1"/>
    <col min="7681" max="7681" width="3.77734375" style="89" customWidth="1"/>
    <col min="7682" max="7682" width="11.21875" style="89" bestFit="1" customWidth="1"/>
    <col min="7683" max="7683" width="3.6640625" style="89" customWidth="1"/>
    <col min="7684" max="7684" width="13.5546875" style="89" customWidth="1"/>
    <col min="7685" max="7685" width="1" style="89" customWidth="1"/>
    <col min="7686" max="7686" width="14.21875" style="89" bestFit="1" customWidth="1"/>
    <col min="7687" max="7687" width="3.33203125" style="89" customWidth="1"/>
    <col min="7688" max="7688" width="20.44140625" style="89" customWidth="1"/>
    <col min="7689" max="7929" width="8.77734375" style="89"/>
    <col min="7930" max="7930" width="54.6640625" style="89" customWidth="1"/>
    <col min="7931" max="7931" width="13.77734375" style="89" customWidth="1"/>
    <col min="7932" max="7932" width="0" style="89" hidden="1" customWidth="1"/>
    <col min="7933" max="7933" width="6.6640625" style="89" customWidth="1"/>
    <col min="7934" max="7934" width="15" style="89" customWidth="1"/>
    <col min="7935" max="7935" width="3.6640625" style="89" bestFit="1" customWidth="1"/>
    <col min="7936" max="7936" width="15.44140625" style="89" bestFit="1" customWidth="1"/>
    <col min="7937" max="7937" width="3.77734375" style="89" customWidth="1"/>
    <col min="7938" max="7938" width="11.21875" style="89" bestFit="1" customWidth="1"/>
    <col min="7939" max="7939" width="3.6640625" style="89" customWidth="1"/>
    <col min="7940" max="7940" width="13.5546875" style="89" customWidth="1"/>
    <col min="7941" max="7941" width="1" style="89" customWidth="1"/>
    <col min="7942" max="7942" width="14.21875" style="89" bestFit="1" customWidth="1"/>
    <col min="7943" max="7943" width="3.33203125" style="89" customWidth="1"/>
    <col min="7944" max="7944" width="20.44140625" style="89" customWidth="1"/>
    <col min="7945" max="8185" width="8.77734375" style="89"/>
    <col min="8186" max="8186" width="54.6640625" style="89" customWidth="1"/>
    <col min="8187" max="8187" width="13.77734375" style="89" customWidth="1"/>
    <col min="8188" max="8188" width="0" style="89" hidden="1" customWidth="1"/>
    <col min="8189" max="8189" width="6.6640625" style="89" customWidth="1"/>
    <col min="8190" max="8190" width="15" style="89" customWidth="1"/>
    <col min="8191" max="8191" width="3.6640625" style="89" bestFit="1" customWidth="1"/>
    <col min="8192" max="8192" width="15.44140625" style="89" bestFit="1" customWidth="1"/>
    <col min="8193" max="8193" width="3.77734375" style="89" customWidth="1"/>
    <col min="8194" max="8194" width="11.21875" style="89" bestFit="1" customWidth="1"/>
    <col min="8195" max="8195" width="3.6640625" style="89" customWidth="1"/>
    <col min="8196" max="8196" width="13.5546875" style="89" customWidth="1"/>
    <col min="8197" max="8197" width="1" style="89" customWidth="1"/>
    <col min="8198" max="8198" width="14.21875" style="89" bestFit="1" customWidth="1"/>
    <col min="8199" max="8199" width="3.33203125" style="89" customWidth="1"/>
    <col min="8200" max="8200" width="20.44140625" style="89" customWidth="1"/>
    <col min="8201" max="8441" width="8.77734375" style="89"/>
    <col min="8442" max="8442" width="54.6640625" style="89" customWidth="1"/>
    <col min="8443" max="8443" width="13.77734375" style="89" customWidth="1"/>
    <col min="8444" max="8444" width="0" style="89" hidden="1" customWidth="1"/>
    <col min="8445" max="8445" width="6.6640625" style="89" customWidth="1"/>
    <col min="8446" max="8446" width="15" style="89" customWidth="1"/>
    <col min="8447" max="8447" width="3.6640625" style="89" bestFit="1" customWidth="1"/>
    <col min="8448" max="8448" width="15.44140625" style="89" bestFit="1" customWidth="1"/>
    <col min="8449" max="8449" width="3.77734375" style="89" customWidth="1"/>
    <col min="8450" max="8450" width="11.21875" style="89" bestFit="1" customWidth="1"/>
    <col min="8451" max="8451" width="3.6640625" style="89" customWidth="1"/>
    <col min="8452" max="8452" width="13.5546875" style="89" customWidth="1"/>
    <col min="8453" max="8453" width="1" style="89" customWidth="1"/>
    <col min="8454" max="8454" width="14.21875" style="89" bestFit="1" customWidth="1"/>
    <col min="8455" max="8455" width="3.33203125" style="89" customWidth="1"/>
    <col min="8456" max="8456" width="20.44140625" style="89" customWidth="1"/>
    <col min="8457" max="8697" width="8.77734375" style="89"/>
    <col min="8698" max="8698" width="54.6640625" style="89" customWidth="1"/>
    <col min="8699" max="8699" width="13.77734375" style="89" customWidth="1"/>
    <col min="8700" max="8700" width="0" style="89" hidden="1" customWidth="1"/>
    <col min="8701" max="8701" width="6.6640625" style="89" customWidth="1"/>
    <col min="8702" max="8702" width="15" style="89" customWidth="1"/>
    <col min="8703" max="8703" width="3.6640625" style="89" bestFit="1" customWidth="1"/>
    <col min="8704" max="8704" width="15.44140625" style="89" bestFit="1" customWidth="1"/>
    <col min="8705" max="8705" width="3.77734375" style="89" customWidth="1"/>
    <col min="8706" max="8706" width="11.21875" style="89" bestFit="1" customWidth="1"/>
    <col min="8707" max="8707" width="3.6640625" style="89" customWidth="1"/>
    <col min="8708" max="8708" width="13.5546875" style="89" customWidth="1"/>
    <col min="8709" max="8709" width="1" style="89" customWidth="1"/>
    <col min="8710" max="8710" width="14.21875" style="89" bestFit="1" customWidth="1"/>
    <col min="8711" max="8711" width="3.33203125" style="89" customWidth="1"/>
    <col min="8712" max="8712" width="20.44140625" style="89" customWidth="1"/>
    <col min="8713" max="8953" width="8.77734375" style="89"/>
    <col min="8954" max="8954" width="54.6640625" style="89" customWidth="1"/>
    <col min="8955" max="8955" width="13.77734375" style="89" customWidth="1"/>
    <col min="8956" max="8956" width="0" style="89" hidden="1" customWidth="1"/>
    <col min="8957" max="8957" width="6.6640625" style="89" customWidth="1"/>
    <col min="8958" max="8958" width="15" style="89" customWidth="1"/>
    <col min="8959" max="8959" width="3.6640625" style="89" bestFit="1" customWidth="1"/>
    <col min="8960" max="8960" width="15.44140625" style="89" bestFit="1" customWidth="1"/>
    <col min="8961" max="8961" width="3.77734375" style="89" customWidth="1"/>
    <col min="8962" max="8962" width="11.21875" style="89" bestFit="1" customWidth="1"/>
    <col min="8963" max="8963" width="3.6640625" style="89" customWidth="1"/>
    <col min="8964" max="8964" width="13.5546875" style="89" customWidth="1"/>
    <col min="8965" max="8965" width="1" style="89" customWidth="1"/>
    <col min="8966" max="8966" width="14.21875" style="89" bestFit="1" customWidth="1"/>
    <col min="8967" max="8967" width="3.33203125" style="89" customWidth="1"/>
    <col min="8968" max="8968" width="20.44140625" style="89" customWidth="1"/>
    <col min="8969" max="9209" width="8.77734375" style="89"/>
    <col min="9210" max="9210" width="54.6640625" style="89" customWidth="1"/>
    <col min="9211" max="9211" width="13.77734375" style="89" customWidth="1"/>
    <col min="9212" max="9212" width="0" style="89" hidden="1" customWidth="1"/>
    <col min="9213" max="9213" width="6.6640625" style="89" customWidth="1"/>
    <col min="9214" max="9214" width="15" style="89" customWidth="1"/>
    <col min="9215" max="9215" width="3.6640625" style="89" bestFit="1" customWidth="1"/>
    <col min="9216" max="9216" width="15.44140625" style="89" bestFit="1" customWidth="1"/>
    <col min="9217" max="9217" width="3.77734375" style="89" customWidth="1"/>
    <col min="9218" max="9218" width="11.21875" style="89" bestFit="1" customWidth="1"/>
    <col min="9219" max="9219" width="3.6640625" style="89" customWidth="1"/>
    <col min="9220" max="9220" width="13.5546875" style="89" customWidth="1"/>
    <col min="9221" max="9221" width="1" style="89" customWidth="1"/>
    <col min="9222" max="9222" width="14.21875" style="89" bestFit="1" customWidth="1"/>
    <col min="9223" max="9223" width="3.33203125" style="89" customWidth="1"/>
    <col min="9224" max="9224" width="20.44140625" style="89" customWidth="1"/>
    <col min="9225" max="9465" width="8.77734375" style="89"/>
    <col min="9466" max="9466" width="54.6640625" style="89" customWidth="1"/>
    <col min="9467" max="9467" width="13.77734375" style="89" customWidth="1"/>
    <col min="9468" max="9468" width="0" style="89" hidden="1" customWidth="1"/>
    <col min="9469" max="9469" width="6.6640625" style="89" customWidth="1"/>
    <col min="9470" max="9470" width="15" style="89" customWidth="1"/>
    <col min="9471" max="9471" width="3.6640625" style="89" bestFit="1" customWidth="1"/>
    <col min="9472" max="9472" width="15.44140625" style="89" bestFit="1" customWidth="1"/>
    <col min="9473" max="9473" width="3.77734375" style="89" customWidth="1"/>
    <col min="9474" max="9474" width="11.21875" style="89" bestFit="1" customWidth="1"/>
    <col min="9475" max="9475" width="3.6640625" style="89" customWidth="1"/>
    <col min="9476" max="9476" width="13.5546875" style="89" customWidth="1"/>
    <col min="9477" max="9477" width="1" style="89" customWidth="1"/>
    <col min="9478" max="9478" width="14.21875" style="89" bestFit="1" customWidth="1"/>
    <col min="9479" max="9479" width="3.33203125" style="89" customWidth="1"/>
    <col min="9480" max="9480" width="20.44140625" style="89" customWidth="1"/>
    <col min="9481" max="9721" width="8.77734375" style="89"/>
    <col min="9722" max="9722" width="54.6640625" style="89" customWidth="1"/>
    <col min="9723" max="9723" width="13.77734375" style="89" customWidth="1"/>
    <col min="9724" max="9724" width="0" style="89" hidden="1" customWidth="1"/>
    <col min="9725" max="9725" width="6.6640625" style="89" customWidth="1"/>
    <col min="9726" max="9726" width="15" style="89" customWidth="1"/>
    <col min="9727" max="9727" width="3.6640625" style="89" bestFit="1" customWidth="1"/>
    <col min="9728" max="9728" width="15.44140625" style="89" bestFit="1" customWidth="1"/>
    <col min="9729" max="9729" width="3.77734375" style="89" customWidth="1"/>
    <col min="9730" max="9730" width="11.21875" style="89" bestFit="1" customWidth="1"/>
    <col min="9731" max="9731" width="3.6640625" style="89" customWidth="1"/>
    <col min="9732" max="9732" width="13.5546875" style="89" customWidth="1"/>
    <col min="9733" max="9733" width="1" style="89" customWidth="1"/>
    <col min="9734" max="9734" width="14.21875" style="89" bestFit="1" customWidth="1"/>
    <col min="9735" max="9735" width="3.33203125" style="89" customWidth="1"/>
    <col min="9736" max="9736" width="20.44140625" style="89" customWidth="1"/>
    <col min="9737" max="9977" width="8.77734375" style="89"/>
    <col min="9978" max="9978" width="54.6640625" style="89" customWidth="1"/>
    <col min="9979" max="9979" width="13.77734375" style="89" customWidth="1"/>
    <col min="9980" max="9980" width="0" style="89" hidden="1" customWidth="1"/>
    <col min="9981" max="9981" width="6.6640625" style="89" customWidth="1"/>
    <col min="9982" max="9982" width="15" style="89" customWidth="1"/>
    <col min="9983" max="9983" width="3.6640625" style="89" bestFit="1" customWidth="1"/>
    <col min="9984" max="9984" width="15.44140625" style="89" bestFit="1" customWidth="1"/>
    <col min="9985" max="9985" width="3.77734375" style="89" customWidth="1"/>
    <col min="9986" max="9986" width="11.21875" style="89" bestFit="1" customWidth="1"/>
    <col min="9987" max="9987" width="3.6640625" style="89" customWidth="1"/>
    <col min="9988" max="9988" width="13.5546875" style="89" customWidth="1"/>
    <col min="9989" max="9989" width="1" style="89" customWidth="1"/>
    <col min="9990" max="9990" width="14.21875" style="89" bestFit="1" customWidth="1"/>
    <col min="9991" max="9991" width="3.33203125" style="89" customWidth="1"/>
    <col min="9992" max="9992" width="20.44140625" style="89" customWidth="1"/>
    <col min="9993" max="10233" width="8.77734375" style="89"/>
    <col min="10234" max="10234" width="54.6640625" style="89" customWidth="1"/>
    <col min="10235" max="10235" width="13.77734375" style="89" customWidth="1"/>
    <col min="10236" max="10236" width="0" style="89" hidden="1" customWidth="1"/>
    <col min="10237" max="10237" width="6.6640625" style="89" customWidth="1"/>
    <col min="10238" max="10238" width="15" style="89" customWidth="1"/>
    <col min="10239" max="10239" width="3.6640625" style="89" bestFit="1" customWidth="1"/>
    <col min="10240" max="10240" width="15.44140625" style="89" bestFit="1" customWidth="1"/>
    <col min="10241" max="10241" width="3.77734375" style="89" customWidth="1"/>
    <col min="10242" max="10242" width="11.21875" style="89" bestFit="1" customWidth="1"/>
    <col min="10243" max="10243" width="3.6640625" style="89" customWidth="1"/>
    <col min="10244" max="10244" width="13.5546875" style="89" customWidth="1"/>
    <col min="10245" max="10245" width="1" style="89" customWidth="1"/>
    <col min="10246" max="10246" width="14.21875" style="89" bestFit="1" customWidth="1"/>
    <col min="10247" max="10247" width="3.33203125" style="89" customWidth="1"/>
    <col min="10248" max="10248" width="20.44140625" style="89" customWidth="1"/>
    <col min="10249" max="10489" width="8.77734375" style="89"/>
    <col min="10490" max="10490" width="54.6640625" style="89" customWidth="1"/>
    <col min="10491" max="10491" width="13.77734375" style="89" customWidth="1"/>
    <col min="10492" max="10492" width="0" style="89" hidden="1" customWidth="1"/>
    <col min="10493" max="10493" width="6.6640625" style="89" customWidth="1"/>
    <col min="10494" max="10494" width="15" style="89" customWidth="1"/>
    <col min="10495" max="10495" width="3.6640625" style="89" bestFit="1" customWidth="1"/>
    <col min="10496" max="10496" width="15.44140625" style="89" bestFit="1" customWidth="1"/>
    <col min="10497" max="10497" width="3.77734375" style="89" customWidth="1"/>
    <col min="10498" max="10498" width="11.21875" style="89" bestFit="1" customWidth="1"/>
    <col min="10499" max="10499" width="3.6640625" style="89" customWidth="1"/>
    <col min="10500" max="10500" width="13.5546875" style="89" customWidth="1"/>
    <col min="10501" max="10501" width="1" style="89" customWidth="1"/>
    <col min="10502" max="10502" width="14.21875" style="89" bestFit="1" customWidth="1"/>
    <col min="10503" max="10503" width="3.33203125" style="89" customWidth="1"/>
    <col min="10504" max="10504" width="20.44140625" style="89" customWidth="1"/>
    <col min="10505" max="10745" width="8.77734375" style="89"/>
    <col min="10746" max="10746" width="54.6640625" style="89" customWidth="1"/>
    <col min="10747" max="10747" width="13.77734375" style="89" customWidth="1"/>
    <col min="10748" max="10748" width="0" style="89" hidden="1" customWidth="1"/>
    <col min="10749" max="10749" width="6.6640625" style="89" customWidth="1"/>
    <col min="10750" max="10750" width="15" style="89" customWidth="1"/>
    <col min="10751" max="10751" width="3.6640625" style="89" bestFit="1" customWidth="1"/>
    <col min="10752" max="10752" width="15.44140625" style="89" bestFit="1" customWidth="1"/>
    <col min="10753" max="10753" width="3.77734375" style="89" customWidth="1"/>
    <col min="10754" max="10754" width="11.21875" style="89" bestFit="1" customWidth="1"/>
    <col min="10755" max="10755" width="3.6640625" style="89" customWidth="1"/>
    <col min="10756" max="10756" width="13.5546875" style="89" customWidth="1"/>
    <col min="10757" max="10757" width="1" style="89" customWidth="1"/>
    <col min="10758" max="10758" width="14.21875" style="89" bestFit="1" customWidth="1"/>
    <col min="10759" max="10759" width="3.33203125" style="89" customWidth="1"/>
    <col min="10760" max="10760" width="20.44140625" style="89" customWidth="1"/>
    <col min="10761" max="11001" width="8.77734375" style="89"/>
    <col min="11002" max="11002" width="54.6640625" style="89" customWidth="1"/>
    <col min="11003" max="11003" width="13.77734375" style="89" customWidth="1"/>
    <col min="11004" max="11004" width="0" style="89" hidden="1" customWidth="1"/>
    <col min="11005" max="11005" width="6.6640625" style="89" customWidth="1"/>
    <col min="11006" max="11006" width="15" style="89" customWidth="1"/>
    <col min="11007" max="11007" width="3.6640625" style="89" bestFit="1" customWidth="1"/>
    <col min="11008" max="11008" width="15.44140625" style="89" bestFit="1" customWidth="1"/>
    <col min="11009" max="11009" width="3.77734375" style="89" customWidth="1"/>
    <col min="11010" max="11010" width="11.21875" style="89" bestFit="1" customWidth="1"/>
    <col min="11011" max="11011" width="3.6640625" style="89" customWidth="1"/>
    <col min="11012" max="11012" width="13.5546875" style="89" customWidth="1"/>
    <col min="11013" max="11013" width="1" style="89" customWidth="1"/>
    <col min="11014" max="11014" width="14.21875" style="89" bestFit="1" customWidth="1"/>
    <col min="11015" max="11015" width="3.33203125" style="89" customWidth="1"/>
    <col min="11016" max="11016" width="20.44140625" style="89" customWidth="1"/>
    <col min="11017" max="11257" width="8.77734375" style="89"/>
    <col min="11258" max="11258" width="54.6640625" style="89" customWidth="1"/>
    <col min="11259" max="11259" width="13.77734375" style="89" customWidth="1"/>
    <col min="11260" max="11260" width="0" style="89" hidden="1" customWidth="1"/>
    <col min="11261" max="11261" width="6.6640625" style="89" customWidth="1"/>
    <col min="11262" max="11262" width="15" style="89" customWidth="1"/>
    <col min="11263" max="11263" width="3.6640625" style="89" bestFit="1" customWidth="1"/>
    <col min="11264" max="11264" width="15.44140625" style="89" bestFit="1" customWidth="1"/>
    <col min="11265" max="11265" width="3.77734375" style="89" customWidth="1"/>
    <col min="11266" max="11266" width="11.21875" style="89" bestFit="1" customWidth="1"/>
    <col min="11267" max="11267" width="3.6640625" style="89" customWidth="1"/>
    <col min="11268" max="11268" width="13.5546875" style="89" customWidth="1"/>
    <col min="11269" max="11269" width="1" style="89" customWidth="1"/>
    <col min="11270" max="11270" width="14.21875" style="89" bestFit="1" customWidth="1"/>
    <col min="11271" max="11271" width="3.33203125" style="89" customWidth="1"/>
    <col min="11272" max="11272" width="20.44140625" style="89" customWidth="1"/>
    <col min="11273" max="11513" width="8.77734375" style="89"/>
    <col min="11514" max="11514" width="54.6640625" style="89" customWidth="1"/>
    <col min="11515" max="11515" width="13.77734375" style="89" customWidth="1"/>
    <col min="11516" max="11516" width="0" style="89" hidden="1" customWidth="1"/>
    <col min="11517" max="11517" width="6.6640625" style="89" customWidth="1"/>
    <col min="11518" max="11518" width="15" style="89" customWidth="1"/>
    <col min="11519" max="11519" width="3.6640625" style="89" bestFit="1" customWidth="1"/>
    <col min="11520" max="11520" width="15.44140625" style="89" bestFit="1" customWidth="1"/>
    <col min="11521" max="11521" width="3.77734375" style="89" customWidth="1"/>
    <col min="11522" max="11522" width="11.21875" style="89" bestFit="1" customWidth="1"/>
    <col min="11523" max="11523" width="3.6640625" style="89" customWidth="1"/>
    <col min="11524" max="11524" width="13.5546875" style="89" customWidth="1"/>
    <col min="11525" max="11525" width="1" style="89" customWidth="1"/>
    <col min="11526" max="11526" width="14.21875" style="89" bestFit="1" customWidth="1"/>
    <col min="11527" max="11527" width="3.33203125" style="89" customWidth="1"/>
    <col min="11528" max="11528" width="20.44140625" style="89" customWidth="1"/>
    <col min="11529" max="11769" width="8.77734375" style="89"/>
    <col min="11770" max="11770" width="54.6640625" style="89" customWidth="1"/>
    <col min="11771" max="11771" width="13.77734375" style="89" customWidth="1"/>
    <col min="11772" max="11772" width="0" style="89" hidden="1" customWidth="1"/>
    <col min="11773" max="11773" width="6.6640625" style="89" customWidth="1"/>
    <col min="11774" max="11774" width="15" style="89" customWidth="1"/>
    <col min="11775" max="11775" width="3.6640625" style="89" bestFit="1" customWidth="1"/>
    <col min="11776" max="11776" width="15.44140625" style="89" bestFit="1" customWidth="1"/>
    <col min="11777" max="11777" width="3.77734375" style="89" customWidth="1"/>
    <col min="11778" max="11778" width="11.21875" style="89" bestFit="1" customWidth="1"/>
    <col min="11779" max="11779" width="3.6640625" style="89" customWidth="1"/>
    <col min="11780" max="11780" width="13.5546875" style="89" customWidth="1"/>
    <col min="11781" max="11781" width="1" style="89" customWidth="1"/>
    <col min="11782" max="11782" width="14.21875" style="89" bestFit="1" customWidth="1"/>
    <col min="11783" max="11783" width="3.33203125" style="89" customWidth="1"/>
    <col min="11784" max="11784" width="20.44140625" style="89" customWidth="1"/>
    <col min="11785" max="12025" width="8.77734375" style="89"/>
    <col min="12026" max="12026" width="54.6640625" style="89" customWidth="1"/>
    <col min="12027" max="12027" width="13.77734375" style="89" customWidth="1"/>
    <col min="12028" max="12028" width="0" style="89" hidden="1" customWidth="1"/>
    <col min="12029" max="12029" width="6.6640625" style="89" customWidth="1"/>
    <col min="12030" max="12030" width="15" style="89" customWidth="1"/>
    <col min="12031" max="12031" width="3.6640625" style="89" bestFit="1" customWidth="1"/>
    <col min="12032" max="12032" width="15.44140625" style="89" bestFit="1" customWidth="1"/>
    <col min="12033" max="12033" width="3.77734375" style="89" customWidth="1"/>
    <col min="12034" max="12034" width="11.21875" style="89" bestFit="1" customWidth="1"/>
    <col min="12035" max="12035" width="3.6640625" style="89" customWidth="1"/>
    <col min="12036" max="12036" width="13.5546875" style="89" customWidth="1"/>
    <col min="12037" max="12037" width="1" style="89" customWidth="1"/>
    <col min="12038" max="12038" width="14.21875" style="89" bestFit="1" customWidth="1"/>
    <col min="12039" max="12039" width="3.33203125" style="89" customWidth="1"/>
    <col min="12040" max="12040" width="20.44140625" style="89" customWidth="1"/>
    <col min="12041" max="12281" width="8.77734375" style="89"/>
    <col min="12282" max="12282" width="54.6640625" style="89" customWidth="1"/>
    <col min="12283" max="12283" width="13.77734375" style="89" customWidth="1"/>
    <col min="12284" max="12284" width="0" style="89" hidden="1" customWidth="1"/>
    <col min="12285" max="12285" width="6.6640625" style="89" customWidth="1"/>
    <col min="12286" max="12286" width="15" style="89" customWidth="1"/>
    <col min="12287" max="12287" width="3.6640625" style="89" bestFit="1" customWidth="1"/>
    <col min="12288" max="12288" width="15.44140625" style="89" bestFit="1" customWidth="1"/>
    <col min="12289" max="12289" width="3.77734375" style="89" customWidth="1"/>
    <col min="12290" max="12290" width="11.21875" style="89" bestFit="1" customWidth="1"/>
    <col min="12291" max="12291" width="3.6640625" style="89" customWidth="1"/>
    <col min="12292" max="12292" width="13.5546875" style="89" customWidth="1"/>
    <col min="12293" max="12293" width="1" style="89" customWidth="1"/>
    <col min="12294" max="12294" width="14.21875" style="89" bestFit="1" customWidth="1"/>
    <col min="12295" max="12295" width="3.33203125" style="89" customWidth="1"/>
    <col min="12296" max="12296" width="20.44140625" style="89" customWidth="1"/>
    <col min="12297" max="12537" width="8.77734375" style="89"/>
    <col min="12538" max="12538" width="54.6640625" style="89" customWidth="1"/>
    <col min="12539" max="12539" width="13.77734375" style="89" customWidth="1"/>
    <col min="12540" max="12540" width="0" style="89" hidden="1" customWidth="1"/>
    <col min="12541" max="12541" width="6.6640625" style="89" customWidth="1"/>
    <col min="12542" max="12542" width="15" style="89" customWidth="1"/>
    <col min="12543" max="12543" width="3.6640625" style="89" bestFit="1" customWidth="1"/>
    <col min="12544" max="12544" width="15.44140625" style="89" bestFit="1" customWidth="1"/>
    <col min="12545" max="12545" width="3.77734375" style="89" customWidth="1"/>
    <col min="12546" max="12546" width="11.21875" style="89" bestFit="1" customWidth="1"/>
    <col min="12547" max="12547" width="3.6640625" style="89" customWidth="1"/>
    <col min="12548" max="12548" width="13.5546875" style="89" customWidth="1"/>
    <col min="12549" max="12549" width="1" style="89" customWidth="1"/>
    <col min="12550" max="12550" width="14.21875" style="89" bestFit="1" customWidth="1"/>
    <col min="12551" max="12551" width="3.33203125" style="89" customWidth="1"/>
    <col min="12552" max="12552" width="20.44140625" style="89" customWidth="1"/>
    <col min="12553" max="12793" width="8.77734375" style="89"/>
    <col min="12794" max="12794" width="54.6640625" style="89" customWidth="1"/>
    <col min="12795" max="12795" width="13.77734375" style="89" customWidth="1"/>
    <col min="12796" max="12796" width="0" style="89" hidden="1" customWidth="1"/>
    <col min="12797" max="12797" width="6.6640625" style="89" customWidth="1"/>
    <col min="12798" max="12798" width="15" style="89" customWidth="1"/>
    <col min="12799" max="12799" width="3.6640625" style="89" bestFit="1" customWidth="1"/>
    <col min="12800" max="12800" width="15.44140625" style="89" bestFit="1" customWidth="1"/>
    <col min="12801" max="12801" width="3.77734375" style="89" customWidth="1"/>
    <col min="12802" max="12802" width="11.21875" style="89" bestFit="1" customWidth="1"/>
    <col min="12803" max="12803" width="3.6640625" style="89" customWidth="1"/>
    <col min="12804" max="12804" width="13.5546875" style="89" customWidth="1"/>
    <col min="12805" max="12805" width="1" style="89" customWidth="1"/>
    <col min="12806" max="12806" width="14.21875" style="89" bestFit="1" customWidth="1"/>
    <col min="12807" max="12807" width="3.33203125" style="89" customWidth="1"/>
    <col min="12808" max="12808" width="20.44140625" style="89" customWidth="1"/>
    <col min="12809" max="13049" width="8.77734375" style="89"/>
    <col min="13050" max="13050" width="54.6640625" style="89" customWidth="1"/>
    <col min="13051" max="13051" width="13.77734375" style="89" customWidth="1"/>
    <col min="13052" max="13052" width="0" style="89" hidden="1" customWidth="1"/>
    <col min="13053" max="13053" width="6.6640625" style="89" customWidth="1"/>
    <col min="13054" max="13054" width="15" style="89" customWidth="1"/>
    <col min="13055" max="13055" width="3.6640625" style="89" bestFit="1" customWidth="1"/>
    <col min="13056" max="13056" width="15.44140625" style="89" bestFit="1" customWidth="1"/>
    <col min="13057" max="13057" width="3.77734375" style="89" customWidth="1"/>
    <col min="13058" max="13058" width="11.21875" style="89" bestFit="1" customWidth="1"/>
    <col min="13059" max="13059" width="3.6640625" style="89" customWidth="1"/>
    <col min="13060" max="13060" width="13.5546875" style="89" customWidth="1"/>
    <col min="13061" max="13061" width="1" style="89" customWidth="1"/>
    <col min="13062" max="13062" width="14.21875" style="89" bestFit="1" customWidth="1"/>
    <col min="13063" max="13063" width="3.33203125" style="89" customWidth="1"/>
    <col min="13064" max="13064" width="20.44140625" style="89" customWidth="1"/>
    <col min="13065" max="13305" width="8.77734375" style="89"/>
    <col min="13306" max="13306" width="54.6640625" style="89" customWidth="1"/>
    <col min="13307" max="13307" width="13.77734375" style="89" customWidth="1"/>
    <col min="13308" max="13308" width="0" style="89" hidden="1" customWidth="1"/>
    <col min="13309" max="13309" width="6.6640625" style="89" customWidth="1"/>
    <col min="13310" max="13310" width="15" style="89" customWidth="1"/>
    <col min="13311" max="13311" width="3.6640625" style="89" bestFit="1" customWidth="1"/>
    <col min="13312" max="13312" width="15.44140625" style="89" bestFit="1" customWidth="1"/>
    <col min="13313" max="13313" width="3.77734375" style="89" customWidth="1"/>
    <col min="13314" max="13314" width="11.21875" style="89" bestFit="1" customWidth="1"/>
    <col min="13315" max="13315" width="3.6640625" style="89" customWidth="1"/>
    <col min="13316" max="13316" width="13.5546875" style="89" customWidth="1"/>
    <col min="13317" max="13317" width="1" style="89" customWidth="1"/>
    <col min="13318" max="13318" width="14.21875" style="89" bestFit="1" customWidth="1"/>
    <col min="13319" max="13319" width="3.33203125" style="89" customWidth="1"/>
    <col min="13320" max="13320" width="20.44140625" style="89" customWidth="1"/>
    <col min="13321" max="13561" width="8.77734375" style="89"/>
    <col min="13562" max="13562" width="54.6640625" style="89" customWidth="1"/>
    <col min="13563" max="13563" width="13.77734375" style="89" customWidth="1"/>
    <col min="13564" max="13564" width="0" style="89" hidden="1" customWidth="1"/>
    <col min="13565" max="13565" width="6.6640625" style="89" customWidth="1"/>
    <col min="13566" max="13566" width="15" style="89" customWidth="1"/>
    <col min="13567" max="13567" width="3.6640625" style="89" bestFit="1" customWidth="1"/>
    <col min="13568" max="13568" width="15.44140625" style="89" bestFit="1" customWidth="1"/>
    <col min="13569" max="13569" width="3.77734375" style="89" customWidth="1"/>
    <col min="13570" max="13570" width="11.21875" style="89" bestFit="1" customWidth="1"/>
    <col min="13571" max="13571" width="3.6640625" style="89" customWidth="1"/>
    <col min="13572" max="13572" width="13.5546875" style="89" customWidth="1"/>
    <col min="13573" max="13573" width="1" style="89" customWidth="1"/>
    <col min="13574" max="13574" width="14.21875" style="89" bestFit="1" customWidth="1"/>
    <col min="13575" max="13575" width="3.33203125" style="89" customWidth="1"/>
    <col min="13576" max="13576" width="20.44140625" style="89" customWidth="1"/>
    <col min="13577" max="13817" width="8.77734375" style="89"/>
    <col min="13818" max="13818" width="54.6640625" style="89" customWidth="1"/>
    <col min="13819" max="13819" width="13.77734375" style="89" customWidth="1"/>
    <col min="13820" max="13820" width="0" style="89" hidden="1" customWidth="1"/>
    <col min="13821" max="13821" width="6.6640625" style="89" customWidth="1"/>
    <col min="13822" max="13822" width="15" style="89" customWidth="1"/>
    <col min="13823" max="13823" width="3.6640625" style="89" bestFit="1" customWidth="1"/>
    <col min="13824" max="13824" width="15.44140625" style="89" bestFit="1" customWidth="1"/>
    <col min="13825" max="13825" width="3.77734375" style="89" customWidth="1"/>
    <col min="13826" max="13826" width="11.21875" style="89" bestFit="1" customWidth="1"/>
    <col min="13827" max="13827" width="3.6640625" style="89" customWidth="1"/>
    <col min="13828" max="13828" width="13.5546875" style="89" customWidth="1"/>
    <col min="13829" max="13829" width="1" style="89" customWidth="1"/>
    <col min="13830" max="13830" width="14.21875" style="89" bestFit="1" customWidth="1"/>
    <col min="13831" max="13831" width="3.33203125" style="89" customWidth="1"/>
    <col min="13832" max="13832" width="20.44140625" style="89" customWidth="1"/>
    <col min="13833" max="14073" width="8.77734375" style="89"/>
    <col min="14074" max="14074" width="54.6640625" style="89" customWidth="1"/>
    <col min="14075" max="14075" width="13.77734375" style="89" customWidth="1"/>
    <col min="14076" max="14076" width="0" style="89" hidden="1" customWidth="1"/>
    <col min="14077" max="14077" width="6.6640625" style="89" customWidth="1"/>
    <col min="14078" max="14078" width="15" style="89" customWidth="1"/>
    <col min="14079" max="14079" width="3.6640625" style="89" bestFit="1" customWidth="1"/>
    <col min="14080" max="14080" width="15.44140625" style="89" bestFit="1" customWidth="1"/>
    <col min="14081" max="14081" width="3.77734375" style="89" customWidth="1"/>
    <col min="14082" max="14082" width="11.21875" style="89" bestFit="1" customWidth="1"/>
    <col min="14083" max="14083" width="3.6640625" style="89" customWidth="1"/>
    <col min="14084" max="14084" width="13.5546875" style="89" customWidth="1"/>
    <col min="14085" max="14085" width="1" style="89" customWidth="1"/>
    <col min="14086" max="14086" width="14.21875" style="89" bestFit="1" customWidth="1"/>
    <col min="14087" max="14087" width="3.33203125" style="89" customWidth="1"/>
    <col min="14088" max="14088" width="20.44140625" style="89" customWidth="1"/>
    <col min="14089" max="14329" width="8.77734375" style="89"/>
    <col min="14330" max="14330" width="54.6640625" style="89" customWidth="1"/>
    <col min="14331" max="14331" width="13.77734375" style="89" customWidth="1"/>
    <col min="14332" max="14332" width="0" style="89" hidden="1" customWidth="1"/>
    <col min="14333" max="14333" width="6.6640625" style="89" customWidth="1"/>
    <col min="14334" max="14334" width="15" style="89" customWidth="1"/>
    <col min="14335" max="14335" width="3.6640625" style="89" bestFit="1" customWidth="1"/>
    <col min="14336" max="14336" width="15.44140625" style="89" bestFit="1" customWidth="1"/>
    <col min="14337" max="14337" width="3.77734375" style="89" customWidth="1"/>
    <col min="14338" max="14338" width="11.21875" style="89" bestFit="1" customWidth="1"/>
    <col min="14339" max="14339" width="3.6640625" style="89" customWidth="1"/>
    <col min="14340" max="14340" width="13.5546875" style="89" customWidth="1"/>
    <col min="14341" max="14341" width="1" style="89" customWidth="1"/>
    <col min="14342" max="14342" width="14.21875" style="89" bestFit="1" customWidth="1"/>
    <col min="14343" max="14343" width="3.33203125" style="89" customWidth="1"/>
    <col min="14344" max="14344" width="20.44140625" style="89" customWidth="1"/>
    <col min="14345" max="14585" width="8.77734375" style="89"/>
    <col min="14586" max="14586" width="54.6640625" style="89" customWidth="1"/>
    <col min="14587" max="14587" width="13.77734375" style="89" customWidth="1"/>
    <col min="14588" max="14588" width="0" style="89" hidden="1" customWidth="1"/>
    <col min="14589" max="14589" width="6.6640625" style="89" customWidth="1"/>
    <col min="14590" max="14590" width="15" style="89" customWidth="1"/>
    <col min="14591" max="14591" width="3.6640625" style="89" bestFit="1" customWidth="1"/>
    <col min="14592" max="14592" width="15.44140625" style="89" bestFit="1" customWidth="1"/>
    <col min="14593" max="14593" width="3.77734375" style="89" customWidth="1"/>
    <col min="14594" max="14594" width="11.21875" style="89" bestFit="1" customWidth="1"/>
    <col min="14595" max="14595" width="3.6640625" style="89" customWidth="1"/>
    <col min="14596" max="14596" width="13.5546875" style="89" customWidth="1"/>
    <col min="14597" max="14597" width="1" style="89" customWidth="1"/>
    <col min="14598" max="14598" width="14.21875" style="89" bestFit="1" customWidth="1"/>
    <col min="14599" max="14599" width="3.33203125" style="89" customWidth="1"/>
    <col min="14600" max="14600" width="20.44140625" style="89" customWidth="1"/>
    <col min="14601" max="14841" width="8.77734375" style="89"/>
    <col min="14842" max="14842" width="54.6640625" style="89" customWidth="1"/>
    <col min="14843" max="14843" width="13.77734375" style="89" customWidth="1"/>
    <col min="14844" max="14844" width="0" style="89" hidden="1" customWidth="1"/>
    <col min="14845" max="14845" width="6.6640625" style="89" customWidth="1"/>
    <col min="14846" max="14846" width="15" style="89" customWidth="1"/>
    <col min="14847" max="14847" width="3.6640625" style="89" bestFit="1" customWidth="1"/>
    <col min="14848" max="14848" width="15.44140625" style="89" bestFit="1" customWidth="1"/>
    <col min="14849" max="14849" width="3.77734375" style="89" customWidth="1"/>
    <col min="14850" max="14850" width="11.21875" style="89" bestFit="1" customWidth="1"/>
    <col min="14851" max="14851" width="3.6640625" style="89" customWidth="1"/>
    <col min="14852" max="14852" width="13.5546875" style="89" customWidth="1"/>
    <col min="14853" max="14853" width="1" style="89" customWidth="1"/>
    <col min="14854" max="14854" width="14.21875" style="89" bestFit="1" customWidth="1"/>
    <col min="14855" max="14855" width="3.33203125" style="89" customWidth="1"/>
    <col min="14856" max="14856" width="20.44140625" style="89" customWidth="1"/>
    <col min="14857" max="15097" width="8.77734375" style="89"/>
    <col min="15098" max="15098" width="54.6640625" style="89" customWidth="1"/>
    <col min="15099" max="15099" width="13.77734375" style="89" customWidth="1"/>
    <col min="15100" max="15100" width="0" style="89" hidden="1" customWidth="1"/>
    <col min="15101" max="15101" width="6.6640625" style="89" customWidth="1"/>
    <col min="15102" max="15102" width="15" style="89" customWidth="1"/>
    <col min="15103" max="15103" width="3.6640625" style="89" bestFit="1" customWidth="1"/>
    <col min="15104" max="15104" width="15.44140625" style="89" bestFit="1" customWidth="1"/>
    <col min="15105" max="15105" width="3.77734375" style="89" customWidth="1"/>
    <col min="15106" max="15106" width="11.21875" style="89" bestFit="1" customWidth="1"/>
    <col min="15107" max="15107" width="3.6640625" style="89" customWidth="1"/>
    <col min="15108" max="15108" width="13.5546875" style="89" customWidth="1"/>
    <col min="15109" max="15109" width="1" style="89" customWidth="1"/>
    <col min="15110" max="15110" width="14.21875" style="89" bestFit="1" customWidth="1"/>
    <col min="15111" max="15111" width="3.33203125" style="89" customWidth="1"/>
    <col min="15112" max="15112" width="20.44140625" style="89" customWidth="1"/>
    <col min="15113" max="15353" width="8.77734375" style="89"/>
    <col min="15354" max="15354" width="54.6640625" style="89" customWidth="1"/>
    <col min="15355" max="15355" width="13.77734375" style="89" customWidth="1"/>
    <col min="15356" max="15356" width="0" style="89" hidden="1" customWidth="1"/>
    <col min="15357" max="15357" width="6.6640625" style="89" customWidth="1"/>
    <col min="15358" max="15358" width="15" style="89" customWidth="1"/>
    <col min="15359" max="15359" width="3.6640625" style="89" bestFit="1" customWidth="1"/>
    <col min="15360" max="15360" width="15.44140625" style="89" bestFit="1" customWidth="1"/>
    <col min="15361" max="15361" width="3.77734375" style="89" customWidth="1"/>
    <col min="15362" max="15362" width="11.21875" style="89" bestFit="1" customWidth="1"/>
    <col min="15363" max="15363" width="3.6640625" style="89" customWidth="1"/>
    <col min="15364" max="15364" width="13.5546875" style="89" customWidth="1"/>
    <col min="15365" max="15365" width="1" style="89" customWidth="1"/>
    <col min="15366" max="15366" width="14.21875" style="89" bestFit="1" customWidth="1"/>
    <col min="15367" max="15367" width="3.33203125" style="89" customWidth="1"/>
    <col min="15368" max="15368" width="20.44140625" style="89" customWidth="1"/>
    <col min="15369" max="15609" width="8.77734375" style="89"/>
    <col min="15610" max="15610" width="54.6640625" style="89" customWidth="1"/>
    <col min="15611" max="15611" width="13.77734375" style="89" customWidth="1"/>
    <col min="15612" max="15612" width="0" style="89" hidden="1" customWidth="1"/>
    <col min="15613" max="15613" width="6.6640625" style="89" customWidth="1"/>
    <col min="15614" max="15614" width="15" style="89" customWidth="1"/>
    <col min="15615" max="15615" width="3.6640625" style="89" bestFit="1" customWidth="1"/>
    <col min="15616" max="15616" width="15.44140625" style="89" bestFit="1" customWidth="1"/>
    <col min="15617" max="15617" width="3.77734375" style="89" customWidth="1"/>
    <col min="15618" max="15618" width="11.21875" style="89" bestFit="1" customWidth="1"/>
    <col min="15619" max="15619" width="3.6640625" style="89" customWidth="1"/>
    <col min="15620" max="15620" width="13.5546875" style="89" customWidth="1"/>
    <col min="15621" max="15621" width="1" style="89" customWidth="1"/>
    <col min="15622" max="15622" width="14.21875" style="89" bestFit="1" customWidth="1"/>
    <col min="15623" max="15623" width="3.33203125" style="89" customWidth="1"/>
    <col min="15624" max="15624" width="20.44140625" style="89" customWidth="1"/>
    <col min="15625" max="15865" width="8.77734375" style="89"/>
    <col min="15866" max="15866" width="54.6640625" style="89" customWidth="1"/>
    <col min="15867" max="15867" width="13.77734375" style="89" customWidth="1"/>
    <col min="15868" max="15868" width="0" style="89" hidden="1" customWidth="1"/>
    <col min="15869" max="15869" width="6.6640625" style="89" customWidth="1"/>
    <col min="15870" max="15870" width="15" style="89" customWidth="1"/>
    <col min="15871" max="15871" width="3.6640625" style="89" bestFit="1" customWidth="1"/>
    <col min="15872" max="15872" width="15.44140625" style="89" bestFit="1" customWidth="1"/>
    <col min="15873" max="15873" width="3.77734375" style="89" customWidth="1"/>
    <col min="15874" max="15874" width="11.21875" style="89" bestFit="1" customWidth="1"/>
    <col min="15875" max="15875" width="3.6640625" style="89" customWidth="1"/>
    <col min="15876" max="15876" width="13.5546875" style="89" customWidth="1"/>
    <col min="15877" max="15877" width="1" style="89" customWidth="1"/>
    <col min="15878" max="15878" width="14.21875" style="89" bestFit="1" customWidth="1"/>
    <col min="15879" max="15879" width="3.33203125" style="89" customWidth="1"/>
    <col min="15880" max="15880" width="20.44140625" style="89" customWidth="1"/>
    <col min="15881" max="16121" width="8.77734375" style="89"/>
    <col min="16122" max="16122" width="54.6640625" style="89" customWidth="1"/>
    <col min="16123" max="16123" width="13.77734375" style="89" customWidth="1"/>
    <col min="16124" max="16124" width="0" style="89" hidden="1" customWidth="1"/>
    <col min="16125" max="16125" width="6.6640625" style="89" customWidth="1"/>
    <col min="16126" max="16126" width="15" style="89" customWidth="1"/>
    <col min="16127" max="16127" width="3.6640625" style="89" bestFit="1" customWidth="1"/>
    <col min="16128" max="16128" width="15.44140625" style="89" bestFit="1" customWidth="1"/>
    <col min="16129" max="16129" width="3.77734375" style="89" customWidth="1"/>
    <col min="16130" max="16130" width="11.21875" style="89" bestFit="1" customWidth="1"/>
    <col min="16131" max="16131" width="3.6640625" style="89" customWidth="1"/>
    <col min="16132" max="16132" width="13.5546875" style="89" customWidth="1"/>
    <col min="16133" max="16133" width="1" style="89" customWidth="1"/>
    <col min="16134" max="16134" width="14.21875" style="89" bestFit="1" customWidth="1"/>
    <col min="16135" max="16135" width="3.33203125" style="89" customWidth="1"/>
    <col min="16136" max="16136" width="20.44140625" style="89" customWidth="1"/>
    <col min="16137" max="16376" width="8.77734375" style="89"/>
    <col min="16377" max="16384" width="8.77734375" style="89" customWidth="1"/>
  </cols>
  <sheetData>
    <row r="1" spans="1:19" s="177" customFormat="1" ht="15" customHeight="1">
      <c r="A1" s="438"/>
      <c r="B1" s="1"/>
      <c r="C1" s="1"/>
      <c r="D1" s="1"/>
      <c r="E1" s="1"/>
      <c r="F1" s="689"/>
      <c r="G1" s="338" t="str">
        <f>EKPC!J1</f>
        <v>Attachment H-24A</v>
      </c>
      <c r="H1" s="333"/>
      <c r="K1"/>
      <c r="L1"/>
      <c r="M1"/>
      <c r="N1"/>
      <c r="O1"/>
      <c r="P1"/>
      <c r="Q1"/>
      <c r="R1"/>
      <c r="S1"/>
    </row>
    <row r="2" spans="1:19" s="177" customFormat="1" ht="15" customHeight="1">
      <c r="A2" s="438"/>
      <c r="B2" s="1"/>
      <c r="C2" s="1"/>
      <c r="D2" s="1"/>
      <c r="E2" s="1"/>
      <c r="F2" s="689"/>
      <c r="G2" s="168" t="s">
        <v>554</v>
      </c>
      <c r="H2" s="326"/>
      <c r="K2"/>
      <c r="L2"/>
      <c r="M2"/>
      <c r="N2"/>
      <c r="O2"/>
      <c r="P2"/>
      <c r="Q2"/>
      <c r="R2"/>
      <c r="S2"/>
    </row>
    <row r="3" spans="1:19" s="177" customFormat="1" ht="15.75">
      <c r="A3" s="438"/>
      <c r="B3" s="569"/>
      <c r="C3" s="569"/>
      <c r="D3" s="17"/>
      <c r="E3" s="17"/>
      <c r="F3" s="689"/>
      <c r="G3" s="509" t="s">
        <v>377</v>
      </c>
      <c r="H3" s="326"/>
      <c r="K3"/>
      <c r="L3"/>
      <c r="M3"/>
      <c r="N3"/>
      <c r="O3"/>
      <c r="P3"/>
      <c r="Q3"/>
      <c r="R3"/>
      <c r="S3"/>
    </row>
    <row r="4" spans="1:19" s="177" customFormat="1" ht="15.75">
      <c r="A4" s="438"/>
      <c r="B4" s="16"/>
      <c r="C4" s="16"/>
      <c r="D4" s="17"/>
      <c r="E4" s="17"/>
      <c r="F4" s="689"/>
      <c r="G4" s="168" t="str">
        <f>EKPC!$J$124</f>
        <v>For the 12 months ended 12/31/2015</v>
      </c>
      <c r="H4" s="326"/>
      <c r="K4"/>
      <c r="L4"/>
      <c r="M4"/>
      <c r="N4"/>
      <c r="O4"/>
      <c r="P4"/>
      <c r="Q4"/>
      <c r="R4"/>
      <c r="S4"/>
    </row>
    <row r="5" spans="1:19" ht="15.75">
      <c r="A5" s="438"/>
      <c r="B5" s="16"/>
      <c r="C5" s="16"/>
      <c r="D5" s="17"/>
      <c r="E5" s="17"/>
      <c r="F5" s="168"/>
      <c r="G5" s="690"/>
      <c r="K5"/>
      <c r="L5"/>
      <c r="M5"/>
      <c r="N5"/>
      <c r="O5"/>
      <c r="P5"/>
      <c r="Q5"/>
      <c r="R5"/>
      <c r="S5"/>
    </row>
    <row r="6" spans="1:19" ht="15">
      <c r="A6" s="438"/>
      <c r="B6" s="787" t="str">
        <f>EKPC!A11</f>
        <v>East Kentucky Power Cooperative, Inc.</v>
      </c>
      <c r="C6" s="787"/>
      <c r="D6" s="787"/>
      <c r="E6" s="787"/>
      <c r="F6" s="787"/>
      <c r="G6" s="509"/>
      <c r="J6" s="738"/>
      <c r="K6"/>
      <c r="L6"/>
      <c r="M6"/>
      <c r="N6"/>
      <c r="O6"/>
      <c r="P6"/>
      <c r="Q6"/>
      <c r="R6"/>
      <c r="S6"/>
    </row>
    <row r="7" spans="1:19" ht="15">
      <c r="A7" s="438"/>
      <c r="B7" s="787" t="str">
        <f>EKPC!A9</f>
        <v>Utilizing EKPC 2015 Form FF1 Data (ver.FINAL AUDITED)</v>
      </c>
      <c r="C7" s="787"/>
      <c r="D7" s="787"/>
      <c r="E7" s="787"/>
      <c r="F7" s="787"/>
      <c r="G7" s="509"/>
      <c r="K7"/>
      <c r="L7"/>
      <c r="M7"/>
      <c r="N7"/>
      <c r="O7"/>
      <c r="P7"/>
      <c r="Q7"/>
      <c r="R7"/>
      <c r="S7"/>
    </row>
    <row r="8" spans="1:19" ht="15">
      <c r="A8" s="690"/>
      <c r="B8" s="690"/>
      <c r="C8" s="690"/>
      <c r="D8" s="691"/>
      <c r="E8" s="690"/>
      <c r="F8" s="690"/>
      <c r="G8" s="509"/>
      <c r="K8"/>
      <c r="L8"/>
      <c r="M8"/>
      <c r="N8"/>
      <c r="O8"/>
      <c r="P8"/>
      <c r="Q8"/>
      <c r="R8"/>
      <c r="S8"/>
    </row>
    <row r="9" spans="1:19" ht="15">
      <c r="A9" s="798" t="s">
        <v>3</v>
      </c>
      <c r="B9" s="798"/>
      <c r="C9" s="798"/>
      <c r="D9" s="798"/>
      <c r="E9" s="798"/>
      <c r="F9" s="798"/>
      <c r="G9" s="601"/>
      <c r="H9" s="334"/>
      <c r="K9"/>
      <c r="L9"/>
      <c r="M9"/>
      <c r="N9"/>
      <c r="O9"/>
      <c r="P9"/>
      <c r="Q9"/>
      <c r="R9"/>
      <c r="S9"/>
    </row>
    <row r="10" spans="1:19" ht="15">
      <c r="A10" s="786" t="str">
        <f>CONCATENATE("As of December 31, ",TEXT(RIGHT(EKPC!J7,10),"YYYY"))</f>
        <v>As of December 31, 2015</v>
      </c>
      <c r="B10" s="786"/>
      <c r="C10" s="786"/>
      <c r="D10" s="786"/>
      <c r="E10" s="786"/>
      <c r="F10" s="786"/>
      <c r="G10" s="602"/>
      <c r="H10" s="335"/>
      <c r="K10"/>
      <c r="L10"/>
      <c r="M10"/>
      <c r="N10"/>
      <c r="O10"/>
      <c r="P10"/>
      <c r="Q10"/>
      <c r="R10"/>
      <c r="S10"/>
    </row>
    <row r="11" spans="1:19" ht="15">
      <c r="A11" s="799" t="s">
        <v>214</v>
      </c>
      <c r="B11" s="799"/>
      <c r="C11" s="799"/>
      <c r="D11" s="799"/>
      <c r="E11" s="799"/>
      <c r="F11" s="799"/>
      <c r="G11" s="692"/>
      <c r="H11" s="483"/>
      <c r="K11"/>
      <c r="L11"/>
      <c r="M11"/>
      <c r="N11"/>
      <c r="O11"/>
      <c r="P11"/>
      <c r="Q11"/>
      <c r="R11"/>
      <c r="S11"/>
    </row>
    <row r="12" spans="1:19" ht="15">
      <c r="A12" s="692"/>
      <c r="B12" s="692"/>
      <c r="C12" s="692"/>
      <c r="D12" s="692"/>
      <c r="E12" s="692"/>
      <c r="F12" s="692"/>
      <c r="G12" s="1"/>
      <c r="H12" s="484"/>
      <c r="I12" s="484"/>
      <c r="K12"/>
      <c r="L12"/>
      <c r="M12"/>
      <c r="N12"/>
      <c r="O12"/>
      <c r="P12"/>
      <c r="Q12"/>
      <c r="R12"/>
      <c r="S12"/>
    </row>
    <row r="13" spans="1:19" ht="15">
      <c r="A13" s="690"/>
      <c r="B13" s="690"/>
      <c r="C13" s="690"/>
      <c r="D13" s="691"/>
      <c r="E13" s="690"/>
      <c r="F13" s="690"/>
      <c r="G13" s="1"/>
      <c r="H13" s="484"/>
      <c r="I13" s="484"/>
      <c r="K13"/>
      <c r="L13"/>
      <c r="M13"/>
      <c r="N13"/>
      <c r="O13"/>
      <c r="P13"/>
      <c r="Q13"/>
      <c r="R13"/>
      <c r="S13"/>
    </row>
    <row r="14" spans="1:19" ht="15">
      <c r="A14" s="312" t="s">
        <v>6</v>
      </c>
      <c r="B14" s="313"/>
      <c r="C14" s="313"/>
      <c r="D14" s="313"/>
      <c r="E14" s="313"/>
      <c r="F14" s="313"/>
      <c r="G14" s="1"/>
      <c r="H14" s="484"/>
      <c r="I14" s="484"/>
      <c r="K14"/>
      <c r="L14"/>
      <c r="M14"/>
      <c r="N14"/>
      <c r="O14"/>
      <c r="P14"/>
      <c r="Q14"/>
      <c r="R14"/>
      <c r="S14"/>
    </row>
    <row r="15" spans="1:19" ht="15">
      <c r="A15" s="314" t="s">
        <v>8</v>
      </c>
      <c r="B15" s="315" t="s">
        <v>306</v>
      </c>
      <c r="C15" s="313"/>
      <c r="D15" s="316"/>
      <c r="E15" s="167"/>
      <c r="F15" s="313"/>
      <c r="G15" s="1"/>
      <c r="H15" s="484"/>
      <c r="I15" s="484"/>
      <c r="K15"/>
      <c r="L15"/>
      <c r="M15"/>
      <c r="N15"/>
      <c r="O15"/>
      <c r="P15"/>
      <c r="Q15"/>
      <c r="R15"/>
      <c r="S15"/>
    </row>
    <row r="16" spans="1:19" ht="15">
      <c r="A16" s="312"/>
      <c r="B16" s="313"/>
      <c r="C16" s="316"/>
      <c r="D16" s="316"/>
      <c r="E16" s="317"/>
      <c r="F16" s="313"/>
      <c r="G16" s="1"/>
      <c r="H16" s="484"/>
      <c r="I16" s="484"/>
      <c r="K16"/>
      <c r="L16"/>
      <c r="M16"/>
      <c r="N16"/>
      <c r="O16"/>
      <c r="P16"/>
      <c r="Q16"/>
      <c r="R16"/>
      <c r="S16"/>
    </row>
    <row r="17" spans="1:22" ht="15.75">
      <c r="A17" s="312"/>
      <c r="B17" s="797" t="s">
        <v>346</v>
      </c>
      <c r="C17" s="797"/>
      <c r="D17" s="316"/>
      <c r="E17" s="317"/>
      <c r="F17" s="313"/>
      <c r="G17" s="1"/>
      <c r="H17" s="484"/>
      <c r="I17" s="484"/>
    </row>
    <row r="18" spans="1:22" ht="15">
      <c r="A18" s="312">
        <v>1</v>
      </c>
      <c r="B18" s="572" t="s">
        <v>426</v>
      </c>
      <c r="C18" s="757">
        <v>113258537</v>
      </c>
      <c r="D18" s="317"/>
      <c r="E18" s="317"/>
      <c r="F18" s="313"/>
      <c r="G18" s="1"/>
      <c r="H18" s="484"/>
      <c r="I18" s="484"/>
    </row>
    <row r="19" spans="1:22" ht="15">
      <c r="A19" s="312">
        <f>A18+1</f>
        <v>2</v>
      </c>
      <c r="B19" s="572" t="s">
        <v>427</v>
      </c>
      <c r="C19" s="757">
        <v>2531045666</v>
      </c>
      <c r="D19" s="317"/>
      <c r="E19" s="317"/>
      <c r="F19" s="313"/>
      <c r="G19" s="1"/>
      <c r="H19" s="484"/>
      <c r="I19" s="484"/>
    </row>
    <row r="20" spans="1:22" ht="15.75">
      <c r="A20" s="312">
        <f>A19+1</f>
        <v>3</v>
      </c>
      <c r="B20" s="506" t="s">
        <v>347</v>
      </c>
      <c r="C20" s="687">
        <f>C18/C19</f>
        <v>4.4747725622426598E-2</v>
      </c>
      <c r="D20" s="317"/>
      <c r="E20" s="317"/>
      <c r="F20" s="313"/>
      <c r="G20" s="1"/>
      <c r="H20" s="484"/>
      <c r="I20" s="484"/>
    </row>
    <row r="21" spans="1:22" ht="15">
      <c r="A21" s="312"/>
      <c r="B21" s="572"/>
      <c r="C21" s="167"/>
      <c r="D21" s="317"/>
      <c r="E21" s="317"/>
      <c r="F21" s="313"/>
      <c r="G21" s="1"/>
      <c r="H21" s="484"/>
      <c r="I21" s="484"/>
    </row>
    <row r="22" spans="1:22" ht="15.75">
      <c r="A22" s="312"/>
      <c r="B22" s="795" t="s">
        <v>386</v>
      </c>
      <c r="C22" s="795"/>
      <c r="D22" s="313"/>
      <c r="E22" s="313"/>
      <c r="F22" s="313"/>
      <c r="G22" s="1"/>
      <c r="H22" s="484"/>
      <c r="I22" s="484"/>
    </row>
    <row r="23" spans="1:22" s="91" customFormat="1" ht="15.75">
      <c r="A23" s="693"/>
      <c r="B23" s="693"/>
      <c r="C23" s="39" t="s">
        <v>348</v>
      </c>
      <c r="D23" s="318" t="s">
        <v>349</v>
      </c>
      <c r="E23" s="318" t="s">
        <v>428</v>
      </c>
      <c r="F23" s="318" t="s">
        <v>350</v>
      </c>
      <c r="G23" s="1"/>
      <c r="H23" s="484"/>
      <c r="I23" s="484"/>
    </row>
    <row r="24" spans="1:22" ht="15">
      <c r="A24" s="312">
        <f>A20+1</f>
        <v>4</v>
      </c>
      <c r="B24" s="572" t="s">
        <v>351</v>
      </c>
      <c r="C24" s="717">
        <f>C19</f>
        <v>2531045666</v>
      </c>
      <c r="D24" s="357">
        <f>C24/C26</f>
        <v>0.83176198637998977</v>
      </c>
      <c r="E24" s="319">
        <f>C20</f>
        <v>4.4747725622426598E-2</v>
      </c>
      <c r="F24" s="358">
        <f>D24*E24</f>
        <v>3.7219457149696308E-2</v>
      </c>
      <c r="G24" s="1"/>
      <c r="H24" s="484"/>
      <c r="I24" s="484"/>
      <c r="L24" s="484"/>
      <c r="M24" s="484"/>
      <c r="N24" s="484"/>
      <c r="O24" s="484"/>
      <c r="P24" s="484"/>
      <c r="Q24" s="484"/>
      <c r="R24" s="484"/>
      <c r="S24" s="484"/>
      <c r="T24" s="484"/>
      <c r="U24" s="484"/>
      <c r="V24" s="484"/>
    </row>
    <row r="25" spans="1:22" ht="15.75" thickBot="1">
      <c r="A25" s="312">
        <f t="shared" ref="A25:A26" si="0">A24+1</f>
        <v>5</v>
      </c>
      <c r="B25" s="589" t="s">
        <v>423</v>
      </c>
      <c r="C25" s="758">
        <v>511947050</v>
      </c>
      <c r="D25" s="357">
        <f>C25/C26</f>
        <v>0.16823801362001026</v>
      </c>
      <c r="E25" s="485">
        <f>((C20*J28)-F24)/D25</f>
        <v>0.17773706810092191</v>
      </c>
      <c r="F25" s="359">
        <f>D25*E25</f>
        <v>2.9902131283943589E-2</v>
      </c>
      <c r="G25" s="569"/>
      <c r="H25" s="484"/>
      <c r="I25" s="484"/>
      <c r="J25" s="484"/>
      <c r="L25" s="484"/>
      <c r="M25" s="484"/>
      <c r="N25" s="484"/>
      <c r="O25" s="484"/>
      <c r="P25" s="484"/>
      <c r="Q25" s="484"/>
      <c r="R25" s="484"/>
      <c r="S25" s="484"/>
      <c r="T25" s="484"/>
      <c r="U25" s="484"/>
      <c r="V25" s="484"/>
    </row>
    <row r="26" spans="1:22" s="91" customFormat="1" ht="21" customHeight="1" thickTop="1">
      <c r="A26" s="312">
        <f t="shared" si="0"/>
        <v>6</v>
      </c>
      <c r="B26" s="589" t="s">
        <v>387</v>
      </c>
      <c r="C26" s="688">
        <f>C24+C25</f>
        <v>3042992716</v>
      </c>
      <c r="D26" s="694"/>
      <c r="E26" s="694"/>
      <c r="F26" s="394">
        <f>SUM(F24:F25)</f>
        <v>6.7121588433639898E-2</v>
      </c>
      <c r="G26" s="619"/>
      <c r="H26" s="393"/>
      <c r="I26" s="392"/>
      <c r="J26" s="392"/>
      <c r="L26" s="484"/>
      <c r="M26" s="484"/>
      <c r="N26" s="484"/>
      <c r="O26" s="484"/>
      <c r="P26" s="484"/>
      <c r="Q26" s="484"/>
      <c r="R26" s="484"/>
      <c r="S26" s="484"/>
      <c r="T26" s="484"/>
      <c r="U26" s="484"/>
      <c r="V26" s="484"/>
    </row>
    <row r="27" spans="1:22" ht="15.75">
      <c r="A27" s="690"/>
      <c r="B27" s="360"/>
      <c r="C27" s="362"/>
      <c r="D27" s="619"/>
      <c r="E27" s="619"/>
      <c r="F27" s="619"/>
      <c r="G27" s="619"/>
      <c r="H27" s="392"/>
      <c r="I27" s="704"/>
      <c r="J27" s="704"/>
      <c r="L27" s="705"/>
      <c r="M27" s="705"/>
      <c r="N27" s="705"/>
      <c r="O27" s="484"/>
      <c r="P27" s="484"/>
      <c r="Q27" s="484"/>
      <c r="R27" s="484"/>
      <c r="S27" s="484"/>
      <c r="T27" s="484"/>
      <c r="U27" s="484"/>
      <c r="V27" s="484"/>
    </row>
    <row r="28" spans="1:22" ht="15.75">
      <c r="A28" s="312">
        <f>A26+1</f>
        <v>7</v>
      </c>
      <c r="B28" s="600" t="s">
        <v>425</v>
      </c>
      <c r="C28" s="361"/>
      <c r="D28" s="619"/>
      <c r="E28" s="318" t="s">
        <v>389</v>
      </c>
      <c r="F28" s="395">
        <f>F26/E24</f>
        <v>1.5</v>
      </c>
      <c r="G28" s="619"/>
      <c r="H28" s="392"/>
      <c r="I28" s="572" t="s">
        <v>424</v>
      </c>
      <c r="J28" s="572">
        <v>1.5</v>
      </c>
      <c r="L28" s="705"/>
      <c r="M28" s="705"/>
      <c r="N28" s="705"/>
      <c r="O28" s="484"/>
      <c r="P28" s="484"/>
      <c r="Q28" s="484"/>
      <c r="R28" s="484"/>
      <c r="S28" s="484"/>
      <c r="T28" s="484"/>
      <c r="U28" s="484"/>
      <c r="V28" s="484"/>
    </row>
    <row r="29" spans="1:22" ht="15">
      <c r="A29" s="312"/>
      <c r="B29" s="691"/>
      <c r="C29" s="691"/>
      <c r="D29" s="316"/>
      <c r="E29" s="313"/>
      <c r="F29" s="313"/>
      <c r="G29" s="1"/>
      <c r="H29" s="484"/>
      <c r="I29" s="705"/>
      <c r="L29" s="705"/>
      <c r="M29" s="705"/>
      <c r="N29" s="705"/>
      <c r="O29" s="484"/>
      <c r="P29" s="484"/>
      <c r="Q29" s="484"/>
      <c r="R29" s="484"/>
      <c r="S29" s="484"/>
      <c r="T29" s="484"/>
      <c r="U29" s="484"/>
      <c r="V29" s="484"/>
    </row>
    <row r="30" spans="1:22" ht="15.75">
      <c r="A30" s="691"/>
      <c r="B30" s="796"/>
      <c r="C30" s="796"/>
      <c r="D30" s="691"/>
      <c r="E30" s="691"/>
      <c r="F30" s="690"/>
      <c r="G30" s="1"/>
      <c r="H30" s="484"/>
      <c r="I30" s="705" t="s">
        <v>527</v>
      </c>
      <c r="L30" s="705"/>
      <c r="M30" s="705"/>
      <c r="N30" s="705"/>
      <c r="O30" s="484"/>
      <c r="P30" s="484"/>
      <c r="Q30" s="484"/>
      <c r="R30" s="484"/>
      <c r="S30" s="484"/>
      <c r="T30" s="484"/>
      <c r="U30" s="484"/>
      <c r="V30" s="484"/>
    </row>
    <row r="31" spans="1:22" ht="15.75">
      <c r="A31" s="316"/>
      <c r="B31" s="615" t="s">
        <v>144</v>
      </c>
      <c r="C31" s="616"/>
      <c r="D31" s="616"/>
      <c r="E31" s="616"/>
      <c r="F31" s="619"/>
      <c r="G31" s="619"/>
      <c r="H31" s="392"/>
      <c r="I31" s="577" t="s">
        <v>614</v>
      </c>
      <c r="L31" s="705"/>
      <c r="M31" s="705"/>
      <c r="N31" s="705"/>
      <c r="O31" s="484"/>
      <c r="P31" s="484"/>
      <c r="Q31" s="484"/>
      <c r="R31" s="484"/>
      <c r="S31" s="484"/>
      <c r="T31" s="484"/>
      <c r="U31" s="484"/>
      <c r="V31" s="484"/>
    </row>
    <row r="32" spans="1:22" ht="15.75">
      <c r="A32" s="617" t="s">
        <v>429</v>
      </c>
      <c r="B32" s="618" t="s">
        <v>464</v>
      </c>
      <c r="C32" s="619"/>
      <c r="D32" s="619"/>
      <c r="E32" s="619"/>
      <c r="F32" s="619"/>
      <c r="G32" s="619"/>
      <c r="H32" s="392"/>
      <c r="I32" s="705"/>
      <c r="L32" s="705"/>
      <c r="M32" s="705"/>
      <c r="N32" s="705"/>
      <c r="O32" s="484"/>
      <c r="P32" s="484"/>
      <c r="Q32" s="484"/>
      <c r="R32" s="484"/>
      <c r="S32" s="484"/>
      <c r="T32" s="484"/>
      <c r="U32" s="484"/>
      <c r="V32" s="484"/>
    </row>
    <row r="33" spans="1:22" ht="15.75">
      <c r="A33" s="617" t="s">
        <v>430</v>
      </c>
      <c r="B33" s="620" t="str">
        <f>CONCATENATE("EKPC Form FF1 for ",'Appx C - True Up'!K77, " Ref Pg 112, Row 23 Bal at End of Year")</f>
        <v>EKPC Form FF1 for 2015 Ref Pg 112, Row 23 Bal at End of Year</v>
      </c>
      <c r="C33" s="619"/>
      <c r="D33" s="619"/>
      <c r="E33" s="619"/>
      <c r="F33" s="619"/>
      <c r="G33" s="619"/>
      <c r="H33" s="392"/>
      <c r="I33" s="705"/>
      <c r="L33" s="705"/>
      <c r="M33" s="705"/>
      <c r="N33" s="705"/>
      <c r="O33" s="484"/>
      <c r="P33" s="484"/>
      <c r="Q33" s="484"/>
      <c r="R33" s="484"/>
      <c r="S33" s="484"/>
      <c r="T33" s="484"/>
      <c r="U33" s="484"/>
      <c r="V33" s="484"/>
    </row>
    <row r="34" spans="1:22" ht="15.75">
      <c r="A34" s="617" t="s">
        <v>431</v>
      </c>
      <c r="B34" s="620" t="str">
        <f>CONCATENATE("EKPC Form FF1 for ",'Appx C - True Up'!K77, " Ref Pg 112, Row 15 Bal at End of Year")</f>
        <v>EKPC Form FF1 for 2015 Ref Pg 112, Row 15 Bal at End of Year</v>
      </c>
      <c r="C34" s="619"/>
      <c r="D34" s="619"/>
      <c r="E34" s="619"/>
      <c r="F34" s="619"/>
      <c r="G34" s="619"/>
      <c r="H34" s="392"/>
      <c r="I34" s="705"/>
      <c r="L34" s="705"/>
      <c r="M34" s="705"/>
      <c r="N34" s="705"/>
      <c r="O34" s="484"/>
      <c r="P34" s="484"/>
      <c r="Q34" s="484"/>
      <c r="R34" s="484"/>
      <c r="S34" s="484"/>
      <c r="T34" s="484"/>
      <c r="U34" s="484"/>
      <c r="V34" s="484"/>
    </row>
    <row r="35" spans="1:22" ht="15">
      <c r="A35" s="617" t="s">
        <v>432</v>
      </c>
      <c r="B35" s="620" t="str">
        <f>CONCATENATE(I30, TEXT(J28,"#.00"),". ",I31)</f>
        <v>Proprietary Capital Cost calculated to achieve TIER of 1.50.  TIER value approved by KPSC in Case No. 2010-000167</v>
      </c>
      <c r="C35" s="313"/>
      <c r="D35" s="313"/>
      <c r="E35" s="313"/>
      <c r="F35" s="695"/>
      <c r="G35" s="1"/>
      <c r="H35" s="484"/>
      <c r="I35" s="484"/>
      <c r="L35" s="484"/>
      <c r="M35" s="484"/>
      <c r="N35" s="484"/>
      <c r="O35" s="484"/>
      <c r="P35" s="484"/>
      <c r="Q35" s="484"/>
      <c r="R35" s="484"/>
      <c r="S35" s="484"/>
      <c r="T35" s="484"/>
      <c r="U35" s="484"/>
      <c r="V35" s="484"/>
    </row>
    <row r="36" spans="1:22" ht="15">
      <c r="A36" s="316"/>
      <c r="B36" s="316"/>
      <c r="C36" s="316"/>
      <c r="D36" s="316"/>
      <c r="E36" s="313"/>
      <c r="F36" s="313"/>
      <c r="G36" s="1"/>
      <c r="H36" s="484"/>
      <c r="I36" s="484"/>
      <c r="L36" s="484"/>
      <c r="M36" s="484"/>
      <c r="N36" s="484"/>
      <c r="O36" s="484"/>
      <c r="P36" s="484"/>
      <c r="Q36" s="484"/>
      <c r="R36" s="484"/>
      <c r="S36" s="484"/>
      <c r="T36" s="484"/>
      <c r="U36" s="484"/>
      <c r="V36" s="484"/>
    </row>
    <row r="37" spans="1:22" ht="15">
      <c r="A37" s="90"/>
      <c r="B37" s="90"/>
      <c r="C37" s="90"/>
      <c r="D37" s="316"/>
      <c r="E37" s="313"/>
      <c r="F37" s="313"/>
      <c r="G37" s="1"/>
      <c r="H37" s="484"/>
      <c r="I37" s="484"/>
      <c r="L37" s="484"/>
      <c r="M37" s="484"/>
      <c r="N37" s="484"/>
      <c r="O37" s="484"/>
      <c r="P37" s="484"/>
      <c r="Q37" s="484"/>
      <c r="R37" s="484"/>
      <c r="S37" s="484"/>
      <c r="T37" s="484"/>
      <c r="U37" s="484"/>
      <c r="V37" s="484"/>
    </row>
    <row r="38" spans="1:22" ht="15">
      <c r="D38" s="313"/>
      <c r="E38" s="313"/>
      <c r="F38" s="313"/>
      <c r="G38" s="1"/>
      <c r="H38" s="484"/>
      <c r="I38" s="484"/>
    </row>
    <row r="39" spans="1:22" ht="15">
      <c r="D39" s="313"/>
      <c r="E39" s="313"/>
      <c r="F39" s="313"/>
      <c r="G39" s="1"/>
      <c r="H39" s="484"/>
      <c r="I39" s="484"/>
    </row>
    <row r="40" spans="1:22" ht="15">
      <c r="E40" s="93"/>
      <c r="F40" s="93"/>
      <c r="G40" s="484"/>
      <c r="H40" s="484"/>
      <c r="I40" s="484"/>
    </row>
    <row r="41" spans="1:22" ht="15">
      <c r="G41" s="484"/>
      <c r="H41" s="484"/>
      <c r="I41" s="484"/>
    </row>
    <row r="42" spans="1:22" ht="15">
      <c r="A42" s="92"/>
      <c r="G42" s="484"/>
      <c r="H42" s="484"/>
      <c r="I42" s="484"/>
    </row>
    <row r="44" spans="1:22">
      <c r="A44" s="183"/>
    </row>
    <row r="45" spans="1:22">
      <c r="A45" s="183"/>
    </row>
    <row r="46" spans="1:22">
      <c r="A46" s="183"/>
    </row>
    <row r="47" spans="1:22">
      <c r="A47" s="183"/>
    </row>
    <row r="48" spans="1:22">
      <c r="A48" s="183"/>
    </row>
  </sheetData>
  <mergeCells count="8">
    <mergeCell ref="B6:F6"/>
    <mergeCell ref="B7:F7"/>
    <mergeCell ref="B22:C22"/>
    <mergeCell ref="B30:C30"/>
    <mergeCell ref="B17:C17"/>
    <mergeCell ref="A9:F9"/>
    <mergeCell ref="A10:F10"/>
    <mergeCell ref="A11:F11"/>
  </mergeCells>
  <phoneticPr fontId="21" type="noConversion"/>
  <pageMargins left="0.75" right="0.75" top="1" bottom="1" header="0.5" footer="0.5"/>
  <pageSetup scale="83" orientation="landscape" blackAndWhite="1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S55"/>
  <sheetViews>
    <sheetView zoomScale="80" zoomScaleNormal="80" workbookViewId="0">
      <selection activeCell="Q10" sqref="Q10"/>
    </sheetView>
  </sheetViews>
  <sheetFormatPr defaultColWidth="9.21875" defaultRowHeight="15"/>
  <cols>
    <col min="1" max="1" width="6.44140625" style="569" customWidth="1"/>
    <col min="2" max="2" width="41.6640625" style="569" customWidth="1"/>
    <col min="3" max="14" width="13.6640625" style="569" bestFit="1" customWidth="1"/>
    <col min="15" max="15" width="13.5546875" style="569" bestFit="1" customWidth="1"/>
    <col min="16" max="16" width="12.21875" style="569" customWidth="1"/>
    <col min="17" max="17" width="10.88671875" style="569" bestFit="1" customWidth="1"/>
    <col min="18" max="16384" width="9.21875" style="569"/>
  </cols>
  <sheetData>
    <row r="1" spans="1:19"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  <c r="N1" s="305"/>
      <c r="O1" s="305"/>
      <c r="P1" s="338" t="str">
        <f>EKPC!J1</f>
        <v>Attachment H-24A</v>
      </c>
    </row>
    <row r="2" spans="1:19" ht="20.25">
      <c r="B2" s="332" t="str">
        <f>EKPC!A11</f>
        <v>East Kentucky Power Cooperative, Inc.</v>
      </c>
      <c r="C2" s="305"/>
      <c r="D2" s="305"/>
      <c r="E2" s="305"/>
      <c r="F2" s="305"/>
      <c r="G2" s="305"/>
      <c r="H2" s="305"/>
      <c r="I2" s="305"/>
      <c r="J2" s="305"/>
      <c r="K2" s="305"/>
      <c r="L2" s="305"/>
      <c r="M2" s="305"/>
      <c r="N2" s="305"/>
      <c r="O2" s="305"/>
      <c r="P2" s="168" t="s">
        <v>554</v>
      </c>
    </row>
    <row r="3" spans="1:19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168" t="s">
        <v>378</v>
      </c>
    </row>
    <row r="4" spans="1:19">
      <c r="A4" s="570"/>
      <c r="B4" s="591" t="s">
        <v>593</v>
      </c>
      <c r="C4" s="591"/>
      <c r="D4" s="591"/>
      <c r="E4" s="591"/>
      <c r="F4" s="591"/>
      <c r="G4" s="591"/>
      <c r="H4" s="591"/>
      <c r="I4" s="591"/>
      <c r="J4" s="591"/>
      <c r="K4" s="591"/>
      <c r="L4" s="591"/>
      <c r="M4" s="591"/>
      <c r="N4" s="591"/>
      <c r="O4" s="591"/>
      <c r="P4" s="509" t="str">
        <f>EKPC!$J$124</f>
        <v>For the 12 months ended 12/31/2015</v>
      </c>
    </row>
    <row r="5" spans="1:19">
      <c r="B5" s="738"/>
      <c r="C5" s="4"/>
      <c r="D5" s="4"/>
      <c r="E5" s="4"/>
      <c r="F5" s="595"/>
      <c r="G5" s="4"/>
      <c r="H5" s="4"/>
      <c r="I5" s="4"/>
      <c r="J5" s="4"/>
      <c r="K5" s="4"/>
      <c r="L5" s="4"/>
      <c r="M5" s="4"/>
      <c r="N5" s="595"/>
      <c r="O5" s="97"/>
    </row>
    <row r="8" spans="1:19" ht="17.25">
      <c r="A8" s="329" t="s">
        <v>188</v>
      </c>
      <c r="B8" s="97"/>
      <c r="C8" s="5" t="s">
        <v>136</v>
      </c>
      <c r="D8" s="5" t="s">
        <v>137</v>
      </c>
      <c r="E8" s="5" t="s">
        <v>138</v>
      </c>
      <c r="F8" s="5" t="s">
        <v>139</v>
      </c>
      <c r="G8" s="5" t="s">
        <v>222</v>
      </c>
      <c r="H8" s="5" t="s">
        <v>140</v>
      </c>
      <c r="I8" s="5" t="s">
        <v>223</v>
      </c>
      <c r="J8" s="5" t="s">
        <v>141</v>
      </c>
      <c r="K8" s="5" t="s">
        <v>224</v>
      </c>
      <c r="L8" s="5" t="s">
        <v>225</v>
      </c>
      <c r="M8" s="5" t="s">
        <v>226</v>
      </c>
      <c r="N8" s="5" t="s">
        <v>142</v>
      </c>
      <c r="O8" s="5" t="s">
        <v>10</v>
      </c>
      <c r="P8" s="5" t="s">
        <v>143</v>
      </c>
    </row>
    <row r="9" spans="1:19" ht="17.25">
      <c r="A9" s="329"/>
      <c r="B9" s="97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</row>
    <row r="10" spans="1:19">
      <c r="A10" s="330">
        <v>1</v>
      </c>
      <c r="B10" s="592" t="s">
        <v>579</v>
      </c>
      <c r="C10" s="587">
        <f>C45</f>
        <v>3063487</v>
      </c>
      <c r="D10" s="587">
        <f t="shared" ref="D10:N10" si="0">D45</f>
        <v>3369557</v>
      </c>
      <c r="E10" s="587">
        <f t="shared" si="0"/>
        <v>2774185</v>
      </c>
      <c r="F10" s="587">
        <f t="shared" si="0"/>
        <v>1593483</v>
      </c>
      <c r="G10" s="587">
        <f t="shared" si="0"/>
        <v>1695987</v>
      </c>
      <c r="H10" s="587">
        <f t="shared" si="0"/>
        <v>2054866</v>
      </c>
      <c r="I10" s="587">
        <f t="shared" si="0"/>
        <v>2084894</v>
      </c>
      <c r="J10" s="587">
        <f t="shared" si="0"/>
        <v>2060418</v>
      </c>
      <c r="K10" s="587">
        <f t="shared" si="0"/>
        <v>1998665</v>
      </c>
      <c r="L10" s="587">
        <f t="shared" si="0"/>
        <v>1610733</v>
      </c>
      <c r="M10" s="587">
        <f t="shared" si="0"/>
        <v>2149302</v>
      </c>
      <c r="N10" s="587">
        <f t="shared" si="0"/>
        <v>2041443</v>
      </c>
      <c r="O10" s="349">
        <f>SUM(C10:N10)</f>
        <v>26497020</v>
      </c>
      <c r="P10" s="350">
        <f>ROUND(O10/12,0)</f>
        <v>2208085</v>
      </c>
      <c r="Q10"/>
      <c r="R10" s="470"/>
      <c r="S10"/>
    </row>
    <row r="11" spans="1:19">
      <c r="B11" s="593"/>
      <c r="C11" s="587"/>
      <c r="D11" s="587"/>
      <c r="E11" s="587"/>
      <c r="F11" s="587"/>
      <c r="G11" s="587"/>
      <c r="H11" s="587"/>
      <c r="I11" s="587"/>
      <c r="J11" s="587"/>
      <c r="K11" s="587"/>
      <c r="L11" s="587"/>
      <c r="M11" s="587"/>
      <c r="N11" s="587"/>
      <c r="O11" s="570"/>
      <c r="P11" s="570"/>
      <c r="Q11"/>
    </row>
    <row r="12" spans="1:19">
      <c r="B12" s="593"/>
      <c r="C12" s="570"/>
      <c r="D12" s="570"/>
      <c r="E12" s="570"/>
      <c r="F12" s="570"/>
      <c r="G12" s="570"/>
      <c r="H12" s="570"/>
      <c r="I12" s="570"/>
      <c r="J12" s="570"/>
      <c r="K12" s="570"/>
      <c r="L12" s="570"/>
      <c r="M12" s="570"/>
      <c r="N12" s="570"/>
      <c r="O12" s="570"/>
      <c r="P12" s="570"/>
      <c r="Q12"/>
    </row>
    <row r="13" spans="1:19" ht="17.25">
      <c r="A13" s="331">
        <f>A10+1</f>
        <v>2</v>
      </c>
      <c r="B13" s="592" t="s">
        <v>357</v>
      </c>
      <c r="C13" s="353" t="s">
        <v>136</v>
      </c>
      <c r="D13" s="353" t="s">
        <v>137</v>
      </c>
      <c r="E13" s="353" t="s">
        <v>138</v>
      </c>
      <c r="F13" s="353" t="s">
        <v>139</v>
      </c>
      <c r="G13" s="353" t="s">
        <v>222</v>
      </c>
      <c r="H13" s="353" t="s">
        <v>140</v>
      </c>
      <c r="I13" s="353" t="s">
        <v>223</v>
      </c>
      <c r="J13" s="353" t="s">
        <v>141</v>
      </c>
      <c r="K13" s="353" t="s">
        <v>224</v>
      </c>
      <c r="L13" s="353" t="s">
        <v>225</v>
      </c>
      <c r="M13" s="353" t="s">
        <v>226</v>
      </c>
      <c r="N13" s="353" t="s">
        <v>142</v>
      </c>
      <c r="O13" s="353" t="s">
        <v>10</v>
      </c>
      <c r="P13" s="353" t="s">
        <v>143</v>
      </c>
      <c r="Q13"/>
    </row>
    <row r="14" spans="1:19">
      <c r="A14" s="424">
        <f t="shared" ref="A14:A31" si="1">A13+1</f>
        <v>3</v>
      </c>
      <c r="B14" s="594"/>
      <c r="C14" s="425"/>
      <c r="D14" s="425"/>
      <c r="E14" s="425"/>
      <c r="F14" s="425"/>
      <c r="G14" s="425"/>
      <c r="H14" s="425"/>
      <c r="I14" s="425"/>
      <c r="J14" s="425"/>
      <c r="K14" s="425"/>
      <c r="L14" s="425"/>
      <c r="M14" s="425"/>
      <c r="N14" s="425"/>
      <c r="O14" s="349"/>
      <c r="P14" s="350"/>
      <c r="Q14"/>
    </row>
    <row r="15" spans="1:19">
      <c r="A15" s="330">
        <f t="shared" si="1"/>
        <v>4</v>
      </c>
      <c r="B15" s="592" t="s">
        <v>616</v>
      </c>
      <c r="C15" s="587">
        <v>16961</v>
      </c>
      <c r="D15" s="587">
        <v>17545</v>
      </c>
      <c r="E15" s="587">
        <v>15627</v>
      </c>
      <c r="F15" s="587">
        <v>8970</v>
      </c>
      <c r="G15" s="587">
        <v>15501</v>
      </c>
      <c r="H15" s="587">
        <v>18031</v>
      </c>
      <c r="I15" s="587">
        <v>18547</v>
      </c>
      <c r="J15" s="587">
        <v>18343</v>
      </c>
      <c r="K15" s="587">
        <v>20119</v>
      </c>
      <c r="L15" s="587">
        <v>9218</v>
      </c>
      <c r="M15" s="587">
        <v>10953</v>
      </c>
      <c r="N15" s="587">
        <v>12923</v>
      </c>
      <c r="O15" s="349">
        <f t="shared" ref="O15" si="2">SUM(C15:N15)</f>
        <v>182738</v>
      </c>
      <c r="P15" s="350">
        <f t="shared" ref="P15" si="3">ROUND(O15/12,0)</f>
        <v>15228</v>
      </c>
      <c r="Q15"/>
    </row>
    <row r="16" spans="1:19">
      <c r="A16" s="330">
        <f t="shared" si="1"/>
        <v>5</v>
      </c>
      <c r="B16" s="592" t="s">
        <v>617</v>
      </c>
      <c r="C16" s="705"/>
      <c r="D16" s="705"/>
      <c r="E16" s="705"/>
      <c r="F16" s="705"/>
      <c r="G16" s="705"/>
      <c r="H16" s="705"/>
      <c r="I16" s="705"/>
      <c r="J16" s="705"/>
      <c r="K16" s="705"/>
      <c r="L16" s="705"/>
      <c r="M16" s="705"/>
      <c r="N16" s="705"/>
      <c r="O16" s="570"/>
      <c r="P16" s="570"/>
      <c r="Q16"/>
    </row>
    <row r="17" spans="1:17">
      <c r="A17" s="330">
        <f t="shared" si="1"/>
        <v>6</v>
      </c>
      <c r="B17" s="592" t="s">
        <v>360</v>
      </c>
      <c r="C17" s="587">
        <v>4685.04</v>
      </c>
      <c r="D17" s="587">
        <v>4718.79</v>
      </c>
      <c r="E17" s="587">
        <v>3676.05</v>
      </c>
      <c r="F17" s="587">
        <v>1908.36</v>
      </c>
      <c r="G17" s="587">
        <v>2065.77</v>
      </c>
      <c r="H17" s="587">
        <v>2654.91</v>
      </c>
      <c r="I17" s="587">
        <v>2598.48</v>
      </c>
      <c r="J17" s="587">
        <v>2783.7</v>
      </c>
      <c r="K17" s="587">
        <v>2714.58</v>
      </c>
      <c r="L17" s="587">
        <v>1944</v>
      </c>
      <c r="M17" s="587">
        <v>2530.44</v>
      </c>
      <c r="N17" s="587">
        <v>2661.39</v>
      </c>
      <c r="O17" s="349">
        <f t="shared" ref="O17:O30" si="4">SUM(C17:N17)</f>
        <v>34941.51</v>
      </c>
      <c r="P17" s="350">
        <f t="shared" ref="P17:P31" si="5">ROUND(O17/12,0)</f>
        <v>2912</v>
      </c>
      <c r="Q17"/>
    </row>
    <row r="18" spans="1:17">
      <c r="A18" s="330">
        <f t="shared" si="1"/>
        <v>7</v>
      </c>
      <c r="B18" s="592" t="s">
        <v>361</v>
      </c>
      <c r="C18" s="587">
        <v>8398.08</v>
      </c>
      <c r="D18" s="587">
        <v>9599.0400000000009</v>
      </c>
      <c r="E18" s="587">
        <v>7871.04</v>
      </c>
      <c r="F18" s="587">
        <v>4286.88</v>
      </c>
      <c r="G18" s="587">
        <v>4655.5200000000004</v>
      </c>
      <c r="H18" s="587">
        <v>6380.64</v>
      </c>
      <c r="I18" s="587">
        <v>6396.48</v>
      </c>
      <c r="J18" s="587">
        <v>6259.68</v>
      </c>
      <c r="K18" s="587">
        <v>6422.4</v>
      </c>
      <c r="L18" s="587">
        <v>5060.16</v>
      </c>
      <c r="M18" s="587">
        <v>6580.8</v>
      </c>
      <c r="N18" s="587">
        <v>6225.12</v>
      </c>
      <c r="O18" s="349">
        <f t="shared" si="4"/>
        <v>78135.840000000011</v>
      </c>
      <c r="P18" s="350">
        <f t="shared" si="5"/>
        <v>6511</v>
      </c>
      <c r="Q18"/>
    </row>
    <row r="19" spans="1:17">
      <c r="A19" s="330">
        <f t="shared" si="1"/>
        <v>8</v>
      </c>
      <c r="B19" s="592" t="s">
        <v>362</v>
      </c>
      <c r="C19" s="587">
        <v>6347.52</v>
      </c>
      <c r="D19" s="587">
        <v>6924.96</v>
      </c>
      <c r="E19" s="587">
        <v>5885.28</v>
      </c>
      <c r="F19" s="587">
        <v>2914.56</v>
      </c>
      <c r="G19" s="587">
        <v>3768.48</v>
      </c>
      <c r="H19" s="587">
        <v>4687.2</v>
      </c>
      <c r="I19" s="587">
        <v>4936.32</v>
      </c>
      <c r="J19" s="587">
        <v>4763.5200000000004</v>
      </c>
      <c r="K19" s="587">
        <v>4544.6400000000003</v>
      </c>
      <c r="L19" s="587">
        <v>3052.8</v>
      </c>
      <c r="M19" s="587">
        <v>4222.08</v>
      </c>
      <c r="N19" s="587">
        <v>4135.68</v>
      </c>
      <c r="O19" s="349">
        <f t="shared" si="4"/>
        <v>56183.040000000001</v>
      </c>
      <c r="P19" s="350">
        <f t="shared" si="5"/>
        <v>4682</v>
      </c>
      <c r="Q19"/>
    </row>
    <row r="20" spans="1:17">
      <c r="A20" s="330">
        <f t="shared" si="1"/>
        <v>9</v>
      </c>
      <c r="B20" s="592" t="s">
        <v>363</v>
      </c>
      <c r="C20" s="587">
        <v>3480.48</v>
      </c>
      <c r="D20" s="587">
        <v>3552</v>
      </c>
      <c r="E20" s="587">
        <v>3005.76</v>
      </c>
      <c r="F20" s="587">
        <v>2111.04</v>
      </c>
      <c r="G20" s="587">
        <v>3427.68</v>
      </c>
      <c r="H20" s="587">
        <v>4020.96</v>
      </c>
      <c r="I20" s="587">
        <v>3186.72</v>
      </c>
      <c r="J20" s="587">
        <v>3873.12</v>
      </c>
      <c r="K20" s="587">
        <v>4051.2</v>
      </c>
      <c r="L20" s="587">
        <v>2278.56</v>
      </c>
      <c r="M20" s="587">
        <v>2576.16</v>
      </c>
      <c r="N20" s="587">
        <v>2484</v>
      </c>
      <c r="O20" s="349">
        <f t="shared" si="4"/>
        <v>38047.679999999993</v>
      </c>
      <c r="P20" s="350">
        <f t="shared" si="5"/>
        <v>3171</v>
      </c>
      <c r="Q20"/>
    </row>
    <row r="21" spans="1:17">
      <c r="A21" s="330">
        <f t="shared" si="1"/>
        <v>10</v>
      </c>
      <c r="B21" s="592" t="s">
        <v>364</v>
      </c>
      <c r="C21" s="587">
        <v>178.56</v>
      </c>
      <c r="D21" s="587">
        <v>179.28</v>
      </c>
      <c r="E21" s="587">
        <v>166.32</v>
      </c>
      <c r="F21" s="587">
        <v>390.6</v>
      </c>
      <c r="G21" s="587">
        <v>12.96</v>
      </c>
      <c r="H21" s="587">
        <v>16.559999999999999</v>
      </c>
      <c r="I21" s="587">
        <v>19.440000000000001</v>
      </c>
      <c r="J21" s="587">
        <v>18.72</v>
      </c>
      <c r="K21" s="587">
        <v>16.2</v>
      </c>
      <c r="L21" s="587">
        <v>13.32</v>
      </c>
      <c r="M21" s="587">
        <v>158.04</v>
      </c>
      <c r="N21" s="587">
        <v>83.52</v>
      </c>
      <c r="O21" s="349">
        <f t="shared" si="4"/>
        <v>1253.5200000000002</v>
      </c>
      <c r="P21" s="350">
        <f t="shared" si="5"/>
        <v>104</v>
      </c>
      <c r="Q21"/>
    </row>
    <row r="22" spans="1:17">
      <c r="A22" s="330">
        <f t="shared" si="1"/>
        <v>11</v>
      </c>
      <c r="B22" s="592" t="s">
        <v>365</v>
      </c>
      <c r="C22" s="587">
        <v>43569.599999999999</v>
      </c>
      <c r="D22" s="587">
        <v>41654.400000000001</v>
      </c>
      <c r="E22" s="587">
        <v>37977.599999999999</v>
      </c>
      <c r="F22" s="587">
        <v>37113.599999999999</v>
      </c>
      <c r="G22" s="587">
        <v>34992</v>
      </c>
      <c r="H22" s="587">
        <v>42897.599999999999</v>
      </c>
      <c r="I22" s="587">
        <v>43737.599999999999</v>
      </c>
      <c r="J22" s="587">
        <v>42705.599999999999</v>
      </c>
      <c r="K22" s="587">
        <v>41851.199999999997</v>
      </c>
      <c r="L22" s="587">
        <v>35529.599999999999</v>
      </c>
      <c r="M22" s="587">
        <v>35020.800000000003</v>
      </c>
      <c r="N22" s="587">
        <v>37483.199999999997</v>
      </c>
      <c r="O22" s="349">
        <f t="shared" si="4"/>
        <v>474532.8</v>
      </c>
      <c r="P22" s="350">
        <f t="shared" si="5"/>
        <v>39544</v>
      </c>
      <c r="Q22"/>
    </row>
    <row r="23" spans="1:17">
      <c r="A23" s="330">
        <f t="shared" si="1"/>
        <v>12</v>
      </c>
      <c r="B23" s="592" t="s">
        <v>366</v>
      </c>
      <c r="C23" s="587">
        <v>2871.36</v>
      </c>
      <c r="D23" s="587">
        <v>2953.8</v>
      </c>
      <c r="E23" s="587">
        <v>2338.92</v>
      </c>
      <c r="F23" s="587">
        <v>1676.52</v>
      </c>
      <c r="G23" s="587">
        <v>1212.48</v>
      </c>
      <c r="H23" s="587">
        <v>1509.12</v>
      </c>
      <c r="I23" s="587">
        <v>1468.8</v>
      </c>
      <c r="J23" s="587">
        <v>1882.8</v>
      </c>
      <c r="K23" s="587">
        <v>1513.8</v>
      </c>
      <c r="L23" s="587">
        <v>1543.32</v>
      </c>
      <c r="M23" s="587">
        <v>1586.16</v>
      </c>
      <c r="N23" s="587">
        <v>1726.56</v>
      </c>
      <c r="O23" s="349">
        <f t="shared" si="4"/>
        <v>22283.64</v>
      </c>
      <c r="P23" s="350">
        <f t="shared" si="5"/>
        <v>1857</v>
      </c>
      <c r="Q23"/>
    </row>
    <row r="24" spans="1:17">
      <c r="A24" s="330">
        <f t="shared" si="1"/>
        <v>13</v>
      </c>
      <c r="B24" s="592" t="s">
        <v>367</v>
      </c>
      <c r="C24" s="587">
        <v>6991.27</v>
      </c>
      <c r="D24" s="587">
        <v>14744.95</v>
      </c>
      <c r="E24" s="587">
        <v>12026.85</v>
      </c>
      <c r="F24" s="587">
        <v>6789.33</v>
      </c>
      <c r="G24" s="587">
        <v>5952.41</v>
      </c>
      <c r="H24" s="587">
        <v>7853.03</v>
      </c>
      <c r="I24" s="587">
        <v>7397.32</v>
      </c>
      <c r="J24" s="587">
        <v>7861.67</v>
      </c>
      <c r="K24" s="587">
        <v>7781.76</v>
      </c>
      <c r="L24" s="587">
        <v>7537.7</v>
      </c>
      <c r="M24" s="587">
        <v>9552.7999999999993</v>
      </c>
      <c r="N24" s="587">
        <v>8166.2</v>
      </c>
      <c r="O24" s="349">
        <f t="shared" si="4"/>
        <v>102655.29</v>
      </c>
      <c r="P24" s="350">
        <f t="shared" si="5"/>
        <v>8555</v>
      </c>
      <c r="Q24"/>
    </row>
    <row r="25" spans="1:17">
      <c r="A25" s="330">
        <f t="shared" si="1"/>
        <v>14</v>
      </c>
      <c r="B25" s="592" t="s">
        <v>368</v>
      </c>
      <c r="C25" s="587">
        <v>1109.1600000000001</v>
      </c>
      <c r="D25" s="587">
        <v>1202.22</v>
      </c>
      <c r="E25" s="587">
        <v>900.72</v>
      </c>
      <c r="F25" s="587">
        <v>302.94</v>
      </c>
      <c r="G25" s="587">
        <v>368.64</v>
      </c>
      <c r="H25" s="587">
        <v>456.66</v>
      </c>
      <c r="I25" s="587">
        <v>474.12</v>
      </c>
      <c r="J25" s="587">
        <v>455.4</v>
      </c>
      <c r="K25" s="587">
        <v>443.16</v>
      </c>
      <c r="L25" s="587">
        <v>329.76</v>
      </c>
      <c r="M25" s="587">
        <v>563.76</v>
      </c>
      <c r="N25" s="587">
        <v>486.9</v>
      </c>
      <c r="O25" s="349">
        <f t="shared" si="4"/>
        <v>7093.44</v>
      </c>
      <c r="P25" s="350">
        <f t="shared" si="5"/>
        <v>591</v>
      </c>
      <c r="Q25"/>
    </row>
    <row r="26" spans="1:17">
      <c r="A26" s="330">
        <f t="shared" si="1"/>
        <v>15</v>
      </c>
      <c r="B26" s="592" t="s">
        <v>369</v>
      </c>
      <c r="C26" s="587">
        <v>7287.12</v>
      </c>
      <c r="D26" s="587">
        <v>7518.24</v>
      </c>
      <c r="E26" s="587">
        <v>6219.36</v>
      </c>
      <c r="F26" s="587">
        <v>4384.08</v>
      </c>
      <c r="G26" s="587">
        <v>4979.5200000000004</v>
      </c>
      <c r="H26" s="587">
        <v>6418.08</v>
      </c>
      <c r="I26" s="587">
        <v>7009.92</v>
      </c>
      <c r="J26" s="587">
        <v>6742.08</v>
      </c>
      <c r="K26" s="587">
        <v>6335.28</v>
      </c>
      <c r="L26" s="587">
        <v>4209.84</v>
      </c>
      <c r="M26" s="587">
        <v>4898.88</v>
      </c>
      <c r="N26" s="587">
        <v>4860.72</v>
      </c>
      <c r="O26" s="349">
        <f t="shared" si="4"/>
        <v>70863.12000000001</v>
      </c>
      <c r="P26" s="350">
        <f t="shared" si="5"/>
        <v>5905</v>
      </c>
      <c r="Q26"/>
    </row>
    <row r="27" spans="1:17">
      <c r="A27" s="330">
        <f t="shared" si="1"/>
        <v>16</v>
      </c>
      <c r="B27" s="592" t="s">
        <v>370</v>
      </c>
      <c r="C27" s="587">
        <v>6486.48</v>
      </c>
      <c r="D27" s="587">
        <v>7823.52</v>
      </c>
      <c r="E27" s="587">
        <v>6416.28</v>
      </c>
      <c r="F27" s="587">
        <v>5451.84</v>
      </c>
      <c r="G27" s="587">
        <v>6281.28</v>
      </c>
      <c r="H27" s="587">
        <v>6621.48</v>
      </c>
      <c r="I27" s="587">
        <v>6448.68</v>
      </c>
      <c r="J27" s="587">
        <v>6562.08</v>
      </c>
      <c r="K27" s="587">
        <v>7403.4</v>
      </c>
      <c r="L27" s="587">
        <v>5550.12</v>
      </c>
      <c r="M27" s="587">
        <v>6273.72</v>
      </c>
      <c r="N27" s="587">
        <v>6351.48</v>
      </c>
      <c r="O27" s="349">
        <f t="shared" si="4"/>
        <v>77670.36</v>
      </c>
      <c r="P27" s="350">
        <f t="shared" si="5"/>
        <v>6473</v>
      </c>
      <c r="Q27"/>
    </row>
    <row r="28" spans="1:17">
      <c r="A28" s="330">
        <f t="shared" si="1"/>
        <v>17</v>
      </c>
      <c r="B28" s="592" t="s">
        <v>371</v>
      </c>
      <c r="C28" s="587">
        <v>3605.12</v>
      </c>
      <c r="D28" s="587">
        <v>3732.52</v>
      </c>
      <c r="E28" s="587">
        <v>3146.61</v>
      </c>
      <c r="F28" s="587">
        <v>1853.48</v>
      </c>
      <c r="G28" s="587">
        <v>1508.34</v>
      </c>
      <c r="H28" s="587">
        <v>1793.74</v>
      </c>
      <c r="I28" s="587">
        <v>1858.16</v>
      </c>
      <c r="J28" s="587">
        <v>1827.21</v>
      </c>
      <c r="K28" s="587">
        <v>1803.1</v>
      </c>
      <c r="L28" s="587">
        <v>2050.35</v>
      </c>
      <c r="M28" s="587">
        <v>2783.11</v>
      </c>
      <c r="N28" s="587">
        <v>2523.62</v>
      </c>
      <c r="O28" s="349">
        <f t="shared" si="4"/>
        <v>28485.359999999997</v>
      </c>
      <c r="P28" s="350">
        <f t="shared" si="5"/>
        <v>2374</v>
      </c>
      <c r="Q28"/>
    </row>
    <row r="29" spans="1:17">
      <c r="A29" s="330">
        <f t="shared" si="1"/>
        <v>18</v>
      </c>
      <c r="B29" s="592" t="s">
        <v>372</v>
      </c>
      <c r="C29" s="587">
        <v>12705.12</v>
      </c>
      <c r="D29" s="587">
        <v>12687.84</v>
      </c>
      <c r="E29" s="587">
        <v>10838.88</v>
      </c>
      <c r="F29" s="587">
        <v>4652.6400000000003</v>
      </c>
      <c r="G29" s="587">
        <v>5178.24</v>
      </c>
      <c r="H29" s="587">
        <v>6386.4</v>
      </c>
      <c r="I29" s="587">
        <v>6626.88</v>
      </c>
      <c r="J29" s="587">
        <v>6504.48</v>
      </c>
      <c r="K29" s="587">
        <v>6269.76</v>
      </c>
      <c r="L29" s="587">
        <v>5156.6400000000003</v>
      </c>
      <c r="M29" s="587">
        <v>7413.12</v>
      </c>
      <c r="N29" s="587">
        <v>7002.72</v>
      </c>
      <c r="O29" s="349">
        <f t="shared" si="4"/>
        <v>91422.719999999987</v>
      </c>
      <c r="P29" s="350">
        <f t="shared" si="5"/>
        <v>7619</v>
      </c>
      <c r="Q29"/>
    </row>
    <row r="30" spans="1:17">
      <c r="A30" s="330">
        <f t="shared" si="1"/>
        <v>19</v>
      </c>
      <c r="B30" s="592" t="s">
        <v>373</v>
      </c>
      <c r="C30" s="759">
        <v>8501.76</v>
      </c>
      <c r="D30" s="759">
        <v>9021.6</v>
      </c>
      <c r="E30" s="759">
        <v>7402.32</v>
      </c>
      <c r="F30" s="759">
        <v>3054.96</v>
      </c>
      <c r="G30" s="759">
        <v>3020.4</v>
      </c>
      <c r="H30" s="759">
        <v>3738.96</v>
      </c>
      <c r="I30" s="759">
        <v>3664.8</v>
      </c>
      <c r="J30" s="759">
        <v>3610.8</v>
      </c>
      <c r="K30" s="759">
        <v>3445.2</v>
      </c>
      <c r="L30" s="759">
        <v>3648.96</v>
      </c>
      <c r="M30" s="759">
        <v>5521.68</v>
      </c>
      <c r="N30" s="759">
        <v>4831.2</v>
      </c>
      <c r="O30" s="352">
        <f t="shared" si="4"/>
        <v>59462.64</v>
      </c>
      <c r="P30" s="354">
        <f t="shared" si="5"/>
        <v>4955</v>
      </c>
      <c r="Q30"/>
    </row>
    <row r="31" spans="1:17">
      <c r="A31" s="330">
        <f t="shared" si="1"/>
        <v>20</v>
      </c>
      <c r="B31" s="592" t="s">
        <v>529</v>
      </c>
      <c r="C31" s="348">
        <f>SUM(C17:C30)</f>
        <v>116216.66999999998</v>
      </c>
      <c r="D31" s="348">
        <f t="shared" ref="D31:N31" si="6">SUM(D17:D30)</f>
        <v>126313.16000000002</v>
      </c>
      <c r="E31" s="348">
        <f t="shared" si="6"/>
        <v>107871.98999999999</v>
      </c>
      <c r="F31" s="348">
        <f t="shared" si="6"/>
        <v>76890.83</v>
      </c>
      <c r="G31" s="348">
        <f t="shared" si="6"/>
        <v>77423.72</v>
      </c>
      <c r="H31" s="348">
        <f t="shared" si="6"/>
        <v>95435.340000000011</v>
      </c>
      <c r="I31" s="348">
        <f t="shared" si="6"/>
        <v>95823.720000000016</v>
      </c>
      <c r="J31" s="348">
        <f t="shared" si="6"/>
        <v>95850.86</v>
      </c>
      <c r="K31" s="348">
        <f t="shared" si="6"/>
        <v>94595.68</v>
      </c>
      <c r="L31" s="348">
        <f t="shared" si="6"/>
        <v>77905.13</v>
      </c>
      <c r="M31" s="348">
        <f t="shared" si="6"/>
        <v>89681.550000000017</v>
      </c>
      <c r="N31" s="348">
        <f t="shared" si="6"/>
        <v>89022.309999999983</v>
      </c>
      <c r="O31" s="348">
        <f t="shared" ref="O31" si="7">SUM(O17:O30)</f>
        <v>1143030.96</v>
      </c>
      <c r="P31" s="350">
        <f t="shared" si="5"/>
        <v>95253</v>
      </c>
      <c r="Q31" s="350"/>
    </row>
    <row r="32" spans="1:17">
      <c r="B32" s="592"/>
      <c r="C32" s="570"/>
      <c r="D32" s="570"/>
      <c r="E32" s="570"/>
      <c r="F32" s="570"/>
      <c r="G32" s="570"/>
      <c r="H32" s="570"/>
      <c r="I32" s="570"/>
      <c r="J32" s="570"/>
      <c r="K32" s="570"/>
      <c r="L32" s="570"/>
      <c r="M32" s="570"/>
      <c r="N32" s="570"/>
      <c r="O32" s="471"/>
      <c r="P32" s="471"/>
    </row>
    <row r="33" spans="1:18">
      <c r="A33" s="330">
        <f>A31+1</f>
        <v>21</v>
      </c>
      <c r="B33" s="592" t="s">
        <v>358</v>
      </c>
      <c r="C33" s="355">
        <f>C15+C31</f>
        <v>133177.66999999998</v>
      </c>
      <c r="D33" s="355">
        <f t="shared" ref="D33:N33" si="8">D15+D31</f>
        <v>143858.16000000003</v>
      </c>
      <c r="E33" s="355">
        <f t="shared" si="8"/>
        <v>123498.98999999999</v>
      </c>
      <c r="F33" s="355">
        <f t="shared" si="8"/>
        <v>85860.83</v>
      </c>
      <c r="G33" s="355">
        <f t="shared" si="8"/>
        <v>92924.72</v>
      </c>
      <c r="H33" s="355">
        <f t="shared" si="8"/>
        <v>113466.34000000001</v>
      </c>
      <c r="I33" s="355">
        <f t="shared" si="8"/>
        <v>114370.72000000002</v>
      </c>
      <c r="J33" s="355">
        <f t="shared" si="8"/>
        <v>114193.86</v>
      </c>
      <c r="K33" s="355">
        <f t="shared" si="8"/>
        <v>114714.68</v>
      </c>
      <c r="L33" s="355">
        <f t="shared" si="8"/>
        <v>87123.13</v>
      </c>
      <c r="M33" s="355">
        <f t="shared" si="8"/>
        <v>100634.55000000002</v>
      </c>
      <c r="N33" s="355">
        <f t="shared" si="8"/>
        <v>101945.30999999998</v>
      </c>
      <c r="O33" s="355">
        <f t="shared" ref="O33:P33" si="9">O15+O31</f>
        <v>1325768.96</v>
      </c>
      <c r="P33" s="355">
        <f t="shared" si="9"/>
        <v>110481</v>
      </c>
    </row>
    <row r="34" spans="1:18">
      <c r="B34" s="592"/>
      <c r="C34" s="570"/>
      <c r="D34" s="570"/>
      <c r="E34" s="570"/>
      <c r="F34" s="570"/>
      <c r="G34" s="570"/>
      <c r="H34" s="570"/>
      <c r="I34" s="570"/>
      <c r="J34" s="570"/>
      <c r="K34" s="570"/>
      <c r="L34" s="570"/>
      <c r="M34" s="570"/>
      <c r="N34" s="570"/>
      <c r="O34" s="570"/>
      <c r="P34" s="570"/>
    </row>
    <row r="35" spans="1:18" ht="15.75" thickBot="1">
      <c r="A35" s="330">
        <f>A33+1</f>
        <v>22</v>
      </c>
      <c r="B35" s="592" t="s">
        <v>359</v>
      </c>
      <c r="C35" s="713">
        <f>C10+C33</f>
        <v>3196664.67</v>
      </c>
      <c r="D35" s="713">
        <f t="shared" ref="D35:N35" si="10">D10+D33</f>
        <v>3513415.16</v>
      </c>
      <c r="E35" s="713">
        <f t="shared" si="10"/>
        <v>2897683.99</v>
      </c>
      <c r="F35" s="713">
        <f t="shared" si="10"/>
        <v>1679343.83</v>
      </c>
      <c r="G35" s="713">
        <f t="shared" si="10"/>
        <v>1788911.72</v>
      </c>
      <c r="H35" s="713">
        <f t="shared" si="10"/>
        <v>2168332.34</v>
      </c>
      <c r="I35" s="713">
        <f t="shared" si="10"/>
        <v>2199264.7200000002</v>
      </c>
      <c r="J35" s="713">
        <f t="shared" si="10"/>
        <v>2174611.86</v>
      </c>
      <c r="K35" s="713">
        <f t="shared" si="10"/>
        <v>2113379.6800000002</v>
      </c>
      <c r="L35" s="713">
        <f t="shared" si="10"/>
        <v>1697856.13</v>
      </c>
      <c r="M35" s="713">
        <f t="shared" si="10"/>
        <v>2249936.5499999998</v>
      </c>
      <c r="N35" s="713">
        <f t="shared" si="10"/>
        <v>2143388.31</v>
      </c>
      <c r="O35" s="356">
        <f t="shared" ref="O35" si="11">SUM(C35:N35)</f>
        <v>27822788.959999997</v>
      </c>
      <c r="P35" s="356">
        <f>ROUND(O35/12,0)</f>
        <v>2318566</v>
      </c>
    </row>
    <row r="36" spans="1:18" ht="15.75" thickTop="1"/>
    <row r="37" spans="1:18" ht="15.75">
      <c r="C37" s="710"/>
      <c r="D37" s="710"/>
      <c r="E37" s="710"/>
      <c r="F37" s="710"/>
      <c r="G37" s="710"/>
      <c r="H37" s="710"/>
      <c r="I37" s="710"/>
      <c r="J37" s="710"/>
      <c r="K37" s="565"/>
      <c r="L37" s="565"/>
      <c r="M37" s="565"/>
      <c r="N37" s="711"/>
      <c r="O37" s="712"/>
      <c r="P37" s="565"/>
      <c r="Q37" s="570"/>
      <c r="R37" s="570"/>
    </row>
    <row r="38" spans="1:18">
      <c r="B38" s="514" t="s">
        <v>144</v>
      </c>
      <c r="C38" s="515"/>
      <c r="D38" s="515"/>
      <c r="E38" s="515"/>
      <c r="F38" s="515"/>
      <c r="G38" s="515"/>
      <c r="H38" s="515"/>
      <c r="I38" s="515"/>
      <c r="J38" s="515"/>
      <c r="K38" s="471"/>
      <c r="L38" s="471"/>
      <c r="M38" s="471"/>
      <c r="N38" s="570"/>
      <c r="O38" s="570"/>
      <c r="P38" s="570"/>
      <c r="Q38" s="570"/>
      <c r="R38" s="570"/>
    </row>
    <row r="39" spans="1:18">
      <c r="A39" s="570"/>
      <c r="B39" s="578" t="str">
        <f>CONCATENATE("(1) Reflects the system peak demand (coincident peak) during a 60-minute clock hour.  January ",'Appx C - True Up'!K77," through December ",'Appx C - True Up'!K77," information is sourced from the MV90 system.")</f>
        <v>(1) Reflects the system peak demand (coincident peak) during a 60-minute clock hour.  January 2015 through December 2015 information is sourced from the MV90 system.</v>
      </c>
      <c r="C39" s="570"/>
      <c r="D39" s="570"/>
      <c r="E39" s="570"/>
      <c r="F39" s="570"/>
      <c r="G39" s="472"/>
      <c r="H39" s="472"/>
      <c r="I39" s="472"/>
      <c r="J39" s="472"/>
      <c r="K39" s="566"/>
      <c r="L39" s="570"/>
      <c r="M39" s="570"/>
      <c r="N39" s="596"/>
      <c r="O39" s="565"/>
      <c r="P39" s="570"/>
      <c r="Q39" s="570"/>
      <c r="R39" s="570"/>
    </row>
    <row r="40" spans="1:18" ht="15" customHeight="1">
      <c r="B40" s="578"/>
      <c r="K40" s="570"/>
      <c r="L40" s="570"/>
      <c r="M40" s="570"/>
      <c r="N40" s="596"/>
      <c r="O40" s="565"/>
      <c r="P40" s="570"/>
      <c r="Q40" s="570"/>
      <c r="R40" s="570"/>
    </row>
    <row r="41" spans="1:18">
      <c r="B41" s="714" t="s">
        <v>619</v>
      </c>
      <c r="C41" s="587">
        <v>3095993</v>
      </c>
      <c r="D41" s="587">
        <v>3403537</v>
      </c>
      <c r="E41" s="587">
        <v>2803813</v>
      </c>
      <c r="F41" s="587">
        <v>1615154</v>
      </c>
      <c r="G41" s="587">
        <v>1718863</v>
      </c>
      <c r="H41" s="587">
        <v>2088507</v>
      </c>
      <c r="I41" s="587">
        <v>2111395</v>
      </c>
      <c r="J41" s="587">
        <v>2090800</v>
      </c>
      <c r="K41" s="587">
        <v>2029634</v>
      </c>
      <c r="L41" s="587">
        <v>1633631</v>
      </c>
      <c r="M41" s="587">
        <v>2175214</v>
      </c>
      <c r="N41" s="587">
        <v>2067625</v>
      </c>
      <c r="O41" s="349">
        <f>SUM(C41:N41)</f>
        <v>26834166</v>
      </c>
      <c r="P41" s="350">
        <f>ROUND(O41/12,0)</f>
        <v>2236181</v>
      </c>
      <c r="Q41" s="570"/>
      <c r="R41" s="570"/>
    </row>
    <row r="42" spans="1:18">
      <c r="B42" s="728"/>
      <c r="C42" s="728"/>
      <c r="D42" s="728"/>
      <c r="E42" s="728"/>
      <c r="F42" s="728"/>
      <c r="G42" s="728"/>
      <c r="H42" s="728"/>
      <c r="I42" s="728"/>
      <c r="J42" s="728"/>
      <c r="K42" s="729"/>
      <c r="L42" s="729"/>
      <c r="M42" s="729"/>
      <c r="N42" s="730"/>
      <c r="O42" s="731"/>
      <c r="P42" s="729"/>
      <c r="Q42" s="570"/>
      <c r="R42" s="570"/>
    </row>
    <row r="43" spans="1:18">
      <c r="B43" s="715" t="s">
        <v>621</v>
      </c>
      <c r="C43" s="348">
        <v>2604708</v>
      </c>
      <c r="D43" s="348">
        <v>2868847</v>
      </c>
      <c r="E43" s="348">
        <v>2359225</v>
      </c>
      <c r="F43" s="348">
        <v>1294760</v>
      </c>
      <c r="G43" s="348">
        <v>1337277</v>
      </c>
      <c r="H43" s="348">
        <v>1654280</v>
      </c>
      <c r="I43" s="348">
        <v>1680048</v>
      </c>
      <c r="J43" s="348">
        <v>1654605</v>
      </c>
      <c r="K43" s="348">
        <v>1627371</v>
      </c>
      <c r="L43" s="348">
        <v>1298757</v>
      </c>
      <c r="M43" s="348">
        <v>1749860</v>
      </c>
      <c r="N43" s="425">
        <v>1715818</v>
      </c>
      <c r="O43" s="348">
        <f t="shared" ref="O43" si="12">SUM(C43:N43)</f>
        <v>21845556</v>
      </c>
      <c r="P43" s="348">
        <f t="shared" ref="P43" si="13">ROUND(O43/12,0)</f>
        <v>1820463</v>
      </c>
      <c r="Q43" s="570"/>
      <c r="R43" s="570"/>
    </row>
    <row r="44" spans="1:18">
      <c r="B44" s="715" t="s">
        <v>620</v>
      </c>
      <c r="C44" s="348">
        <v>458779</v>
      </c>
      <c r="D44" s="348">
        <v>500710</v>
      </c>
      <c r="E44" s="348">
        <v>414960</v>
      </c>
      <c r="F44" s="348">
        <v>298723</v>
      </c>
      <c r="G44" s="348">
        <v>358710</v>
      </c>
      <c r="H44" s="348">
        <v>400586</v>
      </c>
      <c r="I44" s="348">
        <v>404846</v>
      </c>
      <c r="J44" s="348">
        <v>405813</v>
      </c>
      <c r="K44" s="348">
        <v>371294</v>
      </c>
      <c r="L44" s="348">
        <v>311976</v>
      </c>
      <c r="M44" s="348">
        <v>399442</v>
      </c>
      <c r="N44" s="425">
        <v>325625</v>
      </c>
      <c r="O44" s="348">
        <f t="shared" ref="O44" si="14">SUM(C44:N44)</f>
        <v>4651464</v>
      </c>
      <c r="P44" s="348">
        <f t="shared" ref="P44" si="15">ROUND(O44/12,0)</f>
        <v>387622</v>
      </c>
      <c r="Q44" s="570"/>
      <c r="R44" s="570"/>
    </row>
    <row r="45" spans="1:18">
      <c r="B45" s="715" t="s">
        <v>618</v>
      </c>
      <c r="C45" s="716">
        <f>SUM(C43:C44)</f>
        <v>3063487</v>
      </c>
      <c r="D45" s="716">
        <f t="shared" ref="D45:N45" si="16">SUM(D43:D44)</f>
        <v>3369557</v>
      </c>
      <c r="E45" s="716">
        <f t="shared" si="16"/>
        <v>2774185</v>
      </c>
      <c r="F45" s="716">
        <f t="shared" si="16"/>
        <v>1593483</v>
      </c>
      <c r="G45" s="716">
        <f t="shared" si="16"/>
        <v>1695987</v>
      </c>
      <c r="H45" s="716">
        <f t="shared" si="16"/>
        <v>2054866</v>
      </c>
      <c r="I45" s="716">
        <f t="shared" si="16"/>
        <v>2084894</v>
      </c>
      <c r="J45" s="716">
        <f t="shared" si="16"/>
        <v>2060418</v>
      </c>
      <c r="K45" s="716">
        <f t="shared" si="16"/>
        <v>1998665</v>
      </c>
      <c r="L45" s="348">
        <f t="shared" si="16"/>
        <v>1610733</v>
      </c>
      <c r="M45" s="348">
        <f t="shared" si="16"/>
        <v>2149302</v>
      </c>
      <c r="N45" s="716">
        <f t="shared" si="16"/>
        <v>2041443</v>
      </c>
      <c r="O45" s="716">
        <f t="shared" ref="O45" si="17">SUM(O43:O44)</f>
        <v>26497020</v>
      </c>
      <c r="P45" s="716">
        <f t="shared" ref="P45" si="18">SUM(P43:P44)</f>
        <v>2208085</v>
      </c>
      <c r="Q45" s="348"/>
      <c r="R45" s="570"/>
    </row>
    <row r="46" spans="1:18">
      <c r="B46" s="715"/>
      <c r="C46" s="728"/>
      <c r="D46" s="728"/>
      <c r="E46" s="728"/>
      <c r="F46" s="728"/>
      <c r="G46" s="728"/>
      <c r="H46" s="728"/>
      <c r="I46" s="728"/>
      <c r="J46" s="728"/>
      <c r="K46" s="729"/>
      <c r="L46" s="729"/>
      <c r="M46" s="729"/>
      <c r="N46" s="730"/>
      <c r="O46" s="731"/>
      <c r="P46" s="729"/>
      <c r="Q46" s="570"/>
      <c r="R46" s="570"/>
    </row>
    <row r="47" spans="1:18">
      <c r="B47" s="715" t="s">
        <v>622</v>
      </c>
      <c r="C47" s="732">
        <f>C41-C45</f>
        <v>32506</v>
      </c>
      <c r="D47" s="732">
        <f t="shared" ref="D47:N47" si="19">D41-D45</f>
        <v>33980</v>
      </c>
      <c r="E47" s="732">
        <f t="shared" si="19"/>
        <v>29628</v>
      </c>
      <c r="F47" s="732">
        <f t="shared" si="19"/>
        <v>21671</v>
      </c>
      <c r="G47" s="732">
        <f t="shared" si="19"/>
        <v>22876</v>
      </c>
      <c r="H47" s="732">
        <f t="shared" si="19"/>
        <v>33641</v>
      </c>
      <c r="I47" s="732">
        <f t="shared" si="19"/>
        <v>26501</v>
      </c>
      <c r="J47" s="732">
        <f t="shared" si="19"/>
        <v>30382</v>
      </c>
      <c r="K47" s="732">
        <f t="shared" si="19"/>
        <v>30969</v>
      </c>
      <c r="L47" s="731">
        <f t="shared" si="19"/>
        <v>22898</v>
      </c>
      <c r="M47" s="731">
        <f t="shared" si="19"/>
        <v>25912</v>
      </c>
      <c r="N47" s="732">
        <f t="shared" si="19"/>
        <v>26182</v>
      </c>
      <c r="O47" s="348">
        <f t="shared" ref="O47:O50" si="20">SUM(C47:N47)</f>
        <v>337146</v>
      </c>
      <c r="P47" s="348">
        <f t="shared" ref="P47:P50" si="21">ROUND(O47/12,0)</f>
        <v>28096</v>
      </c>
      <c r="Q47" s="570"/>
      <c r="R47" s="570"/>
    </row>
    <row r="48" spans="1:18">
      <c r="B48" s="715"/>
      <c r="C48" s="732"/>
      <c r="D48" s="732"/>
      <c r="E48" s="732"/>
      <c r="F48" s="732"/>
      <c r="G48" s="732"/>
      <c r="H48" s="732"/>
      <c r="I48" s="732"/>
      <c r="J48" s="732"/>
      <c r="K48" s="732"/>
      <c r="L48" s="731"/>
      <c r="M48" s="731"/>
      <c r="N48" s="732"/>
      <c r="O48" s="348"/>
      <c r="P48" s="348"/>
      <c r="Q48" s="570"/>
      <c r="R48" s="570"/>
    </row>
    <row r="49" spans="2:18">
      <c r="B49" s="715" t="s">
        <v>625</v>
      </c>
      <c r="C49" s="731">
        <v>22397</v>
      </c>
      <c r="D49" s="731">
        <v>21909</v>
      </c>
      <c r="E49" s="731">
        <v>20519</v>
      </c>
      <c r="F49" s="731">
        <v>16133</v>
      </c>
      <c r="G49" s="731">
        <v>16921</v>
      </c>
      <c r="H49" s="731">
        <v>26901</v>
      </c>
      <c r="I49" s="731">
        <v>19406</v>
      </c>
      <c r="J49" s="731">
        <v>23718</v>
      </c>
      <c r="K49" s="731">
        <v>24319</v>
      </c>
      <c r="L49" s="731">
        <v>17206</v>
      </c>
      <c r="M49" s="731">
        <v>18918</v>
      </c>
      <c r="N49" s="731">
        <v>19557</v>
      </c>
      <c r="O49" s="348">
        <f t="shared" si="20"/>
        <v>247904</v>
      </c>
      <c r="P49" s="348">
        <f t="shared" si="21"/>
        <v>20659</v>
      </c>
      <c r="Q49" s="570"/>
      <c r="R49" s="570"/>
    </row>
    <row r="50" spans="2:18">
      <c r="B50" s="715" t="s">
        <v>626</v>
      </c>
      <c r="C50" s="731">
        <v>10107</v>
      </c>
      <c r="D50" s="731">
        <v>12070</v>
      </c>
      <c r="E50" s="731">
        <v>9109</v>
      </c>
      <c r="F50" s="731">
        <v>5537</v>
      </c>
      <c r="G50" s="731">
        <v>5953</v>
      </c>
      <c r="H50" s="731">
        <v>6739</v>
      </c>
      <c r="I50" s="731">
        <v>7093</v>
      </c>
      <c r="J50" s="731">
        <v>6663</v>
      </c>
      <c r="K50" s="731">
        <v>6649</v>
      </c>
      <c r="L50" s="731">
        <v>5690</v>
      </c>
      <c r="M50" s="731">
        <v>6993</v>
      </c>
      <c r="N50" s="731">
        <v>6624</v>
      </c>
      <c r="O50" s="348">
        <f t="shared" si="20"/>
        <v>89227</v>
      </c>
      <c r="P50" s="348">
        <f t="shared" si="21"/>
        <v>7436</v>
      </c>
      <c r="Q50" s="570"/>
      <c r="R50" s="570"/>
    </row>
    <row r="51" spans="2:18">
      <c r="B51" s="715" t="s">
        <v>624</v>
      </c>
      <c r="C51" s="732">
        <f>SUM(C49:C50)</f>
        <v>32504</v>
      </c>
      <c r="D51" s="732">
        <f t="shared" ref="D51:N51" si="22">SUM(D49:D50)</f>
        <v>33979</v>
      </c>
      <c r="E51" s="732">
        <f t="shared" si="22"/>
        <v>29628</v>
      </c>
      <c r="F51" s="732">
        <f t="shared" si="22"/>
        <v>21670</v>
      </c>
      <c r="G51" s="732">
        <f t="shared" si="22"/>
        <v>22874</v>
      </c>
      <c r="H51" s="732">
        <f t="shared" si="22"/>
        <v>33640</v>
      </c>
      <c r="I51" s="732">
        <f t="shared" si="22"/>
        <v>26499</v>
      </c>
      <c r="J51" s="732">
        <f t="shared" si="22"/>
        <v>30381</v>
      </c>
      <c r="K51" s="732">
        <f t="shared" si="22"/>
        <v>30968</v>
      </c>
      <c r="L51" s="732">
        <f t="shared" si="22"/>
        <v>22896</v>
      </c>
      <c r="M51" s="732">
        <f t="shared" si="22"/>
        <v>25911</v>
      </c>
      <c r="N51" s="732">
        <f t="shared" si="22"/>
        <v>26181</v>
      </c>
      <c r="O51" s="716">
        <f t="shared" ref="O51:P51" si="23">SUM(O48:O50)</f>
        <v>337131</v>
      </c>
      <c r="P51" s="716">
        <f t="shared" si="23"/>
        <v>28095</v>
      </c>
      <c r="Q51" s="570"/>
      <c r="R51" s="570"/>
    </row>
    <row r="52" spans="2:18">
      <c r="B52" s="715"/>
      <c r="C52" s="732"/>
      <c r="D52" s="732"/>
      <c r="E52" s="732"/>
      <c r="F52" s="732"/>
      <c r="G52" s="732"/>
      <c r="H52" s="732"/>
      <c r="I52" s="732"/>
      <c r="J52" s="732"/>
      <c r="K52" s="732"/>
      <c r="L52" s="732"/>
      <c r="M52" s="732"/>
      <c r="N52" s="732"/>
      <c r="O52" s="729"/>
      <c r="P52" s="729"/>
      <c r="Q52" s="570"/>
      <c r="R52" s="570"/>
    </row>
    <row r="53" spans="2:18">
      <c r="B53" s="715" t="s">
        <v>623</v>
      </c>
      <c r="C53" s="732">
        <f>C47-C51</f>
        <v>2</v>
      </c>
      <c r="D53" s="732">
        <f t="shared" ref="D53:N53" si="24">D47-D51</f>
        <v>1</v>
      </c>
      <c r="E53" s="732">
        <f t="shared" si="24"/>
        <v>0</v>
      </c>
      <c r="F53" s="732">
        <f t="shared" si="24"/>
        <v>1</v>
      </c>
      <c r="G53" s="732">
        <f t="shared" si="24"/>
        <v>2</v>
      </c>
      <c r="H53" s="732">
        <f t="shared" si="24"/>
        <v>1</v>
      </c>
      <c r="I53" s="732">
        <f t="shared" si="24"/>
        <v>2</v>
      </c>
      <c r="J53" s="732">
        <f t="shared" si="24"/>
        <v>1</v>
      </c>
      <c r="K53" s="732">
        <f t="shared" si="24"/>
        <v>1</v>
      </c>
      <c r="L53" s="732">
        <f t="shared" si="24"/>
        <v>2</v>
      </c>
      <c r="M53" s="732">
        <f t="shared" si="24"/>
        <v>1</v>
      </c>
      <c r="N53" s="732">
        <f t="shared" si="24"/>
        <v>1</v>
      </c>
      <c r="O53" s="729"/>
      <c r="P53" s="729"/>
      <c r="Q53" s="570"/>
      <c r="R53" s="570"/>
    </row>
    <row r="54" spans="2:18">
      <c r="N54" s="597"/>
    </row>
    <row r="55" spans="2:18">
      <c r="C55"/>
    </row>
  </sheetData>
  <pageMargins left="0.22" right="0.16" top="1.1000000000000001" bottom="0.75" header="0.3" footer="0.3"/>
  <pageSetup scale="4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pageSetUpPr fitToPage="1"/>
  </sheetPr>
  <dimension ref="A1:Z955"/>
  <sheetViews>
    <sheetView zoomScale="70" zoomScaleNormal="70" zoomScaleSheetLayoutView="70" workbookViewId="0">
      <selection activeCell="J23" sqref="J23:K39"/>
    </sheetView>
  </sheetViews>
  <sheetFormatPr defaultColWidth="9.33203125" defaultRowHeight="15"/>
  <cols>
    <col min="1" max="1" width="4" style="99" customWidth="1"/>
    <col min="2" max="2" width="4.77734375" style="100" bestFit="1" customWidth="1"/>
    <col min="3" max="3" width="1.6640625" style="99" customWidth="1"/>
    <col min="4" max="4" width="64.109375" style="99" customWidth="1"/>
    <col min="5" max="5" width="28.5546875" style="99" customWidth="1"/>
    <col min="6" max="6" width="2.109375" style="99" customWidth="1"/>
    <col min="7" max="7" width="16" style="99" bestFit="1" customWidth="1"/>
    <col min="8" max="8" width="6.5546875" style="99" customWidth="1"/>
    <col min="9" max="9" width="2.21875" style="99" customWidth="1"/>
    <col min="10" max="10" width="18.88671875" style="99" bestFit="1" customWidth="1"/>
    <col min="11" max="11" width="11.88671875" style="99" bestFit="1" customWidth="1"/>
    <col min="12" max="16384" width="9.33203125" style="99"/>
  </cols>
  <sheetData>
    <row r="1" spans="1:10">
      <c r="G1" s="99" t="str">
        <f>EKPC!J1</f>
        <v>Attachment H-24A</v>
      </c>
    </row>
    <row r="2" spans="1:10">
      <c r="G2" s="99" t="s">
        <v>242</v>
      </c>
    </row>
    <row r="3" spans="1:10">
      <c r="A3" s="105"/>
      <c r="B3" s="105"/>
      <c r="C3" s="105"/>
      <c r="D3" s="105"/>
      <c r="E3" s="105"/>
      <c r="F3" s="105"/>
      <c r="G3" s="99" t="s">
        <v>243</v>
      </c>
      <c r="H3" s="108"/>
      <c r="J3" s="136"/>
    </row>
    <row r="4" spans="1:10">
      <c r="A4" s="105"/>
      <c r="B4" s="105"/>
      <c r="C4" s="105"/>
      <c r="D4" s="105"/>
      <c r="E4" s="105"/>
      <c r="F4" s="105"/>
      <c r="H4" s="108"/>
      <c r="J4" s="136"/>
    </row>
    <row r="5" spans="1:10">
      <c r="A5" s="105"/>
      <c r="B5" s="105"/>
      <c r="C5" s="105"/>
      <c r="D5" s="105"/>
      <c r="E5" s="105"/>
      <c r="F5" s="105"/>
      <c r="G5" s="137" t="str">
        <f>EKPC!J7</f>
        <v>For the 12 months ended 12/31/2015</v>
      </c>
      <c r="H5" s="108"/>
      <c r="J5" s="136"/>
    </row>
    <row r="6" spans="1:10" ht="15.75">
      <c r="A6" s="296" t="str">
        <f>EKPC!A11</f>
        <v>East Kentucky Power Cooperative, Inc.</v>
      </c>
      <c r="B6" s="133"/>
      <c r="C6" s="133"/>
      <c r="D6" s="133"/>
      <c r="E6" s="133"/>
      <c r="F6" s="133"/>
      <c r="G6" s="133"/>
      <c r="H6" s="128"/>
      <c r="I6" s="132"/>
    </row>
    <row r="7" spans="1:10" ht="15.75">
      <c r="A7" s="133" t="s">
        <v>240</v>
      </c>
      <c r="B7" s="133"/>
      <c r="C7" s="133"/>
      <c r="D7" s="133"/>
      <c r="E7" s="133"/>
      <c r="F7" s="133"/>
      <c r="G7" s="133"/>
      <c r="H7" s="128"/>
      <c r="I7" s="132"/>
    </row>
    <row r="8" spans="1:10" ht="15.75">
      <c r="A8" s="135" t="str">
        <f>EKPC!A9</f>
        <v>Utilizing EKPC 2015 Form FF1 Data (ver.FINAL AUDITED)</v>
      </c>
      <c r="B8" s="135"/>
      <c r="C8" s="135"/>
      <c r="D8" s="135"/>
      <c r="E8" s="135"/>
      <c r="F8" s="135"/>
      <c r="G8" s="135"/>
      <c r="H8" s="128"/>
      <c r="I8" s="134"/>
    </row>
    <row r="9" spans="1:10" ht="15.75">
      <c r="A9" s="133" t="s">
        <v>629</v>
      </c>
      <c r="B9" s="133"/>
      <c r="C9" s="133"/>
      <c r="D9" s="133"/>
      <c r="E9" s="133"/>
      <c r="F9" s="133"/>
      <c r="G9" s="490"/>
      <c r="H9" s="128"/>
      <c r="I9" s="132"/>
    </row>
    <row r="10" spans="1:10" ht="15.75">
      <c r="B10" s="119"/>
      <c r="C10" s="118"/>
      <c r="D10" s="115"/>
      <c r="H10" s="128"/>
    </row>
    <row r="11" spans="1:10" ht="15.75">
      <c r="A11" s="553" t="s">
        <v>246</v>
      </c>
      <c r="B11" s="553"/>
      <c r="C11" s="553"/>
      <c r="D11" s="553"/>
      <c r="E11" s="553"/>
      <c r="F11" s="553"/>
      <c r="G11" s="553"/>
      <c r="H11" s="128"/>
      <c r="I11" s="131"/>
      <c r="J11" s="738"/>
    </row>
    <row r="12" spans="1:10" ht="15.75">
      <c r="A12" s="130"/>
      <c r="B12" s="119"/>
      <c r="C12" s="118"/>
      <c r="D12" s="115"/>
      <c r="H12" s="128"/>
    </row>
    <row r="13" spans="1:10" ht="15.75">
      <c r="B13" s="119"/>
      <c r="C13" s="118"/>
      <c r="D13" s="115"/>
      <c r="E13" s="115"/>
      <c r="F13" s="129"/>
      <c r="G13" s="121"/>
      <c r="H13" s="128"/>
    </row>
    <row r="14" spans="1:10" ht="15.75">
      <c r="B14" s="119" t="s">
        <v>6</v>
      </c>
      <c r="C14" s="118"/>
      <c r="D14" s="115"/>
      <c r="E14" s="115"/>
      <c r="F14" s="115"/>
      <c r="G14" s="138" t="s">
        <v>239</v>
      </c>
      <c r="H14" s="128"/>
    </row>
    <row r="15" spans="1:10" ht="15.75">
      <c r="B15" s="161" t="s">
        <v>8</v>
      </c>
      <c r="C15" s="120"/>
      <c r="D15" s="115"/>
      <c r="E15" s="161" t="s">
        <v>244</v>
      </c>
      <c r="F15" s="115"/>
      <c r="G15" s="161" t="s">
        <v>238</v>
      </c>
      <c r="H15" s="128"/>
    </row>
    <row r="16" spans="1:10">
      <c r="B16" s="127"/>
      <c r="C16" s="120"/>
      <c r="D16" s="124"/>
      <c r="E16" s="120"/>
      <c r="F16" s="115"/>
      <c r="H16" s="115"/>
    </row>
    <row r="17" spans="1:26">
      <c r="A17" s="138" t="s">
        <v>237</v>
      </c>
      <c r="B17" s="160" t="s">
        <v>241</v>
      </c>
      <c r="C17" s="120"/>
      <c r="D17" s="115"/>
      <c r="E17" s="120"/>
      <c r="F17" s="115"/>
      <c r="H17" s="115"/>
      <c r="J17" s="521"/>
      <c r="K17" s="521"/>
      <c r="L17" s="521"/>
      <c r="M17" s="521"/>
      <c r="N17" s="521"/>
    </row>
    <row r="18" spans="1:26">
      <c r="B18" s="119">
        <v>1</v>
      </c>
      <c r="C18" s="118"/>
      <c r="D18" s="124" t="s">
        <v>236</v>
      </c>
      <c r="E18" s="552" t="s">
        <v>558</v>
      </c>
      <c r="F18" s="117"/>
      <c r="G18" s="505">
        <f>'Pg 4 of 8 Sch 1 Charges 561'!D42</f>
        <v>2872736.13</v>
      </c>
      <c r="H18" s="126"/>
      <c r="J18" s="522"/>
      <c r="K18" s="523"/>
      <c r="L18" s="489"/>
      <c r="M18" s="489"/>
      <c r="N18" s="489"/>
      <c r="O18" s="101"/>
      <c r="P18" s="101"/>
      <c r="Q18" s="101"/>
    </row>
    <row r="19" spans="1:26">
      <c r="B19" s="119"/>
      <c r="C19" s="118"/>
      <c r="D19" s="124" t="s">
        <v>591</v>
      </c>
      <c r="E19" s="487"/>
      <c r="F19" s="488"/>
      <c r="G19" s="504">
        <f>G35/G34*G18</f>
        <v>50736.012947588286</v>
      </c>
      <c r="H19" s="126"/>
      <c r="J19" s="522"/>
      <c r="K19" s="489"/>
      <c r="L19" s="489"/>
      <c r="M19" s="489"/>
      <c r="N19" s="489"/>
      <c r="O19" s="101"/>
      <c r="P19" s="101"/>
      <c r="Q19" s="101"/>
    </row>
    <row r="20" spans="1:26">
      <c r="B20" s="119"/>
      <c r="C20" s="118"/>
      <c r="D20" s="124" t="s">
        <v>528</v>
      </c>
      <c r="E20" s="469"/>
      <c r="F20" s="117"/>
      <c r="G20" s="504">
        <f>G18-G19</f>
        <v>2822000.1170524117</v>
      </c>
      <c r="H20" s="126"/>
      <c r="J20" s="524"/>
      <c r="K20" s="489"/>
      <c r="L20" s="489"/>
      <c r="M20" s="489"/>
      <c r="N20" s="489"/>
      <c r="O20" s="101"/>
      <c r="P20" s="101"/>
      <c r="Q20" s="101"/>
    </row>
    <row r="21" spans="1:26">
      <c r="B21" s="119"/>
      <c r="C21" s="118"/>
      <c r="D21" s="124"/>
      <c r="E21" s="469"/>
      <c r="F21" s="117"/>
      <c r="G21" s="397"/>
      <c r="H21" s="126"/>
      <c r="J21" s="489"/>
      <c r="K21" s="489"/>
      <c r="L21" s="489"/>
      <c r="M21" s="489"/>
      <c r="N21" s="489"/>
      <c r="O21" s="101"/>
      <c r="P21" s="101"/>
      <c r="Q21" s="101"/>
    </row>
    <row r="22" spans="1:26">
      <c r="B22" s="119"/>
      <c r="C22" s="118"/>
      <c r="D22" s="124"/>
      <c r="E22" s="118"/>
      <c r="F22" s="117"/>
      <c r="G22" s="397"/>
      <c r="H22" s="125"/>
    </row>
    <row r="23" spans="1:26">
      <c r="B23" s="119">
        <v>2</v>
      </c>
      <c r="C23" s="118"/>
      <c r="D23" s="124" t="s">
        <v>477</v>
      </c>
      <c r="E23" s="117" t="s">
        <v>476</v>
      </c>
      <c r="F23" s="108"/>
      <c r="G23" s="504">
        <v>0</v>
      </c>
      <c r="H23"/>
      <c r="J23"/>
      <c r="K23"/>
      <c r="L23" s="101"/>
      <c r="M23" s="101"/>
      <c r="N23" s="101"/>
      <c r="O23" s="101"/>
      <c r="P23" s="101"/>
    </row>
    <row r="24" spans="1:26">
      <c r="B24" s="119"/>
      <c r="C24" s="118"/>
      <c r="D24" s="124"/>
      <c r="E24" s="115"/>
      <c r="F24" s="117"/>
      <c r="G24" s="398"/>
      <c r="H24" s="125"/>
      <c r="J24"/>
      <c r="K24"/>
      <c r="L24" s="101"/>
      <c r="M24" s="101"/>
      <c r="N24" s="101"/>
      <c r="O24" s="101"/>
      <c r="P24" s="101"/>
    </row>
    <row r="25" spans="1:26">
      <c r="B25" s="119">
        <v>3</v>
      </c>
      <c r="C25" s="118"/>
      <c r="D25" s="419" t="s">
        <v>235</v>
      </c>
      <c r="E25" s="420"/>
      <c r="F25" s="421"/>
      <c r="G25" s="504">
        <f>G20-G23</f>
        <v>2822000.1170524117</v>
      </c>
      <c r="H25" s="125"/>
      <c r="J25"/>
      <c r="K25"/>
    </row>
    <row r="26" spans="1:26">
      <c r="B26" s="119"/>
      <c r="C26" s="118"/>
      <c r="D26" s="124"/>
      <c r="E26" s="115"/>
      <c r="F26" s="117"/>
      <c r="G26" s="397"/>
      <c r="H26" s="123"/>
      <c r="J26"/>
      <c r="K26"/>
    </row>
    <row r="27" spans="1:26">
      <c r="B27" s="119">
        <v>4</v>
      </c>
      <c r="C27" s="118"/>
      <c r="D27" s="124" t="str">
        <f>CONCATENATE("Less: True Up Under/(Over) Recovery for 12 months ended 12/31/",'Appx C - True Up'!K77)</f>
        <v>Less: True Up Under/(Over) Recovery for 12 months ended 12/31/2015</v>
      </c>
      <c r="E27" s="118" t="s">
        <v>475</v>
      </c>
      <c r="F27" s="117"/>
      <c r="G27" s="397">
        <v>0</v>
      </c>
      <c r="H27" s="123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</row>
    <row r="28" spans="1:26">
      <c r="B28" s="119"/>
      <c r="C28" s="118"/>
      <c r="D28" s="124"/>
      <c r="E28" s="115"/>
      <c r="F28" s="117"/>
      <c r="G28" s="397"/>
      <c r="H28" s="123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</row>
    <row r="29" spans="1:26">
      <c r="B29" s="119">
        <v>5</v>
      </c>
      <c r="C29" s="118"/>
      <c r="D29" s="124" t="str">
        <f>CONCATENATE("Schedule 1A Recovery Amount for 12 Months ended ",'Appx C - True Up'!K78)</f>
        <v>Schedule 1A Recovery Amount for 12 Months ended 2016</v>
      </c>
      <c r="E29" s="115"/>
      <c r="F29" s="117"/>
      <c r="G29" s="503">
        <f>G25+G27</f>
        <v>2822000.1170524117</v>
      </c>
      <c r="H29" s="123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</row>
    <row r="30" spans="1:26">
      <c r="B30" s="119"/>
      <c r="C30" s="118"/>
      <c r="D30" s="124"/>
      <c r="E30" s="115"/>
      <c r="F30" s="117"/>
      <c r="G30" s="122"/>
      <c r="H30" s="123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</row>
    <row r="31" spans="1:26">
      <c r="A31" s="138" t="s">
        <v>234</v>
      </c>
      <c r="B31" s="160" t="s">
        <v>233</v>
      </c>
      <c r="C31" s="120"/>
      <c r="D31" s="115"/>
      <c r="F31" s="115"/>
      <c r="G31" s="101"/>
      <c r="H31" s="106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</row>
    <row r="32" spans="1:26">
      <c r="B32" s="111">
        <v>6</v>
      </c>
      <c r="C32" s="118"/>
      <c r="D32" s="706" t="s">
        <v>628</v>
      </c>
      <c r="E32" s="118" t="s">
        <v>478</v>
      </c>
      <c r="F32" s="117"/>
      <c r="G32" s="406">
        <v>12489945</v>
      </c>
      <c r="H32" s="106" t="s">
        <v>232</v>
      </c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</row>
    <row r="33" spans="1:26">
      <c r="B33" s="551" t="s">
        <v>416</v>
      </c>
      <c r="C33" s="118"/>
      <c r="D33" s="109" t="s">
        <v>596</v>
      </c>
      <c r="E33" s="138" t="s">
        <v>492</v>
      </c>
      <c r="F33" s="117"/>
      <c r="G33" s="748">
        <f>711081-683881</f>
        <v>27200</v>
      </c>
      <c r="H33" s="106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</row>
    <row r="34" spans="1:26">
      <c r="B34" s="551" t="s">
        <v>588</v>
      </c>
      <c r="C34" s="118"/>
      <c r="D34" s="109" t="s">
        <v>574</v>
      </c>
      <c r="E34" s="118" t="s">
        <v>599</v>
      </c>
      <c r="F34" s="117"/>
      <c r="G34" s="598">
        <f>G32+G33</f>
        <v>12517145</v>
      </c>
      <c r="H34" s="106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</row>
    <row r="35" spans="1:26">
      <c r="B35" s="551" t="s">
        <v>589</v>
      </c>
      <c r="C35" s="118"/>
      <c r="D35" s="109" t="s">
        <v>605</v>
      </c>
      <c r="E35" s="118" t="s">
        <v>603</v>
      </c>
      <c r="F35" s="117"/>
      <c r="G35" s="406">
        <v>221068</v>
      </c>
      <c r="H35" s="106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</row>
    <row r="36" spans="1:26" ht="15.75" thickBot="1">
      <c r="B36" s="551" t="s">
        <v>590</v>
      </c>
      <c r="C36" s="118"/>
      <c r="D36" s="109" t="s">
        <v>575</v>
      </c>
      <c r="E36" s="118"/>
      <c r="F36" s="117"/>
      <c r="G36" s="599">
        <f>G34-G35</f>
        <v>12296077</v>
      </c>
      <c r="H36" s="106" t="s">
        <v>232</v>
      </c>
      <c r="J36"/>
      <c r="K36"/>
      <c r="L36" s="101"/>
      <c r="M36" s="101"/>
      <c r="N36" s="101"/>
      <c r="O36" s="101"/>
      <c r="P36" s="101"/>
      <c r="Q36" s="101"/>
      <c r="R36" s="101"/>
      <c r="S36" s="101"/>
      <c r="T36" s="101"/>
      <c r="U36" s="101"/>
      <c r="V36" s="101"/>
      <c r="W36" s="101"/>
      <c r="X36" s="577"/>
      <c r="Y36"/>
      <c r="Z36"/>
    </row>
    <row r="37" spans="1:26">
      <c r="B37" s="111"/>
      <c r="C37" s="118"/>
      <c r="D37" s="109"/>
      <c r="E37" s="118"/>
      <c r="F37" s="117"/>
      <c r="G37" s="406"/>
      <c r="H37" s="106"/>
      <c r="J37"/>
      <c r="K37"/>
      <c r="L37" s="577"/>
      <c r="M37" s="577"/>
      <c r="N37" s="577"/>
      <c r="O37" s="577"/>
      <c r="P37" s="101"/>
      <c r="Q37" s="101"/>
      <c r="R37" s="101"/>
      <c r="S37" s="101"/>
      <c r="T37" s="101"/>
      <c r="U37" s="101"/>
      <c r="V37" s="101"/>
      <c r="W37" s="101"/>
      <c r="X37" s="577"/>
      <c r="Y37"/>
      <c r="Z37"/>
    </row>
    <row r="38" spans="1:26">
      <c r="B38" s="111"/>
      <c r="C38" s="118"/>
      <c r="D38" s="109"/>
      <c r="E38" s="115"/>
      <c r="F38" s="117"/>
      <c r="G38" s="116"/>
      <c r="H38" s="115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</row>
    <row r="39" spans="1:26">
      <c r="A39" s="101"/>
      <c r="B39" s="111">
        <f>+B32+1</f>
        <v>7</v>
      </c>
      <c r="C39" s="110"/>
      <c r="D39" s="109" t="s">
        <v>474</v>
      </c>
      <c r="E39" s="114" t="str">
        <f>"(Line "&amp;B25&amp;" / Line "&amp;B32&amp;")"</f>
        <v>(Line 3 / Line 6)</v>
      </c>
      <c r="F39" s="107"/>
      <c r="G39" s="112">
        <f>+G29/G36</f>
        <v>0.22950410257291098</v>
      </c>
      <c r="H39" s="113" t="s">
        <v>231</v>
      </c>
      <c r="J39"/>
      <c r="K39"/>
      <c r="L39" s="101"/>
      <c r="M39" s="101"/>
      <c r="N39" s="101"/>
      <c r="O39" s="101"/>
    </row>
    <row r="40" spans="1:26">
      <c r="A40" s="101"/>
      <c r="B40" s="111"/>
      <c r="C40" s="110"/>
      <c r="D40" s="109"/>
      <c r="E40" s="107"/>
      <c r="F40" s="107"/>
      <c r="H40" s="107"/>
    </row>
    <row r="41" spans="1:26">
      <c r="A41" s="101"/>
      <c r="B41" s="111"/>
      <c r="C41" s="110"/>
      <c r="D41" s="109"/>
      <c r="E41" s="107"/>
      <c r="F41" s="110"/>
      <c r="G41" s="101"/>
      <c r="H41" s="110"/>
    </row>
    <row r="42" spans="1:26">
      <c r="B42" s="111"/>
      <c r="C42" s="110"/>
      <c r="D42" s="109"/>
      <c r="E42" s="107"/>
      <c r="F42" s="107"/>
      <c r="H42" s="107"/>
      <c r="I42" s="103"/>
      <c r="J42" s="103"/>
    </row>
    <row r="43" spans="1:26">
      <c r="B43" s="370" t="s">
        <v>144</v>
      </c>
      <c r="C43" s="371"/>
      <c r="D43" s="372"/>
      <c r="E43" s="702"/>
      <c r="F43" s="702"/>
      <c r="G43" s="703"/>
      <c r="H43" s="702"/>
      <c r="I43" s="103"/>
      <c r="J43" s="103"/>
    </row>
    <row r="44" spans="1:26" ht="30" customHeight="1">
      <c r="B44" s="613" t="s">
        <v>16</v>
      </c>
      <c r="C44" s="110"/>
      <c r="D44" s="771" t="str">
        <f>CONCATENATE("Revenue received pursuant to PJM Schedule 1A revenue allocation procedures for transmission service outside of EKPC's zone during the year used to calculate rates under ",EKPC!J1)</f>
        <v>Revenue received pursuant to PJM Schedule 1A revenue allocation procedures for transmission service outside of EKPC's zone during the year used to calculate rates under Attachment H-24A</v>
      </c>
      <c r="E44" s="771"/>
      <c r="F44" s="771"/>
      <c r="G44" s="771"/>
      <c r="H44" s="771"/>
      <c r="I44" s="103"/>
      <c r="J44" s="351"/>
      <c r="K44" s="351"/>
      <c r="L44" s="351"/>
      <c r="M44" s="351"/>
      <c r="N44" s="351"/>
      <c r="O44" s="351"/>
      <c r="P44" s="101"/>
      <c r="Q44" s="101"/>
    </row>
    <row r="45" spans="1:26">
      <c r="B45" s="404" t="s">
        <v>17</v>
      </c>
      <c r="C45" s="106"/>
      <c r="D45" s="101" t="str">
        <f>CONCATENATE("Amount from ",EKPC!J1,", Appendix C, line 13 for stated year.")</f>
        <v>Amount from Attachment H-24A, Appendix C, line 13 for stated year.</v>
      </c>
      <c r="E45" s="110"/>
      <c r="F45" s="110"/>
      <c r="G45" s="110" t="s">
        <v>5</v>
      </c>
      <c r="H45" s="101"/>
      <c r="I45" s="525"/>
      <c r="J45" s="707"/>
      <c r="K45" s="101"/>
      <c r="L45" s="101"/>
      <c r="M45" s="101"/>
      <c r="N45" s="101"/>
      <c r="O45" s="101"/>
    </row>
    <row r="46" spans="1:26" ht="15" customHeight="1">
      <c r="B46" s="404" t="s">
        <v>18</v>
      </c>
      <c r="C46" s="106"/>
      <c r="D46" s="771" t="s">
        <v>597</v>
      </c>
      <c r="E46" s="770"/>
      <c r="F46" s="770"/>
      <c r="G46" s="770"/>
      <c r="H46" s="110"/>
      <c r="I46" s="526"/>
      <c r="J46" s="103"/>
      <c r="K46" s="101"/>
      <c r="L46" s="101"/>
      <c r="M46" s="101"/>
      <c r="N46" s="101"/>
      <c r="O46" s="101"/>
    </row>
    <row r="47" spans="1:26">
      <c r="B47" s="404" t="s">
        <v>19</v>
      </c>
      <c r="C47" s="106"/>
      <c r="D47" s="101" t="s">
        <v>600</v>
      </c>
      <c r="E47" s="110"/>
      <c r="F47" s="110"/>
      <c r="G47" s="110"/>
      <c r="H47" s="110"/>
      <c r="I47" s="525"/>
      <c r="J47" s="103"/>
      <c r="K47" s="101"/>
      <c r="L47" s="101"/>
      <c r="M47" s="101"/>
      <c r="N47" s="101"/>
      <c r="O47" s="101"/>
    </row>
    <row r="48" spans="1:26">
      <c r="B48" s="404" t="s">
        <v>20</v>
      </c>
      <c r="C48" s="103"/>
      <c r="D48" s="101" t="s">
        <v>601</v>
      </c>
      <c r="E48" s="103"/>
      <c r="F48" s="103"/>
      <c r="G48" s="103"/>
      <c r="H48" s="103"/>
      <c r="I48" s="103"/>
      <c r="J48" s="103"/>
    </row>
    <row r="49" spans="2:10">
      <c r="B49" s="404" t="s">
        <v>413</v>
      </c>
      <c r="C49" s="103"/>
      <c r="D49" s="101" t="s">
        <v>604</v>
      </c>
      <c r="E49" s="103"/>
      <c r="F49" s="103"/>
      <c r="G49" s="103"/>
      <c r="H49" s="103"/>
      <c r="I49" s="103"/>
      <c r="J49" s="103"/>
    </row>
    <row r="50" spans="2:10">
      <c r="B50" s="104"/>
      <c r="C50" s="103"/>
      <c r="D50" s="103"/>
      <c r="E50" s="103"/>
      <c r="F50" s="103"/>
      <c r="G50" s="103"/>
      <c r="H50" s="103"/>
      <c r="I50" s="103"/>
      <c r="J50" s="103"/>
    </row>
    <row r="51" spans="2:10">
      <c r="B51" s="104"/>
      <c r="C51" s="103"/>
      <c r="D51" s="103"/>
      <c r="E51" s="103"/>
      <c r="F51" s="103"/>
      <c r="G51" s="103"/>
      <c r="H51" s="103"/>
      <c r="I51" s="103"/>
      <c r="J51" s="103"/>
    </row>
    <row r="52" spans="2:10">
      <c r="B52" s="104"/>
      <c r="C52" s="103"/>
      <c r="D52" s="103"/>
      <c r="E52" s="103"/>
      <c r="F52" s="103"/>
      <c r="G52" s="103"/>
      <c r="H52" s="103"/>
      <c r="I52" s="103"/>
      <c r="J52" s="103"/>
    </row>
    <row r="53" spans="2:10">
      <c r="B53" s="104"/>
      <c r="C53" s="103"/>
      <c r="D53" s="103"/>
      <c r="E53" s="103"/>
      <c r="F53" s="103"/>
      <c r="G53" s="103"/>
      <c r="H53" s="103"/>
      <c r="I53" s="103"/>
      <c r="J53" s="103"/>
    </row>
    <row r="54" spans="2:10">
      <c r="B54" s="104"/>
      <c r="C54" s="103"/>
      <c r="D54" s="103"/>
      <c r="E54" s="103"/>
      <c r="F54" s="103"/>
      <c r="G54" s="103"/>
      <c r="H54" s="103"/>
      <c r="I54" s="103"/>
      <c r="J54" s="103"/>
    </row>
    <row r="55" spans="2:10">
      <c r="B55" s="104"/>
      <c r="C55" s="103"/>
      <c r="D55" s="103"/>
      <c r="E55" s="103"/>
      <c r="F55" s="103"/>
      <c r="G55" s="103"/>
      <c r="H55" s="103"/>
      <c r="I55" s="103"/>
      <c r="J55" s="103"/>
    </row>
    <row r="56" spans="2:10">
      <c r="B56" s="104"/>
      <c r="C56" s="103"/>
      <c r="D56" s="103"/>
      <c r="E56" s="103"/>
      <c r="F56" s="103"/>
      <c r="G56" s="103"/>
      <c r="H56" s="103"/>
      <c r="I56" s="103"/>
      <c r="J56" s="103"/>
    </row>
    <row r="57" spans="2:10">
      <c r="B57" s="104"/>
      <c r="C57" s="103"/>
      <c r="D57" s="103"/>
      <c r="E57" s="103"/>
      <c r="F57" s="103"/>
      <c r="G57" s="103"/>
      <c r="H57" s="103"/>
      <c r="I57" s="103"/>
      <c r="J57" s="103"/>
    </row>
    <row r="58" spans="2:10">
      <c r="B58" s="104"/>
      <c r="C58" s="103"/>
      <c r="D58" s="103"/>
      <c r="E58" s="103"/>
      <c r="F58" s="103"/>
      <c r="G58" s="103"/>
      <c r="H58" s="103"/>
      <c r="I58" s="103"/>
      <c r="J58" s="103"/>
    </row>
    <row r="59" spans="2:10">
      <c r="B59" s="104"/>
      <c r="C59" s="103"/>
      <c r="D59" s="103"/>
      <c r="E59" s="103"/>
      <c r="F59" s="103"/>
      <c r="G59" s="103"/>
      <c r="H59" s="103"/>
      <c r="I59" s="103"/>
      <c r="J59" s="103"/>
    </row>
    <row r="60" spans="2:10">
      <c r="B60" s="104"/>
      <c r="C60" s="103"/>
      <c r="D60" s="103"/>
      <c r="E60" s="103"/>
      <c r="F60" s="103"/>
      <c r="G60" s="103"/>
      <c r="H60" s="103"/>
      <c r="I60" s="103"/>
      <c r="J60" s="103"/>
    </row>
    <row r="61" spans="2:10">
      <c r="B61" s="104"/>
      <c r="C61" s="103"/>
      <c r="D61" s="103"/>
      <c r="E61" s="103"/>
      <c r="F61" s="103"/>
      <c r="G61" s="103"/>
      <c r="H61" s="103"/>
      <c r="I61" s="103"/>
      <c r="J61" s="103"/>
    </row>
    <row r="62" spans="2:10">
      <c r="B62" s="104"/>
      <c r="C62" s="103"/>
      <c r="D62" s="103"/>
      <c r="E62" s="103"/>
      <c r="F62" s="103"/>
      <c r="G62" s="103"/>
      <c r="H62" s="103"/>
      <c r="I62" s="103"/>
      <c r="J62" s="103"/>
    </row>
    <row r="63" spans="2:10">
      <c r="B63" s="104"/>
      <c r="C63" s="103"/>
      <c r="D63" s="103"/>
      <c r="E63" s="103"/>
      <c r="F63" s="103"/>
      <c r="G63" s="103"/>
      <c r="H63" s="103"/>
      <c r="I63" s="103"/>
      <c r="J63" s="103"/>
    </row>
    <row r="64" spans="2:10">
      <c r="B64" s="104"/>
      <c r="C64" s="103"/>
      <c r="D64" s="103"/>
      <c r="E64" s="103"/>
      <c r="F64" s="103"/>
      <c r="G64" s="103"/>
      <c r="H64" s="103"/>
      <c r="I64" s="103"/>
      <c r="J64" s="103"/>
    </row>
    <row r="65" spans="2:10">
      <c r="B65" s="104"/>
      <c r="C65" s="103"/>
      <c r="D65" s="103"/>
      <c r="E65" s="103"/>
      <c r="F65" s="103"/>
      <c r="G65" s="103"/>
      <c r="H65" s="103"/>
      <c r="I65" s="103"/>
      <c r="J65" s="103"/>
    </row>
    <row r="66" spans="2:10">
      <c r="B66" s="104"/>
      <c r="C66" s="103"/>
      <c r="D66" s="103"/>
      <c r="E66" s="103"/>
      <c r="F66" s="103"/>
      <c r="G66" s="103"/>
      <c r="H66" s="103"/>
      <c r="I66" s="103"/>
      <c r="J66" s="103"/>
    </row>
    <row r="67" spans="2:10">
      <c r="B67" s="104"/>
      <c r="C67" s="103"/>
      <c r="D67" s="103"/>
      <c r="E67" s="103"/>
      <c r="F67" s="103"/>
      <c r="G67" s="103"/>
      <c r="H67" s="103"/>
      <c r="I67" s="103"/>
      <c r="J67" s="103"/>
    </row>
    <row r="68" spans="2:10">
      <c r="B68" s="104"/>
      <c r="C68" s="103"/>
      <c r="D68" s="103"/>
      <c r="E68" s="103"/>
      <c r="F68" s="103"/>
      <c r="G68" s="103"/>
      <c r="H68" s="103"/>
      <c r="I68" s="103"/>
      <c r="J68" s="103"/>
    </row>
    <row r="69" spans="2:10">
      <c r="B69" s="104"/>
      <c r="C69" s="103"/>
      <c r="D69" s="103"/>
      <c r="E69" s="103"/>
      <c r="F69" s="103"/>
      <c r="G69" s="103"/>
      <c r="H69" s="103"/>
      <c r="I69" s="103"/>
      <c r="J69" s="103"/>
    </row>
    <row r="70" spans="2:10">
      <c r="B70" s="104"/>
      <c r="C70" s="103"/>
      <c r="D70" s="103"/>
      <c r="E70" s="103"/>
      <c r="F70" s="103"/>
      <c r="G70" s="103"/>
      <c r="H70" s="103"/>
      <c r="I70" s="103"/>
      <c r="J70" s="103"/>
    </row>
    <row r="71" spans="2:10">
      <c r="B71" s="104"/>
      <c r="C71" s="103"/>
      <c r="D71" s="103"/>
      <c r="E71" s="103"/>
      <c r="F71" s="103"/>
      <c r="G71" s="103"/>
      <c r="H71" s="103"/>
      <c r="I71" s="103"/>
      <c r="J71" s="103"/>
    </row>
    <row r="72" spans="2:10">
      <c r="B72" s="104"/>
      <c r="C72" s="103"/>
      <c r="D72" s="103"/>
      <c r="E72" s="103"/>
      <c r="F72" s="103"/>
      <c r="G72" s="103"/>
      <c r="H72" s="103"/>
      <c r="I72" s="103"/>
      <c r="J72" s="103"/>
    </row>
    <row r="73" spans="2:10">
      <c r="B73" s="104"/>
      <c r="C73" s="103"/>
      <c r="D73" s="103"/>
      <c r="E73" s="103"/>
      <c r="F73" s="103"/>
      <c r="G73" s="103"/>
      <c r="H73" s="103"/>
      <c r="I73" s="103"/>
      <c r="J73" s="103"/>
    </row>
    <row r="74" spans="2:10">
      <c r="B74" s="104"/>
      <c r="C74" s="103"/>
      <c r="D74" s="103"/>
      <c r="E74" s="103"/>
      <c r="F74" s="103"/>
      <c r="G74" s="103"/>
      <c r="H74" s="103"/>
      <c r="I74" s="103"/>
      <c r="J74" s="103"/>
    </row>
    <row r="75" spans="2:10">
      <c r="B75" s="104"/>
      <c r="C75" s="103"/>
      <c r="D75" s="103"/>
      <c r="E75" s="103"/>
      <c r="F75" s="103"/>
      <c r="G75" s="103"/>
      <c r="H75" s="103"/>
      <c r="I75" s="103"/>
      <c r="J75" s="103"/>
    </row>
    <row r="76" spans="2:10">
      <c r="B76" s="104"/>
      <c r="C76" s="103"/>
      <c r="D76" s="103"/>
      <c r="E76" s="103"/>
      <c r="F76" s="103"/>
      <c r="G76" s="103"/>
      <c r="H76" s="103"/>
      <c r="I76" s="103"/>
      <c r="J76" s="103"/>
    </row>
    <row r="77" spans="2:10">
      <c r="B77" s="104"/>
      <c r="C77" s="103"/>
      <c r="D77" s="103"/>
      <c r="E77" s="103"/>
      <c r="F77" s="103"/>
      <c r="G77" s="103"/>
      <c r="H77" s="103"/>
      <c r="I77" s="103"/>
      <c r="J77" s="103"/>
    </row>
    <row r="78" spans="2:10">
      <c r="B78" s="104"/>
      <c r="C78" s="103"/>
      <c r="D78" s="103"/>
      <c r="E78" s="103"/>
      <c r="F78" s="103"/>
      <c r="G78" s="103"/>
      <c r="H78" s="103"/>
      <c r="I78" s="103"/>
      <c r="J78" s="103"/>
    </row>
    <row r="79" spans="2:10">
      <c r="B79" s="104"/>
      <c r="C79" s="103"/>
      <c r="D79" s="103"/>
      <c r="E79" s="103"/>
      <c r="F79" s="103"/>
      <c r="G79" s="103"/>
      <c r="H79" s="103"/>
      <c r="I79" s="103"/>
      <c r="J79" s="103"/>
    </row>
    <row r="80" spans="2:10">
      <c r="B80" s="104"/>
      <c r="C80" s="103"/>
      <c r="D80" s="103"/>
      <c r="E80" s="103"/>
      <c r="F80" s="103"/>
      <c r="G80" s="103"/>
      <c r="H80" s="103"/>
      <c r="I80" s="103"/>
      <c r="J80" s="103"/>
    </row>
    <row r="81" spans="2:10">
      <c r="B81" s="104"/>
      <c r="C81" s="103"/>
      <c r="D81" s="103"/>
      <c r="E81" s="103"/>
      <c r="F81" s="103"/>
      <c r="G81" s="103"/>
      <c r="H81" s="103"/>
      <c r="I81" s="103"/>
      <c r="J81" s="103"/>
    </row>
    <row r="82" spans="2:10">
      <c r="B82" s="104"/>
      <c r="C82" s="103"/>
      <c r="D82" s="103"/>
      <c r="E82" s="103"/>
      <c r="F82" s="103"/>
      <c r="G82" s="103"/>
      <c r="H82" s="103"/>
      <c r="I82" s="103"/>
      <c r="J82" s="103"/>
    </row>
    <row r="83" spans="2:10">
      <c r="B83" s="104"/>
      <c r="C83" s="103"/>
      <c r="D83" s="103"/>
      <c r="E83" s="103"/>
      <c r="F83" s="103"/>
      <c r="G83" s="103"/>
      <c r="H83" s="103"/>
      <c r="I83" s="103"/>
      <c r="J83" s="103"/>
    </row>
    <row r="84" spans="2:10">
      <c r="B84" s="104"/>
      <c r="C84" s="103"/>
      <c r="D84" s="103"/>
      <c r="E84" s="103"/>
      <c r="F84" s="103"/>
      <c r="G84" s="103"/>
      <c r="H84" s="103"/>
      <c r="I84" s="103"/>
      <c r="J84" s="103"/>
    </row>
    <row r="85" spans="2:10">
      <c r="B85" s="104"/>
      <c r="C85" s="103"/>
      <c r="D85" s="103"/>
      <c r="E85" s="103"/>
      <c r="F85" s="103"/>
      <c r="G85" s="103"/>
      <c r="H85" s="103"/>
      <c r="I85" s="103"/>
      <c r="J85" s="103"/>
    </row>
    <row r="86" spans="2:10">
      <c r="B86" s="104"/>
      <c r="C86" s="103"/>
      <c r="D86" s="103"/>
      <c r="E86" s="103"/>
      <c r="F86" s="103"/>
      <c r="G86" s="103"/>
      <c r="H86" s="103"/>
      <c r="I86" s="103"/>
      <c r="J86" s="103"/>
    </row>
    <row r="87" spans="2:10">
      <c r="B87" s="104"/>
      <c r="C87" s="103"/>
      <c r="D87" s="103"/>
      <c r="E87" s="103"/>
      <c r="F87" s="103"/>
      <c r="G87" s="103"/>
      <c r="H87" s="103"/>
      <c r="I87" s="103"/>
      <c r="J87" s="103"/>
    </row>
    <row r="88" spans="2:10">
      <c r="B88" s="104"/>
      <c r="C88" s="103"/>
      <c r="D88" s="103"/>
      <c r="E88" s="103"/>
      <c r="F88" s="103"/>
      <c r="G88" s="103"/>
      <c r="H88" s="103"/>
      <c r="I88" s="103"/>
      <c r="J88" s="103"/>
    </row>
    <row r="89" spans="2:10">
      <c r="B89" s="104"/>
      <c r="C89" s="103"/>
      <c r="D89" s="103"/>
      <c r="E89" s="103"/>
      <c r="F89" s="103"/>
      <c r="G89" s="103"/>
      <c r="H89" s="103"/>
      <c r="I89" s="103"/>
      <c r="J89" s="103"/>
    </row>
    <row r="90" spans="2:10">
      <c r="B90" s="104"/>
      <c r="C90" s="103"/>
      <c r="D90" s="103"/>
      <c r="E90" s="103"/>
      <c r="F90" s="103"/>
      <c r="G90" s="103"/>
      <c r="H90" s="103"/>
      <c r="I90" s="103"/>
      <c r="J90" s="103"/>
    </row>
    <row r="91" spans="2:10">
      <c r="B91" s="104"/>
      <c r="C91" s="103"/>
      <c r="D91" s="103"/>
      <c r="E91" s="103"/>
      <c r="F91" s="103"/>
      <c r="G91" s="103"/>
      <c r="H91" s="103"/>
      <c r="I91" s="103"/>
      <c r="J91" s="103"/>
    </row>
    <row r="92" spans="2:10">
      <c r="B92" s="104"/>
      <c r="C92" s="103"/>
      <c r="D92" s="103"/>
      <c r="E92" s="103"/>
      <c r="F92" s="103"/>
      <c r="G92" s="103"/>
      <c r="H92" s="103"/>
      <c r="I92" s="103"/>
      <c r="J92" s="103"/>
    </row>
    <row r="93" spans="2:10">
      <c r="B93" s="104"/>
      <c r="C93" s="103"/>
      <c r="D93" s="103"/>
      <c r="E93" s="103"/>
      <c r="F93" s="103"/>
      <c r="G93" s="103"/>
      <c r="H93" s="103"/>
      <c r="I93" s="103"/>
      <c r="J93" s="103"/>
    </row>
    <row r="94" spans="2:10">
      <c r="B94" s="104"/>
      <c r="C94" s="103"/>
      <c r="D94" s="103"/>
      <c r="E94" s="103"/>
      <c r="F94" s="103"/>
      <c r="G94" s="103"/>
      <c r="H94" s="103"/>
      <c r="I94" s="103"/>
      <c r="J94" s="103"/>
    </row>
    <row r="95" spans="2:10">
      <c r="B95" s="104"/>
      <c r="C95" s="103"/>
      <c r="D95" s="103"/>
      <c r="E95" s="103"/>
      <c r="F95" s="103"/>
      <c r="G95" s="103"/>
      <c r="H95" s="103"/>
      <c r="I95" s="103"/>
      <c r="J95" s="103"/>
    </row>
    <row r="96" spans="2:10">
      <c r="B96" s="104"/>
      <c r="C96" s="103"/>
      <c r="D96" s="103"/>
      <c r="E96" s="103"/>
      <c r="F96" s="103"/>
      <c r="G96" s="103"/>
      <c r="H96" s="103"/>
      <c r="I96" s="103"/>
      <c r="J96" s="103"/>
    </row>
    <row r="97" spans="2:10">
      <c r="B97" s="104"/>
      <c r="C97" s="103"/>
      <c r="D97" s="103"/>
      <c r="E97" s="103"/>
      <c r="F97" s="103"/>
      <c r="G97" s="103"/>
      <c r="H97" s="103"/>
      <c r="I97" s="103"/>
      <c r="J97" s="103"/>
    </row>
    <row r="98" spans="2:10">
      <c r="B98" s="102"/>
      <c r="C98" s="101"/>
      <c r="D98" s="101"/>
      <c r="E98" s="101"/>
      <c r="F98" s="101"/>
      <c r="H98" s="101"/>
    </row>
    <row r="99" spans="2:10">
      <c r="B99" s="102"/>
      <c r="C99" s="101"/>
      <c r="D99" s="101"/>
      <c r="E99" s="101"/>
      <c r="F99" s="101"/>
      <c r="H99" s="101"/>
    </row>
    <row r="100" spans="2:10">
      <c r="B100" s="102"/>
      <c r="C100" s="101"/>
      <c r="D100" s="101"/>
      <c r="E100" s="101"/>
      <c r="F100" s="101"/>
      <c r="H100" s="101"/>
    </row>
    <row r="101" spans="2:10">
      <c r="B101" s="102"/>
      <c r="C101" s="101"/>
      <c r="D101" s="101"/>
      <c r="E101" s="101"/>
      <c r="F101" s="101"/>
      <c r="H101" s="101"/>
    </row>
    <row r="102" spans="2:10">
      <c r="B102" s="102"/>
      <c r="C102" s="101"/>
      <c r="D102" s="101"/>
      <c r="E102" s="101"/>
      <c r="F102" s="101"/>
      <c r="H102" s="101"/>
    </row>
    <row r="103" spans="2:10">
      <c r="B103" s="102"/>
      <c r="C103" s="101"/>
      <c r="D103" s="101"/>
      <c r="E103" s="101"/>
      <c r="F103" s="101"/>
      <c r="H103" s="101"/>
    </row>
    <row r="104" spans="2:10">
      <c r="B104" s="102"/>
      <c r="C104" s="101"/>
      <c r="D104" s="101"/>
      <c r="E104" s="101"/>
      <c r="F104" s="101"/>
      <c r="H104" s="101"/>
    </row>
    <row r="105" spans="2:10">
      <c r="B105" s="102"/>
      <c r="C105" s="101"/>
      <c r="D105" s="101"/>
      <c r="E105" s="101"/>
      <c r="F105" s="101"/>
      <c r="H105" s="101"/>
    </row>
    <row r="106" spans="2:10">
      <c r="B106" s="102"/>
      <c r="C106" s="101"/>
      <c r="D106" s="101"/>
      <c r="E106" s="101"/>
      <c r="F106" s="101"/>
      <c r="H106" s="101"/>
    </row>
    <row r="107" spans="2:10">
      <c r="B107" s="102"/>
      <c r="C107" s="101"/>
      <c r="D107" s="101"/>
      <c r="E107" s="101"/>
      <c r="F107" s="101"/>
      <c r="H107" s="101"/>
    </row>
    <row r="108" spans="2:10">
      <c r="B108" s="102"/>
      <c r="C108" s="101"/>
      <c r="D108" s="101"/>
      <c r="E108" s="101"/>
      <c r="F108" s="101"/>
      <c r="H108" s="101"/>
    </row>
    <row r="109" spans="2:10">
      <c r="B109" s="102"/>
      <c r="C109" s="101"/>
      <c r="D109" s="101"/>
      <c r="E109" s="101"/>
      <c r="F109" s="101"/>
      <c r="H109" s="101"/>
    </row>
    <row r="110" spans="2:10">
      <c r="B110" s="102"/>
      <c r="C110" s="101"/>
      <c r="D110" s="101"/>
      <c r="E110" s="101"/>
      <c r="F110" s="101"/>
      <c r="H110" s="101"/>
    </row>
    <row r="111" spans="2:10">
      <c r="B111" s="102"/>
      <c r="C111" s="101"/>
      <c r="D111" s="101"/>
      <c r="E111" s="101"/>
      <c r="F111" s="101"/>
      <c r="H111" s="101"/>
    </row>
    <row r="112" spans="2:10">
      <c r="B112" s="102"/>
      <c r="C112" s="101"/>
      <c r="D112" s="101"/>
      <c r="E112" s="101"/>
      <c r="F112" s="101"/>
      <c r="H112" s="101"/>
    </row>
    <row r="113" spans="2:8">
      <c r="B113" s="102"/>
      <c r="C113" s="101"/>
      <c r="D113" s="101"/>
      <c r="E113" s="101"/>
      <c r="F113" s="101"/>
      <c r="H113" s="101"/>
    </row>
    <row r="114" spans="2:8">
      <c r="B114" s="102"/>
      <c r="C114" s="101"/>
      <c r="D114" s="101"/>
      <c r="E114" s="101"/>
      <c r="F114" s="101"/>
      <c r="H114" s="101"/>
    </row>
    <row r="115" spans="2:8">
      <c r="B115" s="102"/>
      <c r="C115" s="101"/>
      <c r="D115" s="101"/>
      <c r="E115" s="101"/>
      <c r="F115" s="101"/>
      <c r="H115" s="101"/>
    </row>
    <row r="116" spans="2:8">
      <c r="B116" s="102"/>
      <c r="C116" s="101"/>
      <c r="D116" s="101"/>
      <c r="E116" s="101"/>
      <c r="F116" s="101"/>
      <c r="H116" s="101"/>
    </row>
    <row r="117" spans="2:8">
      <c r="B117" s="102"/>
      <c r="C117" s="101"/>
      <c r="D117" s="101"/>
      <c r="E117" s="101"/>
      <c r="F117" s="101"/>
      <c r="H117" s="101"/>
    </row>
    <row r="118" spans="2:8">
      <c r="B118" s="102"/>
      <c r="C118" s="101"/>
      <c r="D118" s="101"/>
      <c r="E118" s="101"/>
      <c r="F118" s="101"/>
      <c r="H118" s="101"/>
    </row>
    <row r="119" spans="2:8">
      <c r="B119" s="102"/>
      <c r="C119" s="101"/>
      <c r="D119" s="101"/>
      <c r="E119" s="101"/>
      <c r="F119" s="101"/>
      <c r="H119" s="101"/>
    </row>
    <row r="120" spans="2:8">
      <c r="B120" s="102"/>
      <c r="C120" s="101"/>
      <c r="D120" s="101"/>
      <c r="E120" s="101"/>
      <c r="F120" s="101"/>
      <c r="H120" s="101"/>
    </row>
    <row r="121" spans="2:8">
      <c r="B121" s="102"/>
      <c r="C121" s="101"/>
      <c r="D121" s="101"/>
      <c r="E121" s="101"/>
      <c r="F121" s="101"/>
      <c r="H121" s="101"/>
    </row>
    <row r="122" spans="2:8">
      <c r="B122" s="102"/>
      <c r="C122" s="101"/>
      <c r="D122" s="101"/>
      <c r="E122" s="101"/>
      <c r="F122" s="101"/>
      <c r="H122" s="101"/>
    </row>
    <row r="123" spans="2:8">
      <c r="B123" s="102"/>
      <c r="C123" s="101"/>
      <c r="D123" s="101"/>
      <c r="E123" s="101"/>
      <c r="F123" s="101"/>
      <c r="H123" s="101"/>
    </row>
    <row r="124" spans="2:8">
      <c r="B124" s="102"/>
      <c r="C124" s="101"/>
      <c r="D124" s="101"/>
      <c r="E124" s="101"/>
      <c r="F124" s="101"/>
      <c r="H124" s="101"/>
    </row>
    <row r="125" spans="2:8">
      <c r="B125" s="102"/>
      <c r="C125" s="101"/>
      <c r="D125" s="101"/>
      <c r="E125" s="101"/>
      <c r="F125" s="101"/>
      <c r="H125" s="101"/>
    </row>
    <row r="126" spans="2:8">
      <c r="B126" s="102"/>
      <c r="C126" s="101"/>
      <c r="D126" s="101"/>
      <c r="E126" s="101"/>
      <c r="F126" s="101"/>
      <c r="H126" s="101"/>
    </row>
    <row r="127" spans="2:8">
      <c r="B127" s="102"/>
      <c r="C127" s="101"/>
      <c r="D127" s="101"/>
      <c r="E127" s="101"/>
      <c r="F127" s="101"/>
      <c r="H127" s="101"/>
    </row>
    <row r="128" spans="2:8">
      <c r="B128" s="102"/>
      <c r="C128" s="101"/>
      <c r="D128" s="101"/>
      <c r="E128" s="101"/>
      <c r="F128" s="101"/>
      <c r="H128" s="101"/>
    </row>
    <row r="129" spans="2:8">
      <c r="B129" s="102"/>
      <c r="C129" s="101"/>
      <c r="D129" s="101"/>
      <c r="E129" s="101"/>
      <c r="F129" s="101"/>
      <c r="H129" s="101"/>
    </row>
    <row r="130" spans="2:8">
      <c r="B130" s="102"/>
      <c r="C130" s="101"/>
      <c r="D130" s="101"/>
      <c r="E130" s="101"/>
      <c r="F130" s="101"/>
      <c r="H130" s="101"/>
    </row>
    <row r="131" spans="2:8">
      <c r="B131" s="102"/>
      <c r="C131" s="101"/>
      <c r="D131" s="101"/>
      <c r="E131" s="101"/>
      <c r="F131" s="101"/>
      <c r="H131" s="101"/>
    </row>
    <row r="132" spans="2:8">
      <c r="B132" s="102"/>
      <c r="C132" s="101"/>
      <c r="D132" s="101"/>
      <c r="E132" s="101"/>
      <c r="F132" s="101"/>
      <c r="H132" s="101"/>
    </row>
    <row r="133" spans="2:8">
      <c r="B133" s="102"/>
      <c r="C133" s="101"/>
      <c r="D133" s="101"/>
      <c r="E133" s="101"/>
      <c r="F133" s="101"/>
      <c r="H133" s="101"/>
    </row>
    <row r="134" spans="2:8">
      <c r="B134" s="102"/>
      <c r="C134" s="101"/>
      <c r="D134" s="101"/>
      <c r="E134" s="101"/>
      <c r="F134" s="101"/>
      <c r="H134" s="101"/>
    </row>
    <row r="135" spans="2:8">
      <c r="B135" s="102"/>
      <c r="C135" s="101"/>
      <c r="D135" s="101"/>
      <c r="E135" s="101"/>
      <c r="F135" s="101"/>
      <c r="H135" s="101"/>
    </row>
    <row r="136" spans="2:8">
      <c r="B136" s="102"/>
      <c r="C136" s="101"/>
      <c r="D136" s="101"/>
      <c r="E136" s="101"/>
      <c r="F136" s="101"/>
      <c r="H136" s="101"/>
    </row>
    <row r="137" spans="2:8">
      <c r="B137" s="102"/>
      <c r="C137" s="101"/>
      <c r="D137" s="101"/>
      <c r="E137" s="101"/>
      <c r="F137" s="101"/>
      <c r="H137" s="101"/>
    </row>
    <row r="138" spans="2:8">
      <c r="B138" s="102"/>
      <c r="C138" s="101"/>
      <c r="D138" s="101"/>
      <c r="E138" s="101"/>
      <c r="F138" s="101"/>
      <c r="H138" s="101"/>
    </row>
    <row r="139" spans="2:8">
      <c r="B139" s="102"/>
      <c r="C139" s="101"/>
      <c r="D139" s="101"/>
      <c r="E139" s="101"/>
      <c r="F139" s="101"/>
      <c r="H139" s="101"/>
    </row>
    <row r="140" spans="2:8">
      <c r="B140" s="102"/>
      <c r="C140" s="101"/>
      <c r="D140" s="101"/>
      <c r="E140" s="101"/>
      <c r="F140" s="101"/>
      <c r="H140" s="101"/>
    </row>
    <row r="141" spans="2:8">
      <c r="B141" s="102"/>
      <c r="C141" s="101"/>
      <c r="D141" s="101"/>
      <c r="E141" s="101"/>
      <c r="F141" s="101"/>
      <c r="H141" s="101"/>
    </row>
    <row r="142" spans="2:8">
      <c r="B142" s="102"/>
      <c r="C142" s="101"/>
      <c r="D142" s="101"/>
      <c r="E142" s="101"/>
      <c r="F142" s="101"/>
      <c r="H142" s="101"/>
    </row>
    <row r="143" spans="2:8">
      <c r="B143" s="102"/>
      <c r="C143" s="101"/>
      <c r="D143" s="101"/>
      <c r="E143" s="101"/>
      <c r="F143" s="101"/>
      <c r="H143" s="101"/>
    </row>
    <row r="144" spans="2:8">
      <c r="B144" s="102"/>
      <c r="C144" s="101"/>
      <c r="D144" s="101"/>
      <c r="E144" s="101"/>
      <c r="F144" s="101"/>
      <c r="H144" s="101"/>
    </row>
    <row r="145" spans="2:8">
      <c r="B145" s="102"/>
      <c r="C145" s="101"/>
      <c r="D145" s="101"/>
      <c r="E145" s="101"/>
      <c r="F145" s="101"/>
      <c r="H145" s="101"/>
    </row>
    <row r="146" spans="2:8">
      <c r="B146" s="102"/>
      <c r="C146" s="101"/>
      <c r="D146" s="101"/>
      <c r="E146" s="101"/>
      <c r="F146" s="101"/>
      <c r="H146" s="101"/>
    </row>
    <row r="147" spans="2:8">
      <c r="B147" s="102"/>
      <c r="C147" s="101"/>
      <c r="D147" s="101"/>
      <c r="E147" s="101"/>
      <c r="F147" s="101"/>
      <c r="H147" s="101"/>
    </row>
    <row r="148" spans="2:8">
      <c r="B148" s="102"/>
      <c r="C148" s="101"/>
      <c r="D148" s="101"/>
      <c r="E148" s="101"/>
      <c r="F148" s="101"/>
      <c r="H148" s="101"/>
    </row>
    <row r="149" spans="2:8">
      <c r="B149" s="102"/>
      <c r="C149" s="101"/>
      <c r="D149" s="101"/>
      <c r="E149" s="101"/>
      <c r="F149" s="101"/>
      <c r="H149" s="101"/>
    </row>
    <row r="150" spans="2:8">
      <c r="B150" s="102"/>
      <c r="C150" s="101"/>
      <c r="D150" s="101"/>
      <c r="E150" s="101"/>
      <c r="F150" s="101"/>
      <c r="H150" s="101"/>
    </row>
    <row r="151" spans="2:8">
      <c r="B151" s="102"/>
      <c r="C151" s="101"/>
      <c r="D151" s="101"/>
      <c r="E151" s="101"/>
      <c r="F151" s="101"/>
      <c r="H151" s="101"/>
    </row>
    <row r="152" spans="2:8">
      <c r="B152" s="102"/>
      <c r="C152" s="101"/>
      <c r="D152" s="101"/>
      <c r="E152" s="101"/>
      <c r="F152" s="101"/>
      <c r="H152" s="101"/>
    </row>
    <row r="153" spans="2:8">
      <c r="B153" s="102"/>
      <c r="C153" s="101"/>
      <c r="D153" s="101"/>
      <c r="E153" s="101"/>
      <c r="F153" s="101"/>
      <c r="H153" s="101"/>
    </row>
    <row r="154" spans="2:8">
      <c r="B154" s="102"/>
      <c r="C154" s="101"/>
      <c r="D154" s="101"/>
      <c r="E154" s="101"/>
      <c r="F154" s="101"/>
      <c r="H154" s="101"/>
    </row>
    <row r="155" spans="2:8">
      <c r="B155" s="102"/>
      <c r="C155" s="101"/>
      <c r="D155" s="101"/>
      <c r="E155" s="101"/>
      <c r="F155" s="101"/>
      <c r="H155" s="101"/>
    </row>
    <row r="156" spans="2:8">
      <c r="B156" s="102"/>
      <c r="C156" s="101"/>
      <c r="D156" s="101"/>
      <c r="E156" s="101"/>
      <c r="F156" s="101"/>
      <c r="H156" s="101"/>
    </row>
    <row r="157" spans="2:8">
      <c r="B157" s="102"/>
      <c r="C157" s="101"/>
      <c r="D157" s="101"/>
      <c r="E157" s="101"/>
      <c r="F157" s="101"/>
      <c r="H157" s="101"/>
    </row>
    <row r="158" spans="2:8">
      <c r="B158" s="102"/>
      <c r="C158" s="101"/>
      <c r="D158" s="101"/>
      <c r="E158" s="101"/>
      <c r="F158" s="101"/>
      <c r="H158" s="101"/>
    </row>
    <row r="159" spans="2:8">
      <c r="B159" s="102"/>
      <c r="C159" s="101"/>
      <c r="D159" s="101"/>
      <c r="E159" s="101"/>
      <c r="F159" s="101"/>
      <c r="H159" s="101"/>
    </row>
    <row r="160" spans="2:8">
      <c r="B160" s="102"/>
      <c r="C160" s="101"/>
      <c r="D160" s="101"/>
      <c r="E160" s="101"/>
      <c r="F160" s="101"/>
      <c r="H160" s="101"/>
    </row>
    <row r="161" spans="2:8">
      <c r="B161" s="102"/>
      <c r="C161" s="101"/>
      <c r="D161" s="101"/>
      <c r="E161" s="101"/>
      <c r="F161" s="101"/>
      <c r="H161" s="101"/>
    </row>
    <row r="162" spans="2:8">
      <c r="B162" s="102"/>
      <c r="C162" s="101"/>
      <c r="D162" s="101"/>
      <c r="E162" s="101"/>
      <c r="F162" s="101"/>
      <c r="H162" s="101"/>
    </row>
    <row r="163" spans="2:8">
      <c r="B163" s="102"/>
      <c r="C163" s="101"/>
      <c r="D163" s="101"/>
      <c r="E163" s="101"/>
      <c r="F163" s="101"/>
      <c r="H163" s="101"/>
    </row>
    <row r="164" spans="2:8">
      <c r="B164" s="102"/>
      <c r="C164" s="101"/>
      <c r="D164" s="101"/>
      <c r="E164" s="101"/>
      <c r="F164" s="101"/>
      <c r="H164" s="101"/>
    </row>
    <row r="165" spans="2:8">
      <c r="B165" s="102"/>
      <c r="C165" s="101"/>
      <c r="D165" s="101"/>
      <c r="E165" s="101"/>
      <c r="F165" s="101"/>
      <c r="H165" s="101"/>
    </row>
    <row r="166" spans="2:8">
      <c r="B166" s="102"/>
      <c r="C166" s="101"/>
      <c r="D166" s="101"/>
      <c r="E166" s="101"/>
      <c r="F166" s="101"/>
      <c r="H166" s="101"/>
    </row>
    <row r="167" spans="2:8">
      <c r="B167" s="102"/>
      <c r="C167" s="101"/>
      <c r="D167" s="101"/>
      <c r="E167" s="101"/>
      <c r="F167" s="101"/>
      <c r="H167" s="101"/>
    </row>
    <row r="168" spans="2:8">
      <c r="B168" s="102"/>
      <c r="C168" s="101"/>
      <c r="D168" s="101"/>
      <c r="E168" s="101"/>
      <c r="F168" s="101"/>
      <c r="H168" s="101"/>
    </row>
    <row r="169" spans="2:8">
      <c r="B169" s="102"/>
      <c r="C169" s="101"/>
      <c r="D169" s="101"/>
      <c r="E169" s="101"/>
      <c r="F169" s="101"/>
      <c r="H169" s="101"/>
    </row>
    <row r="170" spans="2:8">
      <c r="B170" s="102"/>
      <c r="C170" s="101"/>
      <c r="D170" s="101"/>
      <c r="E170" s="101"/>
      <c r="F170" s="101"/>
      <c r="H170" s="101"/>
    </row>
    <row r="171" spans="2:8">
      <c r="B171" s="102"/>
      <c r="C171" s="101"/>
      <c r="D171" s="101"/>
      <c r="E171" s="101"/>
      <c r="F171" s="101"/>
      <c r="H171" s="101"/>
    </row>
    <row r="172" spans="2:8">
      <c r="B172" s="102"/>
      <c r="C172" s="101"/>
      <c r="D172" s="101"/>
      <c r="E172" s="101"/>
      <c r="F172" s="101"/>
      <c r="H172" s="101"/>
    </row>
    <row r="173" spans="2:8">
      <c r="B173" s="102"/>
      <c r="C173" s="101"/>
      <c r="D173" s="101"/>
      <c r="E173" s="101"/>
      <c r="F173" s="101"/>
      <c r="H173" s="101"/>
    </row>
    <row r="174" spans="2:8">
      <c r="B174" s="102"/>
      <c r="C174" s="101"/>
      <c r="D174" s="101"/>
      <c r="E174" s="101"/>
      <c r="F174" s="101"/>
      <c r="H174" s="101"/>
    </row>
    <row r="175" spans="2:8">
      <c r="B175" s="102"/>
      <c r="C175" s="101"/>
      <c r="D175" s="101"/>
      <c r="E175" s="101"/>
      <c r="F175" s="101"/>
      <c r="H175" s="101"/>
    </row>
    <row r="176" spans="2:8">
      <c r="B176" s="102"/>
      <c r="C176" s="101"/>
      <c r="D176" s="101"/>
      <c r="E176" s="101"/>
      <c r="F176" s="101"/>
      <c r="H176" s="101"/>
    </row>
    <row r="177" spans="2:8">
      <c r="B177" s="102"/>
      <c r="C177" s="101"/>
      <c r="D177" s="101"/>
      <c r="E177" s="101"/>
      <c r="F177" s="101"/>
      <c r="H177" s="101"/>
    </row>
    <row r="178" spans="2:8">
      <c r="B178" s="102"/>
      <c r="C178" s="101"/>
      <c r="D178" s="101"/>
      <c r="E178" s="101"/>
      <c r="F178" s="101"/>
      <c r="H178" s="101"/>
    </row>
    <row r="179" spans="2:8">
      <c r="B179" s="102"/>
      <c r="C179" s="101"/>
      <c r="D179" s="101"/>
      <c r="E179" s="101"/>
      <c r="F179" s="101"/>
      <c r="H179" s="101"/>
    </row>
    <row r="180" spans="2:8">
      <c r="B180" s="102"/>
      <c r="C180" s="101"/>
      <c r="D180" s="101"/>
      <c r="E180" s="101"/>
      <c r="F180" s="101"/>
      <c r="H180" s="101"/>
    </row>
    <row r="181" spans="2:8">
      <c r="B181" s="102"/>
      <c r="C181" s="101"/>
      <c r="D181" s="101"/>
      <c r="E181" s="101"/>
      <c r="F181" s="101"/>
      <c r="H181" s="101"/>
    </row>
    <row r="182" spans="2:8">
      <c r="B182" s="102"/>
      <c r="C182" s="101"/>
      <c r="D182" s="101"/>
      <c r="E182" s="101"/>
      <c r="F182" s="101"/>
      <c r="H182" s="101"/>
    </row>
    <row r="183" spans="2:8">
      <c r="B183" s="102"/>
      <c r="C183" s="101"/>
      <c r="D183" s="101"/>
      <c r="E183" s="101"/>
      <c r="F183" s="101"/>
      <c r="H183" s="101"/>
    </row>
    <row r="184" spans="2:8">
      <c r="B184" s="102"/>
      <c r="C184" s="101"/>
      <c r="D184" s="101"/>
      <c r="E184" s="101"/>
      <c r="F184" s="101"/>
      <c r="H184" s="101"/>
    </row>
    <row r="185" spans="2:8">
      <c r="B185" s="102"/>
      <c r="C185" s="101"/>
      <c r="D185" s="101"/>
      <c r="E185" s="101"/>
      <c r="F185" s="101"/>
      <c r="H185" s="101"/>
    </row>
    <row r="186" spans="2:8">
      <c r="B186" s="102"/>
      <c r="C186" s="101"/>
      <c r="D186" s="101"/>
      <c r="E186" s="101"/>
      <c r="F186" s="101"/>
      <c r="H186" s="101"/>
    </row>
    <row r="187" spans="2:8">
      <c r="B187" s="102"/>
      <c r="C187" s="101"/>
      <c r="D187" s="101"/>
      <c r="E187" s="101"/>
      <c r="F187" s="101"/>
      <c r="H187" s="101"/>
    </row>
    <row r="188" spans="2:8">
      <c r="B188" s="102"/>
      <c r="C188" s="101"/>
      <c r="D188" s="101"/>
      <c r="E188" s="101"/>
      <c r="F188" s="101"/>
      <c r="H188" s="101"/>
    </row>
    <row r="189" spans="2:8">
      <c r="B189" s="102"/>
      <c r="C189" s="101"/>
      <c r="D189" s="101"/>
      <c r="E189" s="101"/>
      <c r="F189" s="101"/>
      <c r="H189" s="101"/>
    </row>
    <row r="190" spans="2:8">
      <c r="B190" s="102"/>
      <c r="C190" s="101"/>
      <c r="D190" s="101"/>
      <c r="E190" s="101"/>
      <c r="F190" s="101"/>
      <c r="H190" s="101"/>
    </row>
    <row r="191" spans="2:8">
      <c r="B191" s="102"/>
      <c r="C191" s="101"/>
      <c r="D191" s="101"/>
      <c r="E191" s="101"/>
      <c r="F191" s="101"/>
      <c r="H191" s="101"/>
    </row>
    <row r="192" spans="2:8">
      <c r="B192" s="102"/>
      <c r="C192" s="101"/>
      <c r="D192" s="101"/>
      <c r="E192" s="101"/>
      <c r="F192" s="101"/>
      <c r="H192" s="101"/>
    </row>
    <row r="193" spans="2:8">
      <c r="B193" s="102"/>
      <c r="C193" s="101"/>
      <c r="D193" s="101"/>
      <c r="E193" s="101"/>
      <c r="F193" s="101"/>
      <c r="H193" s="101"/>
    </row>
    <row r="194" spans="2:8">
      <c r="B194" s="102"/>
      <c r="C194" s="101"/>
      <c r="D194" s="101"/>
      <c r="E194" s="101"/>
      <c r="F194" s="101"/>
      <c r="H194" s="101"/>
    </row>
    <row r="195" spans="2:8">
      <c r="B195" s="102"/>
      <c r="C195" s="101"/>
      <c r="D195" s="101"/>
      <c r="E195" s="101"/>
      <c r="F195" s="101"/>
      <c r="H195" s="101"/>
    </row>
    <row r="196" spans="2:8">
      <c r="B196" s="102"/>
      <c r="C196" s="101"/>
      <c r="D196" s="101"/>
      <c r="E196" s="101"/>
      <c r="F196" s="101"/>
      <c r="H196" s="101"/>
    </row>
    <row r="197" spans="2:8">
      <c r="B197" s="102"/>
      <c r="C197" s="101"/>
      <c r="D197" s="101"/>
      <c r="E197" s="101"/>
      <c r="F197" s="101"/>
      <c r="H197" s="101"/>
    </row>
    <row r="198" spans="2:8">
      <c r="B198" s="102"/>
      <c r="C198" s="101"/>
      <c r="D198" s="101"/>
      <c r="E198" s="101"/>
      <c r="F198" s="101"/>
      <c r="H198" s="101"/>
    </row>
    <row r="199" spans="2:8">
      <c r="B199" s="102"/>
      <c r="C199" s="101"/>
      <c r="D199" s="101"/>
      <c r="E199" s="101"/>
      <c r="F199" s="101"/>
      <c r="H199" s="101"/>
    </row>
    <row r="200" spans="2:8">
      <c r="B200" s="102"/>
      <c r="C200" s="101"/>
      <c r="D200" s="101"/>
      <c r="E200" s="101"/>
      <c r="F200" s="101"/>
      <c r="H200" s="101"/>
    </row>
    <row r="201" spans="2:8">
      <c r="B201" s="102"/>
      <c r="C201" s="101"/>
      <c r="D201" s="101"/>
      <c r="E201" s="101"/>
      <c r="F201" s="101"/>
      <c r="H201" s="101"/>
    </row>
    <row r="202" spans="2:8">
      <c r="B202" s="102"/>
      <c r="C202" s="101"/>
      <c r="D202" s="101"/>
      <c r="E202" s="101"/>
      <c r="F202" s="101"/>
      <c r="H202" s="101"/>
    </row>
    <row r="203" spans="2:8">
      <c r="B203" s="102"/>
      <c r="C203" s="101"/>
      <c r="D203" s="101"/>
      <c r="E203" s="101"/>
      <c r="F203" s="101"/>
      <c r="H203" s="101"/>
    </row>
    <row r="204" spans="2:8">
      <c r="B204" s="102"/>
      <c r="C204" s="101"/>
      <c r="D204" s="101"/>
      <c r="E204" s="101"/>
      <c r="F204" s="101"/>
      <c r="H204" s="101"/>
    </row>
    <row r="205" spans="2:8">
      <c r="B205" s="102"/>
      <c r="C205" s="101"/>
      <c r="D205" s="101"/>
      <c r="E205" s="101"/>
      <c r="F205" s="101"/>
      <c r="H205" s="101"/>
    </row>
    <row r="206" spans="2:8">
      <c r="B206" s="102"/>
      <c r="C206" s="101"/>
      <c r="D206" s="101"/>
      <c r="E206" s="101"/>
      <c r="F206" s="101"/>
      <c r="H206" s="101"/>
    </row>
    <row r="207" spans="2:8">
      <c r="B207" s="102"/>
      <c r="C207" s="101"/>
      <c r="D207" s="101"/>
      <c r="E207" s="101"/>
      <c r="F207" s="101"/>
      <c r="H207" s="101"/>
    </row>
    <row r="208" spans="2:8">
      <c r="B208" s="102"/>
      <c r="C208" s="101"/>
      <c r="D208" s="101"/>
      <c r="E208" s="101"/>
      <c r="F208" s="101"/>
      <c r="H208" s="101"/>
    </row>
    <row r="209" spans="2:8">
      <c r="B209" s="102"/>
      <c r="C209" s="101"/>
      <c r="D209" s="101"/>
      <c r="E209" s="101"/>
      <c r="F209" s="101"/>
      <c r="H209" s="101"/>
    </row>
    <row r="210" spans="2:8">
      <c r="B210" s="102"/>
      <c r="C210" s="101"/>
      <c r="D210" s="101"/>
      <c r="E210" s="101"/>
      <c r="F210" s="101"/>
      <c r="H210" s="101"/>
    </row>
    <row r="211" spans="2:8">
      <c r="B211" s="102"/>
      <c r="C211" s="101"/>
      <c r="D211" s="101"/>
      <c r="E211" s="101"/>
      <c r="F211" s="101"/>
      <c r="H211" s="101"/>
    </row>
    <row r="212" spans="2:8">
      <c r="B212" s="102"/>
      <c r="C212" s="101"/>
      <c r="D212" s="101"/>
      <c r="E212" s="101"/>
      <c r="F212" s="101"/>
      <c r="H212" s="101"/>
    </row>
    <row r="213" spans="2:8">
      <c r="B213" s="102"/>
      <c r="C213" s="101"/>
      <c r="D213" s="101"/>
      <c r="E213" s="101"/>
      <c r="F213" s="101"/>
      <c r="H213" s="101"/>
    </row>
    <row r="214" spans="2:8">
      <c r="B214" s="102"/>
      <c r="C214" s="101"/>
      <c r="D214" s="101"/>
      <c r="E214" s="101"/>
      <c r="F214" s="101"/>
      <c r="H214" s="101"/>
    </row>
    <row r="215" spans="2:8">
      <c r="B215" s="102"/>
      <c r="C215" s="101"/>
      <c r="D215" s="101"/>
      <c r="E215" s="101"/>
      <c r="F215" s="101"/>
      <c r="H215" s="101"/>
    </row>
    <row r="216" spans="2:8">
      <c r="B216" s="102"/>
      <c r="C216" s="101"/>
      <c r="D216" s="101"/>
      <c r="E216" s="101"/>
      <c r="F216" s="101"/>
      <c r="H216" s="101"/>
    </row>
    <row r="217" spans="2:8">
      <c r="B217" s="102"/>
      <c r="C217" s="101"/>
      <c r="D217" s="101"/>
      <c r="E217" s="101"/>
      <c r="F217" s="101"/>
      <c r="H217" s="101"/>
    </row>
    <row r="218" spans="2:8">
      <c r="B218" s="102"/>
      <c r="C218" s="101"/>
      <c r="D218" s="101"/>
      <c r="E218" s="101"/>
      <c r="F218" s="101"/>
      <c r="H218" s="101"/>
    </row>
    <row r="219" spans="2:8">
      <c r="B219" s="102"/>
      <c r="C219" s="101"/>
      <c r="D219" s="101"/>
      <c r="E219" s="101"/>
      <c r="F219" s="101"/>
      <c r="H219" s="101"/>
    </row>
    <row r="220" spans="2:8">
      <c r="B220" s="102"/>
      <c r="C220" s="101"/>
      <c r="D220" s="101"/>
      <c r="E220" s="101"/>
      <c r="F220" s="101"/>
      <c r="H220" s="101"/>
    </row>
    <row r="221" spans="2:8">
      <c r="B221" s="102"/>
      <c r="C221" s="101"/>
      <c r="D221" s="101"/>
      <c r="E221" s="101"/>
      <c r="F221" s="101"/>
      <c r="H221" s="101"/>
    </row>
    <row r="222" spans="2:8">
      <c r="B222" s="102"/>
      <c r="C222" s="101"/>
      <c r="D222" s="101"/>
      <c r="E222" s="101"/>
      <c r="F222" s="101"/>
      <c r="H222" s="101"/>
    </row>
    <row r="223" spans="2:8">
      <c r="B223" s="102"/>
      <c r="C223" s="101"/>
      <c r="D223" s="101"/>
      <c r="E223" s="101"/>
      <c r="F223" s="101"/>
      <c r="H223" s="101"/>
    </row>
    <row r="224" spans="2:8">
      <c r="B224" s="102"/>
      <c r="C224" s="101"/>
      <c r="D224" s="101"/>
      <c r="E224" s="101"/>
      <c r="F224" s="101"/>
      <c r="H224" s="101"/>
    </row>
    <row r="225" spans="2:8">
      <c r="B225" s="102"/>
      <c r="C225" s="101"/>
      <c r="D225" s="101"/>
      <c r="E225" s="101"/>
      <c r="F225" s="101"/>
      <c r="H225" s="101"/>
    </row>
    <row r="226" spans="2:8">
      <c r="B226" s="102"/>
      <c r="C226" s="101"/>
      <c r="D226" s="101"/>
      <c r="E226" s="101"/>
      <c r="F226" s="101"/>
      <c r="H226" s="101"/>
    </row>
    <row r="227" spans="2:8">
      <c r="B227" s="102"/>
      <c r="C227" s="101"/>
      <c r="D227" s="101"/>
      <c r="E227" s="101"/>
      <c r="F227" s="101"/>
      <c r="H227" s="101"/>
    </row>
    <row r="228" spans="2:8">
      <c r="B228" s="102"/>
      <c r="C228" s="101"/>
      <c r="D228" s="101"/>
      <c r="E228" s="101"/>
      <c r="F228" s="101"/>
      <c r="H228" s="101"/>
    </row>
    <row r="229" spans="2:8">
      <c r="B229" s="102"/>
      <c r="C229" s="101"/>
      <c r="D229" s="101"/>
      <c r="E229" s="101"/>
      <c r="F229" s="101"/>
      <c r="H229" s="101"/>
    </row>
    <row r="230" spans="2:8">
      <c r="B230" s="102"/>
      <c r="C230" s="101"/>
      <c r="D230" s="101"/>
      <c r="E230" s="101"/>
      <c r="F230" s="101"/>
      <c r="H230" s="101"/>
    </row>
    <row r="231" spans="2:8">
      <c r="B231" s="102"/>
      <c r="C231" s="101"/>
      <c r="D231" s="101"/>
      <c r="E231" s="101"/>
      <c r="F231" s="101"/>
      <c r="H231" s="101"/>
    </row>
    <row r="232" spans="2:8">
      <c r="B232" s="102"/>
      <c r="C232" s="101"/>
      <c r="D232" s="101"/>
      <c r="E232" s="101"/>
      <c r="F232" s="101"/>
      <c r="H232" s="101"/>
    </row>
    <row r="233" spans="2:8">
      <c r="B233" s="102"/>
      <c r="C233" s="101"/>
      <c r="D233" s="101"/>
      <c r="E233" s="101"/>
      <c r="F233" s="101"/>
      <c r="H233" s="101"/>
    </row>
    <row r="234" spans="2:8">
      <c r="B234" s="102"/>
      <c r="C234" s="101"/>
      <c r="D234" s="101"/>
      <c r="E234" s="101"/>
      <c r="F234" s="101"/>
      <c r="H234" s="101"/>
    </row>
    <row r="235" spans="2:8">
      <c r="B235" s="102"/>
      <c r="C235" s="101"/>
      <c r="D235" s="101"/>
      <c r="E235" s="101"/>
      <c r="F235" s="101"/>
      <c r="H235" s="101"/>
    </row>
    <row r="236" spans="2:8">
      <c r="B236" s="102"/>
      <c r="C236" s="101"/>
      <c r="D236" s="101"/>
      <c r="E236" s="101"/>
      <c r="F236" s="101"/>
      <c r="H236" s="101"/>
    </row>
    <row r="237" spans="2:8">
      <c r="B237" s="102"/>
      <c r="C237" s="101"/>
      <c r="D237" s="101"/>
      <c r="E237" s="101"/>
      <c r="F237" s="101"/>
      <c r="H237" s="101"/>
    </row>
    <row r="238" spans="2:8">
      <c r="B238" s="102"/>
      <c r="C238" s="101"/>
      <c r="D238" s="101"/>
      <c r="E238" s="101"/>
      <c r="F238" s="101"/>
      <c r="H238" s="101"/>
    </row>
    <row r="239" spans="2:8">
      <c r="B239" s="102"/>
      <c r="C239" s="101"/>
      <c r="D239" s="101"/>
      <c r="E239" s="101"/>
      <c r="F239" s="101"/>
      <c r="H239" s="101"/>
    </row>
    <row r="240" spans="2:8">
      <c r="B240" s="102"/>
      <c r="C240" s="101"/>
      <c r="D240" s="101"/>
      <c r="E240" s="101"/>
      <c r="F240" s="101"/>
      <c r="H240" s="101"/>
    </row>
    <row r="241" spans="2:8">
      <c r="B241" s="102"/>
      <c r="C241" s="101"/>
      <c r="D241" s="101"/>
      <c r="E241" s="101"/>
      <c r="F241" s="101"/>
      <c r="H241" s="101"/>
    </row>
    <row r="242" spans="2:8">
      <c r="B242" s="102"/>
      <c r="C242" s="101"/>
      <c r="D242" s="101"/>
      <c r="E242" s="101"/>
      <c r="F242" s="101"/>
      <c r="H242" s="101"/>
    </row>
    <row r="243" spans="2:8">
      <c r="B243" s="102"/>
      <c r="C243" s="101"/>
      <c r="D243" s="101"/>
      <c r="E243" s="101"/>
      <c r="F243" s="101"/>
      <c r="H243" s="101"/>
    </row>
    <row r="244" spans="2:8">
      <c r="B244" s="102"/>
      <c r="C244" s="101"/>
      <c r="D244" s="101"/>
      <c r="E244" s="101"/>
      <c r="F244" s="101"/>
      <c r="H244" s="101"/>
    </row>
    <row r="245" spans="2:8">
      <c r="B245" s="102"/>
      <c r="C245" s="101"/>
      <c r="D245" s="101"/>
      <c r="E245" s="101"/>
      <c r="F245" s="101"/>
      <c r="H245" s="101"/>
    </row>
    <row r="246" spans="2:8">
      <c r="B246" s="102"/>
      <c r="C246" s="101"/>
      <c r="D246" s="101"/>
      <c r="E246" s="101"/>
      <c r="F246" s="101"/>
      <c r="H246" s="101"/>
    </row>
    <row r="247" spans="2:8">
      <c r="B247" s="102"/>
      <c r="C247" s="101"/>
      <c r="D247" s="101"/>
      <c r="E247" s="101"/>
      <c r="F247" s="101"/>
      <c r="H247" s="101"/>
    </row>
    <row r="248" spans="2:8">
      <c r="B248" s="102"/>
      <c r="C248" s="101"/>
      <c r="D248" s="101"/>
      <c r="E248" s="101"/>
      <c r="F248" s="101"/>
      <c r="H248" s="101"/>
    </row>
    <row r="249" spans="2:8">
      <c r="B249" s="102"/>
      <c r="C249" s="101"/>
      <c r="D249" s="101"/>
      <c r="E249" s="101"/>
      <c r="F249" s="101"/>
      <c r="H249" s="101"/>
    </row>
    <row r="250" spans="2:8">
      <c r="B250" s="102"/>
      <c r="C250" s="101"/>
      <c r="D250" s="101"/>
      <c r="E250" s="101"/>
      <c r="F250" s="101"/>
      <c r="H250" s="101"/>
    </row>
    <row r="251" spans="2:8">
      <c r="B251" s="102"/>
      <c r="C251" s="101"/>
      <c r="D251" s="101"/>
      <c r="E251" s="101"/>
      <c r="F251" s="101"/>
      <c r="H251" s="101"/>
    </row>
    <row r="252" spans="2:8">
      <c r="B252" s="102"/>
      <c r="C252" s="101"/>
      <c r="D252" s="101"/>
      <c r="E252" s="101"/>
      <c r="F252" s="101"/>
      <c r="H252" s="101"/>
    </row>
    <row r="253" spans="2:8">
      <c r="B253" s="102"/>
      <c r="C253" s="101"/>
      <c r="D253" s="101"/>
      <c r="E253" s="101"/>
      <c r="F253" s="101"/>
      <c r="H253" s="101"/>
    </row>
    <row r="254" spans="2:8">
      <c r="B254" s="102"/>
      <c r="C254" s="101"/>
      <c r="D254" s="101"/>
      <c r="E254" s="101"/>
      <c r="F254" s="101"/>
      <c r="H254" s="101"/>
    </row>
    <row r="255" spans="2:8">
      <c r="B255" s="102"/>
      <c r="C255" s="101"/>
      <c r="D255" s="101"/>
      <c r="E255" s="101"/>
      <c r="F255" s="101"/>
      <c r="H255" s="101"/>
    </row>
    <row r="256" spans="2:8">
      <c r="B256" s="102"/>
      <c r="C256" s="101"/>
      <c r="D256" s="101"/>
      <c r="E256" s="101"/>
      <c r="F256" s="101"/>
      <c r="H256" s="101"/>
    </row>
    <row r="257" spans="2:8">
      <c r="B257" s="102"/>
      <c r="C257" s="101"/>
      <c r="D257" s="101"/>
      <c r="E257" s="101"/>
      <c r="F257" s="101"/>
      <c r="H257" s="101"/>
    </row>
    <row r="258" spans="2:8">
      <c r="B258" s="102"/>
      <c r="C258" s="101"/>
      <c r="D258" s="101"/>
      <c r="E258" s="101"/>
      <c r="F258" s="101"/>
      <c r="H258" s="101"/>
    </row>
    <row r="259" spans="2:8">
      <c r="B259" s="102"/>
      <c r="C259" s="101"/>
      <c r="D259" s="101"/>
      <c r="E259" s="101"/>
      <c r="F259" s="101"/>
      <c r="H259" s="101"/>
    </row>
    <row r="260" spans="2:8">
      <c r="B260" s="102"/>
      <c r="C260" s="101"/>
      <c r="D260" s="101"/>
      <c r="E260" s="101"/>
      <c r="F260" s="101"/>
      <c r="H260" s="101"/>
    </row>
    <row r="261" spans="2:8">
      <c r="B261" s="102"/>
      <c r="C261" s="101"/>
      <c r="D261" s="101"/>
      <c r="E261" s="101"/>
      <c r="F261" s="101"/>
      <c r="H261" s="101"/>
    </row>
    <row r="262" spans="2:8">
      <c r="B262" s="102"/>
      <c r="C262" s="101"/>
      <c r="D262" s="101"/>
      <c r="E262" s="101"/>
      <c r="F262" s="101"/>
      <c r="H262" s="101"/>
    </row>
    <row r="263" spans="2:8">
      <c r="B263" s="102"/>
      <c r="C263" s="101"/>
      <c r="D263" s="101"/>
      <c r="E263" s="101"/>
      <c r="F263" s="101"/>
      <c r="H263" s="101"/>
    </row>
    <row r="264" spans="2:8">
      <c r="B264" s="102"/>
      <c r="C264" s="101"/>
      <c r="D264" s="101"/>
      <c r="E264" s="101"/>
      <c r="F264" s="101"/>
      <c r="H264" s="101"/>
    </row>
    <row r="265" spans="2:8">
      <c r="B265" s="102"/>
      <c r="C265" s="101"/>
      <c r="D265" s="101"/>
      <c r="E265" s="101"/>
      <c r="F265" s="101"/>
      <c r="H265" s="101"/>
    </row>
    <row r="266" spans="2:8">
      <c r="B266" s="102"/>
      <c r="C266" s="101"/>
      <c r="D266" s="101"/>
      <c r="E266" s="101"/>
      <c r="F266" s="101"/>
      <c r="H266" s="101"/>
    </row>
    <row r="267" spans="2:8">
      <c r="B267" s="102"/>
      <c r="C267" s="101"/>
      <c r="D267" s="101"/>
      <c r="E267" s="101"/>
      <c r="F267" s="101"/>
      <c r="H267" s="101"/>
    </row>
    <row r="268" spans="2:8">
      <c r="B268" s="102"/>
      <c r="C268" s="101"/>
      <c r="D268" s="101"/>
      <c r="E268" s="101"/>
      <c r="F268" s="101"/>
      <c r="H268" s="101"/>
    </row>
    <row r="269" spans="2:8">
      <c r="B269" s="102"/>
      <c r="C269" s="101"/>
      <c r="D269" s="101"/>
      <c r="E269" s="101"/>
      <c r="F269" s="101"/>
      <c r="H269" s="101"/>
    </row>
    <row r="270" spans="2:8">
      <c r="B270" s="102"/>
      <c r="C270" s="101"/>
      <c r="D270" s="101"/>
      <c r="E270" s="101"/>
      <c r="F270" s="101"/>
      <c r="H270" s="101"/>
    </row>
    <row r="271" spans="2:8">
      <c r="B271" s="102"/>
      <c r="C271" s="101"/>
      <c r="D271" s="101"/>
      <c r="E271" s="101"/>
      <c r="F271" s="101"/>
      <c r="H271" s="101"/>
    </row>
    <row r="272" spans="2:8">
      <c r="B272" s="102"/>
      <c r="C272" s="101"/>
      <c r="D272" s="101"/>
      <c r="E272" s="101"/>
      <c r="F272" s="101"/>
      <c r="H272" s="101"/>
    </row>
    <row r="273" spans="2:8">
      <c r="B273" s="102"/>
      <c r="C273" s="101"/>
      <c r="D273" s="101"/>
      <c r="E273" s="101"/>
      <c r="F273" s="101"/>
      <c r="H273" s="101"/>
    </row>
    <row r="274" spans="2:8">
      <c r="B274" s="102"/>
      <c r="C274" s="101"/>
      <c r="D274" s="101"/>
      <c r="E274" s="101"/>
      <c r="F274" s="101"/>
      <c r="H274" s="101"/>
    </row>
    <row r="275" spans="2:8">
      <c r="B275" s="102"/>
      <c r="C275" s="101"/>
      <c r="D275" s="101"/>
      <c r="E275" s="101"/>
      <c r="F275" s="101"/>
      <c r="H275" s="101"/>
    </row>
    <row r="276" spans="2:8">
      <c r="B276" s="102"/>
      <c r="C276" s="101"/>
      <c r="D276" s="101"/>
      <c r="E276" s="101"/>
      <c r="F276" s="101"/>
      <c r="H276" s="101"/>
    </row>
    <row r="277" spans="2:8">
      <c r="B277" s="102"/>
      <c r="C277" s="101"/>
      <c r="D277" s="101"/>
      <c r="E277" s="101"/>
      <c r="F277" s="101"/>
      <c r="H277" s="101"/>
    </row>
    <row r="278" spans="2:8">
      <c r="B278" s="102"/>
      <c r="C278" s="101"/>
      <c r="D278" s="101"/>
      <c r="E278" s="101"/>
      <c r="F278" s="101"/>
      <c r="H278" s="101"/>
    </row>
    <row r="279" spans="2:8">
      <c r="B279" s="102"/>
      <c r="C279" s="101"/>
      <c r="D279" s="101"/>
      <c r="E279" s="101"/>
      <c r="F279" s="101"/>
      <c r="H279" s="101"/>
    </row>
    <row r="280" spans="2:8">
      <c r="B280" s="102"/>
      <c r="C280" s="101"/>
      <c r="D280" s="101"/>
      <c r="E280" s="101"/>
      <c r="F280" s="101"/>
      <c r="H280" s="101"/>
    </row>
    <row r="281" spans="2:8">
      <c r="B281" s="102"/>
      <c r="C281" s="101"/>
      <c r="D281" s="101"/>
      <c r="E281" s="101"/>
      <c r="F281" s="101"/>
      <c r="H281" s="101"/>
    </row>
    <row r="282" spans="2:8">
      <c r="B282" s="102"/>
      <c r="C282" s="101"/>
      <c r="D282" s="101"/>
      <c r="E282" s="101"/>
      <c r="F282" s="101"/>
      <c r="H282" s="101"/>
    </row>
    <row r="283" spans="2:8">
      <c r="B283" s="102"/>
      <c r="C283" s="101"/>
      <c r="D283" s="101"/>
      <c r="E283" s="101"/>
      <c r="F283" s="101"/>
      <c r="H283" s="101"/>
    </row>
    <row r="284" spans="2:8">
      <c r="B284" s="102"/>
      <c r="C284" s="101"/>
      <c r="D284" s="101"/>
      <c r="E284" s="101"/>
      <c r="F284" s="101"/>
      <c r="H284" s="101"/>
    </row>
    <row r="285" spans="2:8">
      <c r="B285" s="102"/>
      <c r="C285" s="101"/>
      <c r="D285" s="101"/>
      <c r="E285" s="101"/>
      <c r="F285" s="101"/>
      <c r="H285" s="101"/>
    </row>
    <row r="286" spans="2:8">
      <c r="B286" s="102"/>
      <c r="C286" s="101"/>
      <c r="D286" s="101"/>
      <c r="E286" s="101"/>
      <c r="F286" s="101"/>
      <c r="H286" s="101"/>
    </row>
    <row r="287" spans="2:8">
      <c r="B287" s="102"/>
      <c r="C287" s="101"/>
      <c r="D287" s="101"/>
      <c r="E287" s="101"/>
      <c r="F287" s="101"/>
      <c r="H287" s="101"/>
    </row>
    <row r="288" spans="2:8">
      <c r="B288" s="102"/>
      <c r="C288" s="101"/>
      <c r="D288" s="101"/>
      <c r="E288" s="101"/>
      <c r="F288" s="101"/>
      <c r="H288" s="101"/>
    </row>
    <row r="289" spans="2:8">
      <c r="B289" s="102"/>
      <c r="C289" s="101"/>
      <c r="D289" s="101"/>
      <c r="E289" s="101"/>
      <c r="F289" s="101"/>
      <c r="H289" s="101"/>
    </row>
    <row r="290" spans="2:8">
      <c r="B290" s="102"/>
      <c r="C290" s="101"/>
      <c r="D290" s="101"/>
      <c r="E290" s="101"/>
      <c r="F290" s="101"/>
      <c r="H290" s="101"/>
    </row>
    <row r="291" spans="2:8">
      <c r="B291" s="102"/>
      <c r="C291" s="101"/>
      <c r="D291" s="101"/>
      <c r="E291" s="101"/>
      <c r="F291" s="101"/>
      <c r="H291" s="101"/>
    </row>
    <row r="292" spans="2:8">
      <c r="B292" s="102"/>
      <c r="C292" s="101"/>
      <c r="D292" s="101"/>
      <c r="E292" s="101"/>
      <c r="F292" s="101"/>
      <c r="H292" s="101"/>
    </row>
    <row r="293" spans="2:8">
      <c r="B293" s="102"/>
      <c r="C293" s="101"/>
      <c r="D293" s="101"/>
      <c r="E293" s="101"/>
      <c r="F293" s="101"/>
      <c r="H293" s="101"/>
    </row>
    <row r="294" spans="2:8">
      <c r="B294" s="102"/>
      <c r="C294" s="101"/>
      <c r="D294" s="101"/>
      <c r="E294" s="101"/>
      <c r="F294" s="101"/>
      <c r="H294" s="101"/>
    </row>
    <row r="295" spans="2:8">
      <c r="B295" s="102"/>
      <c r="C295" s="101"/>
      <c r="D295" s="101"/>
      <c r="E295" s="101"/>
      <c r="F295" s="101"/>
      <c r="H295" s="101"/>
    </row>
    <row r="296" spans="2:8">
      <c r="B296" s="102"/>
      <c r="C296" s="101"/>
      <c r="D296" s="101"/>
      <c r="E296" s="101"/>
      <c r="F296" s="101"/>
      <c r="H296" s="101"/>
    </row>
    <row r="297" spans="2:8">
      <c r="B297" s="102"/>
      <c r="C297" s="101"/>
      <c r="D297" s="101"/>
      <c r="E297" s="101"/>
      <c r="F297" s="101"/>
      <c r="H297" s="101"/>
    </row>
    <row r="298" spans="2:8">
      <c r="B298" s="102"/>
      <c r="C298" s="101"/>
      <c r="D298" s="101"/>
      <c r="E298" s="101"/>
      <c r="F298" s="101"/>
      <c r="H298" s="101"/>
    </row>
    <row r="299" spans="2:8">
      <c r="B299" s="102"/>
      <c r="C299" s="101"/>
      <c r="D299" s="101"/>
      <c r="E299" s="101"/>
      <c r="F299" s="101"/>
      <c r="H299" s="101"/>
    </row>
    <row r="300" spans="2:8">
      <c r="B300" s="102"/>
      <c r="C300" s="101"/>
      <c r="D300" s="101"/>
      <c r="E300" s="101"/>
      <c r="F300" s="101"/>
      <c r="H300" s="101"/>
    </row>
    <row r="301" spans="2:8">
      <c r="B301" s="102"/>
      <c r="C301" s="101"/>
      <c r="D301" s="101"/>
      <c r="E301" s="101"/>
      <c r="F301" s="101"/>
      <c r="H301" s="101"/>
    </row>
    <row r="302" spans="2:8">
      <c r="B302" s="102"/>
      <c r="C302" s="101"/>
      <c r="D302" s="101"/>
      <c r="E302" s="101"/>
      <c r="F302" s="101"/>
      <c r="H302" s="101"/>
    </row>
    <row r="303" spans="2:8">
      <c r="B303" s="102"/>
      <c r="C303" s="101"/>
      <c r="D303" s="101"/>
      <c r="E303" s="101"/>
      <c r="F303" s="101"/>
      <c r="H303" s="101"/>
    </row>
    <row r="304" spans="2:8">
      <c r="B304" s="102"/>
      <c r="C304" s="101"/>
      <c r="D304" s="101"/>
      <c r="E304" s="101"/>
      <c r="F304" s="101"/>
      <c r="H304" s="101"/>
    </row>
    <row r="305" spans="2:8">
      <c r="B305" s="102"/>
      <c r="C305" s="101"/>
      <c r="D305" s="101"/>
      <c r="E305" s="101"/>
      <c r="F305" s="101"/>
      <c r="H305" s="101"/>
    </row>
    <row r="306" spans="2:8">
      <c r="B306" s="102"/>
      <c r="C306" s="101"/>
      <c r="D306" s="101"/>
      <c r="E306" s="101"/>
      <c r="F306" s="101"/>
      <c r="H306" s="101"/>
    </row>
    <row r="307" spans="2:8">
      <c r="B307" s="102"/>
      <c r="C307" s="101"/>
      <c r="D307" s="101"/>
      <c r="E307" s="101"/>
      <c r="F307" s="101"/>
      <c r="H307" s="101"/>
    </row>
    <row r="308" spans="2:8">
      <c r="B308" s="102"/>
      <c r="C308" s="101"/>
      <c r="D308" s="101"/>
      <c r="E308" s="101"/>
      <c r="F308" s="101"/>
      <c r="H308" s="101"/>
    </row>
    <row r="309" spans="2:8">
      <c r="B309" s="102"/>
      <c r="C309" s="101"/>
      <c r="D309" s="101"/>
      <c r="E309" s="101"/>
      <c r="F309" s="101"/>
      <c r="H309" s="101"/>
    </row>
    <row r="310" spans="2:8">
      <c r="B310" s="102"/>
      <c r="C310" s="101"/>
      <c r="D310" s="101"/>
      <c r="E310" s="101"/>
      <c r="F310" s="101"/>
      <c r="H310" s="101"/>
    </row>
    <row r="311" spans="2:8">
      <c r="B311" s="102"/>
      <c r="C311" s="101"/>
      <c r="D311" s="101"/>
      <c r="E311" s="101"/>
      <c r="F311" s="101"/>
      <c r="H311" s="101"/>
    </row>
    <row r="312" spans="2:8">
      <c r="B312" s="102"/>
      <c r="C312" s="101"/>
      <c r="D312" s="101"/>
      <c r="E312" s="101"/>
      <c r="F312" s="101"/>
      <c r="H312" s="101"/>
    </row>
    <row r="313" spans="2:8">
      <c r="B313" s="102"/>
      <c r="C313" s="101"/>
      <c r="D313" s="101"/>
      <c r="E313" s="101"/>
      <c r="F313" s="101"/>
      <c r="H313" s="101"/>
    </row>
    <row r="314" spans="2:8">
      <c r="B314" s="102"/>
      <c r="C314" s="101"/>
      <c r="D314" s="101"/>
      <c r="E314" s="101"/>
      <c r="F314" s="101"/>
      <c r="H314" s="101"/>
    </row>
    <row r="315" spans="2:8">
      <c r="B315" s="102"/>
      <c r="C315" s="101"/>
      <c r="D315" s="101"/>
      <c r="E315" s="101"/>
      <c r="F315" s="101"/>
      <c r="H315" s="101"/>
    </row>
    <row r="316" spans="2:8">
      <c r="B316" s="102"/>
      <c r="C316" s="101"/>
      <c r="D316" s="101"/>
      <c r="E316" s="101"/>
      <c r="F316" s="101"/>
      <c r="H316" s="101"/>
    </row>
    <row r="317" spans="2:8">
      <c r="B317" s="102"/>
      <c r="C317" s="101"/>
      <c r="D317" s="101"/>
      <c r="E317" s="101"/>
      <c r="F317" s="101"/>
      <c r="H317" s="101"/>
    </row>
    <row r="318" spans="2:8">
      <c r="B318" s="102"/>
      <c r="C318" s="101"/>
      <c r="D318" s="101"/>
      <c r="E318" s="101"/>
      <c r="F318" s="101"/>
      <c r="H318" s="101"/>
    </row>
    <row r="319" spans="2:8">
      <c r="B319" s="102"/>
      <c r="C319" s="101"/>
      <c r="D319" s="101"/>
      <c r="E319" s="101"/>
      <c r="F319" s="101"/>
      <c r="H319" s="101"/>
    </row>
    <row r="320" spans="2:8">
      <c r="B320" s="102"/>
      <c r="C320" s="101"/>
      <c r="D320" s="101"/>
      <c r="E320" s="101"/>
      <c r="F320" s="101"/>
      <c r="H320" s="101"/>
    </row>
    <row r="321" spans="2:8">
      <c r="B321" s="102"/>
      <c r="C321" s="101"/>
      <c r="D321" s="101"/>
      <c r="E321" s="101"/>
      <c r="F321" s="101"/>
      <c r="H321" s="101"/>
    </row>
    <row r="322" spans="2:8">
      <c r="B322" s="102"/>
      <c r="C322" s="101"/>
      <c r="D322" s="101"/>
      <c r="E322" s="101"/>
      <c r="F322" s="101"/>
      <c r="H322" s="101"/>
    </row>
    <row r="323" spans="2:8">
      <c r="B323" s="102"/>
      <c r="C323" s="101"/>
      <c r="D323" s="101"/>
      <c r="E323" s="101"/>
      <c r="F323" s="101"/>
      <c r="H323" s="101"/>
    </row>
    <row r="324" spans="2:8">
      <c r="B324" s="102"/>
      <c r="C324" s="101"/>
      <c r="D324" s="101"/>
      <c r="E324" s="101"/>
      <c r="F324" s="101"/>
      <c r="H324" s="101"/>
    </row>
    <row r="325" spans="2:8">
      <c r="B325" s="102"/>
      <c r="C325" s="101"/>
      <c r="D325" s="101"/>
      <c r="E325" s="101"/>
      <c r="F325" s="101"/>
      <c r="H325" s="101"/>
    </row>
    <row r="326" spans="2:8">
      <c r="B326" s="102"/>
      <c r="C326" s="101"/>
      <c r="D326" s="101"/>
      <c r="E326" s="101"/>
      <c r="F326" s="101"/>
      <c r="H326" s="101"/>
    </row>
    <row r="327" spans="2:8">
      <c r="B327" s="102"/>
      <c r="C327" s="101"/>
      <c r="D327" s="101"/>
      <c r="E327" s="101"/>
      <c r="F327" s="101"/>
      <c r="H327" s="101"/>
    </row>
    <row r="328" spans="2:8">
      <c r="B328" s="102"/>
      <c r="C328" s="101"/>
      <c r="D328" s="101"/>
      <c r="E328" s="101"/>
      <c r="F328" s="101"/>
      <c r="H328" s="101"/>
    </row>
    <row r="329" spans="2:8">
      <c r="B329" s="102"/>
      <c r="C329" s="101"/>
      <c r="D329" s="101"/>
      <c r="E329" s="101"/>
      <c r="F329" s="101"/>
      <c r="H329" s="101"/>
    </row>
    <row r="330" spans="2:8">
      <c r="B330" s="102"/>
      <c r="C330" s="101"/>
      <c r="D330" s="101"/>
      <c r="E330" s="101"/>
      <c r="F330" s="101"/>
      <c r="H330" s="101"/>
    </row>
    <row r="331" spans="2:8">
      <c r="B331" s="102"/>
      <c r="C331" s="101"/>
      <c r="D331" s="101"/>
      <c r="E331" s="101"/>
      <c r="F331" s="101"/>
      <c r="H331" s="101"/>
    </row>
    <row r="332" spans="2:8">
      <c r="B332" s="102"/>
      <c r="C332" s="101"/>
      <c r="D332" s="101"/>
      <c r="E332" s="101"/>
      <c r="F332" s="101"/>
      <c r="H332" s="101"/>
    </row>
    <row r="333" spans="2:8">
      <c r="B333" s="102"/>
      <c r="C333" s="101"/>
      <c r="D333" s="101"/>
      <c r="E333" s="101"/>
      <c r="F333" s="101"/>
      <c r="H333" s="101"/>
    </row>
    <row r="334" spans="2:8">
      <c r="B334" s="102"/>
      <c r="C334" s="101"/>
      <c r="D334" s="101"/>
      <c r="E334" s="101"/>
      <c r="F334" s="101"/>
      <c r="H334" s="101"/>
    </row>
    <row r="335" spans="2:8">
      <c r="B335" s="102"/>
      <c r="C335" s="101"/>
      <c r="D335" s="101"/>
      <c r="E335" s="101"/>
      <c r="F335" s="101"/>
      <c r="H335" s="101"/>
    </row>
    <row r="336" spans="2:8">
      <c r="B336" s="102"/>
      <c r="C336" s="101"/>
      <c r="D336" s="101"/>
      <c r="E336" s="101"/>
      <c r="F336" s="101"/>
      <c r="H336" s="101"/>
    </row>
    <row r="337" spans="2:8">
      <c r="B337" s="102"/>
      <c r="C337" s="101"/>
      <c r="D337" s="101"/>
      <c r="E337" s="101"/>
      <c r="F337" s="101"/>
      <c r="H337" s="101"/>
    </row>
    <row r="338" spans="2:8">
      <c r="B338" s="102"/>
      <c r="C338" s="101"/>
      <c r="D338" s="101"/>
      <c r="E338" s="101"/>
      <c r="F338" s="101"/>
      <c r="H338" s="101"/>
    </row>
    <row r="339" spans="2:8">
      <c r="B339" s="102"/>
      <c r="C339" s="101"/>
      <c r="D339" s="101"/>
      <c r="E339" s="101"/>
      <c r="F339" s="101"/>
      <c r="H339" s="101"/>
    </row>
    <row r="340" spans="2:8">
      <c r="B340" s="102"/>
      <c r="C340" s="101"/>
      <c r="D340" s="101"/>
      <c r="E340" s="101"/>
      <c r="F340" s="101"/>
      <c r="H340" s="101"/>
    </row>
    <row r="341" spans="2:8">
      <c r="B341" s="102"/>
      <c r="C341" s="101"/>
      <c r="D341" s="101"/>
      <c r="E341" s="101"/>
      <c r="F341" s="101"/>
      <c r="H341" s="101"/>
    </row>
    <row r="342" spans="2:8">
      <c r="B342" s="102"/>
      <c r="C342" s="101"/>
      <c r="D342" s="101"/>
      <c r="E342" s="101"/>
      <c r="F342" s="101"/>
      <c r="H342" s="101"/>
    </row>
    <row r="343" spans="2:8">
      <c r="B343" s="102"/>
      <c r="C343" s="101"/>
      <c r="D343" s="101"/>
      <c r="E343" s="101"/>
      <c r="F343" s="101"/>
      <c r="H343" s="101"/>
    </row>
    <row r="344" spans="2:8">
      <c r="B344" s="102"/>
      <c r="C344" s="101"/>
      <c r="D344" s="101"/>
      <c r="E344" s="101"/>
      <c r="F344" s="101"/>
      <c r="H344" s="101"/>
    </row>
    <row r="345" spans="2:8">
      <c r="B345" s="102"/>
      <c r="C345" s="101"/>
      <c r="D345" s="101"/>
      <c r="E345" s="101"/>
      <c r="F345" s="101"/>
      <c r="H345" s="101"/>
    </row>
    <row r="346" spans="2:8">
      <c r="B346" s="102"/>
      <c r="C346" s="101"/>
      <c r="D346" s="101"/>
      <c r="E346" s="101"/>
      <c r="F346" s="101"/>
      <c r="H346" s="101"/>
    </row>
    <row r="347" spans="2:8">
      <c r="B347" s="102"/>
      <c r="C347" s="101"/>
      <c r="D347" s="101"/>
      <c r="E347" s="101"/>
      <c r="F347" s="101"/>
      <c r="H347" s="101"/>
    </row>
    <row r="348" spans="2:8">
      <c r="B348" s="102"/>
      <c r="C348" s="101"/>
      <c r="D348" s="101"/>
      <c r="E348" s="101"/>
      <c r="F348" s="101"/>
      <c r="H348" s="101"/>
    </row>
    <row r="349" spans="2:8">
      <c r="B349" s="102"/>
      <c r="C349" s="101"/>
      <c r="D349" s="101"/>
      <c r="E349" s="101"/>
      <c r="F349" s="101"/>
      <c r="H349" s="101"/>
    </row>
    <row r="350" spans="2:8">
      <c r="B350" s="102"/>
      <c r="C350" s="101"/>
      <c r="D350" s="101"/>
      <c r="E350" s="101"/>
      <c r="F350" s="101"/>
      <c r="H350" s="101"/>
    </row>
    <row r="351" spans="2:8">
      <c r="B351" s="102"/>
      <c r="C351" s="101"/>
      <c r="D351" s="101"/>
      <c r="E351" s="101"/>
      <c r="F351" s="101"/>
      <c r="H351" s="101"/>
    </row>
    <row r="352" spans="2:8">
      <c r="B352" s="102"/>
      <c r="C352" s="101"/>
      <c r="D352" s="101"/>
      <c r="E352" s="101"/>
      <c r="F352" s="101"/>
      <c r="H352" s="101"/>
    </row>
    <row r="353" spans="2:8">
      <c r="B353" s="102"/>
      <c r="C353" s="101"/>
      <c r="D353" s="101"/>
      <c r="E353" s="101"/>
      <c r="F353" s="101"/>
      <c r="H353" s="101"/>
    </row>
    <row r="354" spans="2:8">
      <c r="B354" s="102"/>
      <c r="C354" s="101"/>
      <c r="D354" s="101"/>
      <c r="E354" s="101"/>
      <c r="F354" s="101"/>
      <c r="H354" s="101"/>
    </row>
    <row r="355" spans="2:8">
      <c r="B355" s="102"/>
      <c r="C355" s="101"/>
      <c r="D355" s="101"/>
      <c r="E355" s="101"/>
      <c r="F355" s="101"/>
      <c r="H355" s="101"/>
    </row>
    <row r="356" spans="2:8">
      <c r="B356" s="102"/>
      <c r="C356" s="101"/>
      <c r="D356" s="101"/>
      <c r="E356" s="101"/>
      <c r="F356" s="101"/>
      <c r="H356" s="101"/>
    </row>
    <row r="357" spans="2:8">
      <c r="B357" s="102"/>
      <c r="C357" s="101"/>
      <c r="D357" s="101"/>
      <c r="E357" s="101"/>
      <c r="F357" s="101"/>
      <c r="H357" s="101"/>
    </row>
    <row r="358" spans="2:8">
      <c r="B358" s="102"/>
      <c r="C358" s="101"/>
      <c r="D358" s="101"/>
      <c r="E358" s="101"/>
      <c r="F358" s="101"/>
      <c r="H358" s="101"/>
    </row>
    <row r="359" spans="2:8">
      <c r="B359" s="102"/>
      <c r="C359" s="101"/>
      <c r="D359" s="101"/>
      <c r="E359" s="101"/>
      <c r="F359" s="101"/>
      <c r="H359" s="101"/>
    </row>
    <row r="360" spans="2:8">
      <c r="B360" s="102"/>
      <c r="C360" s="101"/>
      <c r="D360" s="101"/>
      <c r="E360" s="101"/>
      <c r="F360" s="101"/>
      <c r="H360" s="101"/>
    </row>
    <row r="361" spans="2:8">
      <c r="B361" s="102"/>
      <c r="C361" s="101"/>
      <c r="D361" s="101"/>
      <c r="E361" s="101"/>
      <c r="F361" s="101"/>
      <c r="H361" s="101"/>
    </row>
    <row r="362" spans="2:8">
      <c r="B362" s="102"/>
      <c r="C362" s="101"/>
      <c r="D362" s="101"/>
      <c r="E362" s="101"/>
      <c r="F362" s="101"/>
      <c r="H362" s="101"/>
    </row>
    <row r="363" spans="2:8">
      <c r="B363" s="102"/>
      <c r="C363" s="101"/>
      <c r="D363" s="101"/>
      <c r="E363" s="101"/>
      <c r="F363" s="101"/>
      <c r="H363" s="101"/>
    </row>
    <row r="364" spans="2:8">
      <c r="B364" s="102"/>
      <c r="C364" s="101"/>
      <c r="D364" s="101"/>
      <c r="E364" s="101"/>
      <c r="F364" s="101"/>
      <c r="H364" s="101"/>
    </row>
    <row r="365" spans="2:8">
      <c r="B365" s="102"/>
      <c r="C365" s="101"/>
      <c r="D365" s="101"/>
      <c r="E365" s="101"/>
      <c r="F365" s="101"/>
      <c r="H365" s="101"/>
    </row>
    <row r="366" spans="2:8">
      <c r="B366" s="102"/>
      <c r="C366" s="101"/>
      <c r="D366" s="101"/>
      <c r="E366" s="101"/>
      <c r="F366" s="101"/>
      <c r="H366" s="101"/>
    </row>
    <row r="367" spans="2:8">
      <c r="B367" s="102"/>
      <c r="C367" s="101"/>
      <c r="D367" s="101"/>
      <c r="E367" s="101"/>
      <c r="F367" s="101"/>
      <c r="H367" s="101"/>
    </row>
    <row r="368" spans="2:8">
      <c r="B368" s="102"/>
      <c r="C368" s="101"/>
      <c r="D368" s="101"/>
      <c r="E368" s="101"/>
      <c r="F368" s="101"/>
      <c r="H368" s="101"/>
    </row>
    <row r="369" spans="2:8">
      <c r="B369" s="102"/>
      <c r="C369" s="101"/>
      <c r="D369" s="101"/>
      <c r="E369" s="101"/>
      <c r="F369" s="101"/>
      <c r="H369" s="101"/>
    </row>
    <row r="370" spans="2:8">
      <c r="B370" s="102"/>
      <c r="C370" s="101"/>
      <c r="D370" s="101"/>
      <c r="E370" s="101"/>
      <c r="F370" s="101"/>
      <c r="H370" s="101"/>
    </row>
    <row r="371" spans="2:8">
      <c r="B371" s="102"/>
      <c r="C371" s="101"/>
      <c r="D371" s="101"/>
      <c r="E371" s="101"/>
      <c r="F371" s="101"/>
      <c r="H371" s="101"/>
    </row>
    <row r="372" spans="2:8">
      <c r="B372" s="102"/>
      <c r="C372" s="101"/>
      <c r="D372" s="101"/>
      <c r="E372" s="101"/>
      <c r="F372" s="101"/>
      <c r="H372" s="101"/>
    </row>
    <row r="373" spans="2:8">
      <c r="B373" s="102"/>
      <c r="C373" s="101"/>
      <c r="D373" s="101"/>
      <c r="E373" s="101"/>
      <c r="F373" s="101"/>
      <c r="H373" s="101"/>
    </row>
    <row r="374" spans="2:8">
      <c r="B374" s="102"/>
      <c r="C374" s="101"/>
      <c r="D374" s="101"/>
      <c r="E374" s="101"/>
      <c r="F374" s="101"/>
      <c r="H374" s="101"/>
    </row>
    <row r="375" spans="2:8">
      <c r="B375" s="102"/>
      <c r="C375" s="101"/>
      <c r="D375" s="101"/>
      <c r="E375" s="101"/>
      <c r="F375" s="101"/>
      <c r="H375" s="101"/>
    </row>
    <row r="376" spans="2:8">
      <c r="B376" s="102"/>
      <c r="C376" s="101"/>
      <c r="D376" s="101"/>
      <c r="E376" s="101"/>
      <c r="F376" s="101"/>
      <c r="H376" s="101"/>
    </row>
    <row r="377" spans="2:8">
      <c r="B377" s="102"/>
      <c r="C377" s="101"/>
      <c r="D377" s="101"/>
      <c r="E377" s="101"/>
      <c r="F377" s="101"/>
      <c r="H377" s="101"/>
    </row>
    <row r="378" spans="2:8">
      <c r="B378" s="102"/>
      <c r="C378" s="101"/>
      <c r="D378" s="101"/>
      <c r="E378" s="101"/>
      <c r="F378" s="101"/>
      <c r="H378" s="101"/>
    </row>
    <row r="379" spans="2:8">
      <c r="B379" s="102"/>
      <c r="C379" s="101"/>
      <c r="D379" s="101"/>
      <c r="E379" s="101"/>
      <c r="F379" s="101"/>
      <c r="H379" s="101"/>
    </row>
    <row r="380" spans="2:8">
      <c r="B380" s="102"/>
      <c r="C380" s="101"/>
      <c r="D380" s="101"/>
      <c r="E380" s="101"/>
      <c r="F380" s="101"/>
      <c r="H380" s="101"/>
    </row>
    <row r="381" spans="2:8">
      <c r="B381" s="102"/>
      <c r="C381" s="101"/>
      <c r="D381" s="101"/>
      <c r="E381" s="101"/>
      <c r="F381" s="101"/>
      <c r="H381" s="101"/>
    </row>
    <row r="382" spans="2:8">
      <c r="B382" s="102"/>
      <c r="C382" s="101"/>
      <c r="D382" s="101"/>
      <c r="E382" s="101"/>
      <c r="F382" s="101"/>
      <c r="H382" s="101"/>
    </row>
    <row r="383" spans="2:8">
      <c r="B383" s="102"/>
      <c r="C383" s="101"/>
      <c r="D383" s="101"/>
      <c r="E383" s="101"/>
      <c r="F383" s="101"/>
      <c r="H383" s="101"/>
    </row>
    <row r="384" spans="2:8">
      <c r="B384" s="102"/>
      <c r="C384" s="101"/>
      <c r="D384" s="101"/>
      <c r="E384" s="101"/>
      <c r="F384" s="101"/>
      <c r="H384" s="101"/>
    </row>
    <row r="385" spans="2:8">
      <c r="B385" s="102"/>
      <c r="C385" s="101"/>
      <c r="D385" s="101"/>
      <c r="E385" s="101"/>
      <c r="F385" s="101"/>
      <c r="H385" s="101"/>
    </row>
    <row r="386" spans="2:8">
      <c r="B386" s="102"/>
      <c r="C386" s="101"/>
      <c r="D386" s="101"/>
      <c r="E386" s="101"/>
      <c r="F386" s="101"/>
      <c r="H386" s="101"/>
    </row>
    <row r="387" spans="2:8">
      <c r="B387" s="102"/>
      <c r="C387" s="101"/>
      <c r="D387" s="101"/>
      <c r="E387" s="101"/>
      <c r="F387" s="101"/>
      <c r="H387" s="101"/>
    </row>
    <row r="388" spans="2:8">
      <c r="B388" s="102"/>
      <c r="C388" s="101"/>
      <c r="D388" s="101"/>
      <c r="E388" s="101"/>
      <c r="F388" s="101"/>
      <c r="H388" s="101"/>
    </row>
    <row r="389" spans="2:8">
      <c r="B389" s="102"/>
      <c r="C389" s="101"/>
      <c r="D389" s="101"/>
      <c r="E389" s="101"/>
      <c r="F389" s="101"/>
      <c r="H389" s="101"/>
    </row>
    <row r="390" spans="2:8">
      <c r="B390" s="102"/>
      <c r="C390" s="101"/>
      <c r="D390" s="101"/>
      <c r="E390" s="101"/>
      <c r="F390" s="101"/>
      <c r="H390" s="101"/>
    </row>
    <row r="391" spans="2:8">
      <c r="B391" s="102"/>
      <c r="C391" s="101"/>
      <c r="D391" s="101"/>
      <c r="E391" s="101"/>
      <c r="F391" s="101"/>
      <c r="H391" s="101"/>
    </row>
    <row r="392" spans="2:8">
      <c r="B392" s="102"/>
      <c r="C392" s="101"/>
      <c r="D392" s="101"/>
      <c r="E392" s="101"/>
      <c r="F392" s="101"/>
      <c r="H392" s="101"/>
    </row>
    <row r="393" spans="2:8">
      <c r="B393" s="102"/>
      <c r="C393" s="101"/>
      <c r="D393" s="101"/>
      <c r="E393" s="101"/>
      <c r="F393" s="101"/>
      <c r="H393" s="101"/>
    </row>
    <row r="394" spans="2:8">
      <c r="B394" s="102"/>
      <c r="C394" s="101"/>
      <c r="D394" s="101"/>
      <c r="E394" s="101"/>
      <c r="F394" s="101"/>
      <c r="H394" s="101"/>
    </row>
    <row r="395" spans="2:8">
      <c r="B395" s="102"/>
      <c r="C395" s="101"/>
      <c r="D395" s="101"/>
      <c r="E395" s="101"/>
      <c r="F395" s="101"/>
      <c r="H395" s="101"/>
    </row>
    <row r="396" spans="2:8">
      <c r="B396" s="102"/>
      <c r="C396" s="101"/>
      <c r="D396" s="101"/>
      <c r="E396" s="101"/>
      <c r="F396" s="101"/>
      <c r="H396" s="101"/>
    </row>
    <row r="397" spans="2:8">
      <c r="B397" s="102"/>
      <c r="C397" s="101"/>
      <c r="D397" s="101"/>
      <c r="E397" s="101"/>
      <c r="F397" s="101"/>
      <c r="H397" s="101"/>
    </row>
    <row r="398" spans="2:8">
      <c r="B398" s="102"/>
      <c r="C398" s="101"/>
      <c r="D398" s="101"/>
      <c r="E398" s="101"/>
      <c r="F398" s="101"/>
      <c r="H398" s="101"/>
    </row>
    <row r="399" spans="2:8">
      <c r="B399" s="102"/>
      <c r="C399" s="101"/>
      <c r="D399" s="101"/>
      <c r="E399" s="101"/>
      <c r="F399" s="101"/>
      <c r="H399" s="101"/>
    </row>
    <row r="400" spans="2:8">
      <c r="B400" s="102"/>
      <c r="C400" s="101"/>
      <c r="D400" s="101"/>
      <c r="E400" s="101"/>
      <c r="F400" s="101"/>
      <c r="H400" s="101"/>
    </row>
    <row r="401" spans="2:8">
      <c r="B401" s="102"/>
      <c r="C401" s="101"/>
      <c r="D401" s="101"/>
      <c r="E401" s="101"/>
      <c r="F401" s="101"/>
      <c r="H401" s="101"/>
    </row>
    <row r="402" spans="2:8">
      <c r="B402" s="102"/>
      <c r="C402" s="101"/>
      <c r="D402" s="101"/>
      <c r="E402" s="101"/>
      <c r="F402" s="101"/>
      <c r="H402" s="101"/>
    </row>
    <row r="403" spans="2:8">
      <c r="B403" s="102"/>
      <c r="C403" s="101"/>
      <c r="D403" s="101"/>
      <c r="E403" s="101"/>
      <c r="F403" s="101"/>
      <c r="H403" s="101"/>
    </row>
    <row r="404" spans="2:8">
      <c r="B404" s="102"/>
      <c r="C404" s="101"/>
      <c r="D404" s="101"/>
      <c r="E404" s="101"/>
      <c r="F404" s="101"/>
      <c r="H404" s="101"/>
    </row>
    <row r="405" spans="2:8">
      <c r="B405" s="102"/>
      <c r="C405" s="101"/>
      <c r="D405" s="101"/>
      <c r="E405" s="101"/>
      <c r="F405" s="101"/>
      <c r="H405" s="101"/>
    </row>
    <row r="406" spans="2:8">
      <c r="B406" s="102"/>
      <c r="C406" s="101"/>
      <c r="D406" s="101"/>
      <c r="E406" s="101"/>
      <c r="F406" s="101"/>
      <c r="H406" s="101"/>
    </row>
    <row r="407" spans="2:8">
      <c r="B407" s="102"/>
      <c r="C407" s="101"/>
      <c r="D407" s="101"/>
      <c r="E407" s="101"/>
      <c r="F407" s="101"/>
      <c r="H407" s="101"/>
    </row>
    <row r="408" spans="2:8">
      <c r="B408" s="102"/>
      <c r="C408" s="101"/>
      <c r="D408" s="101"/>
      <c r="E408" s="101"/>
      <c r="F408" s="101"/>
      <c r="H408" s="101"/>
    </row>
    <row r="409" spans="2:8">
      <c r="B409" s="102"/>
      <c r="C409" s="101"/>
      <c r="D409" s="101"/>
      <c r="E409" s="101"/>
      <c r="F409" s="101"/>
      <c r="H409" s="101"/>
    </row>
    <row r="410" spans="2:8">
      <c r="B410" s="102"/>
      <c r="C410" s="101"/>
      <c r="D410" s="101"/>
      <c r="E410" s="101"/>
      <c r="F410" s="101"/>
      <c r="H410" s="101"/>
    </row>
    <row r="411" spans="2:8">
      <c r="B411" s="102"/>
      <c r="C411" s="101"/>
      <c r="D411" s="101"/>
      <c r="E411" s="101"/>
      <c r="F411" s="101"/>
      <c r="H411" s="101"/>
    </row>
    <row r="412" spans="2:8">
      <c r="B412" s="102"/>
      <c r="C412" s="101"/>
      <c r="D412" s="101"/>
      <c r="E412" s="101"/>
      <c r="F412" s="101"/>
      <c r="H412" s="101"/>
    </row>
    <row r="413" spans="2:8">
      <c r="B413" s="102"/>
      <c r="C413" s="101"/>
      <c r="D413" s="101"/>
      <c r="E413" s="101"/>
      <c r="F413" s="101"/>
      <c r="H413" s="101"/>
    </row>
    <row r="414" spans="2:8">
      <c r="B414" s="102"/>
      <c r="C414" s="101"/>
      <c r="D414" s="101"/>
      <c r="E414" s="101"/>
      <c r="F414" s="101"/>
      <c r="H414" s="101"/>
    </row>
    <row r="415" spans="2:8">
      <c r="B415" s="102"/>
      <c r="C415" s="101"/>
      <c r="D415" s="101"/>
      <c r="E415" s="101"/>
      <c r="F415" s="101"/>
      <c r="H415" s="101"/>
    </row>
    <row r="416" spans="2:8">
      <c r="B416" s="102"/>
      <c r="C416" s="101"/>
      <c r="D416" s="101"/>
      <c r="E416" s="101"/>
      <c r="F416" s="101"/>
      <c r="H416" s="101"/>
    </row>
    <row r="417" spans="2:8">
      <c r="B417" s="102"/>
      <c r="C417" s="101"/>
      <c r="D417" s="101"/>
      <c r="E417" s="101"/>
      <c r="F417" s="101"/>
      <c r="H417" s="101"/>
    </row>
    <row r="418" spans="2:8">
      <c r="B418" s="102"/>
      <c r="C418" s="101"/>
      <c r="D418" s="101"/>
      <c r="E418" s="101"/>
      <c r="F418" s="101"/>
      <c r="H418" s="101"/>
    </row>
    <row r="419" spans="2:8">
      <c r="B419" s="102"/>
      <c r="C419" s="101"/>
      <c r="D419" s="101"/>
      <c r="E419" s="101"/>
      <c r="F419" s="101"/>
      <c r="H419" s="101"/>
    </row>
    <row r="420" spans="2:8">
      <c r="B420" s="102"/>
      <c r="C420" s="101"/>
      <c r="D420" s="101"/>
      <c r="E420" s="101"/>
      <c r="F420" s="101"/>
      <c r="H420" s="101"/>
    </row>
    <row r="421" spans="2:8">
      <c r="B421" s="102"/>
      <c r="C421" s="101"/>
      <c r="D421" s="101"/>
      <c r="E421" s="101"/>
      <c r="F421" s="101"/>
      <c r="H421" s="101"/>
    </row>
    <row r="422" spans="2:8">
      <c r="B422" s="102"/>
      <c r="C422" s="101"/>
      <c r="D422" s="101"/>
      <c r="E422" s="101"/>
      <c r="F422" s="101"/>
      <c r="H422" s="101"/>
    </row>
    <row r="423" spans="2:8">
      <c r="B423" s="102"/>
      <c r="C423" s="101"/>
      <c r="D423" s="101"/>
      <c r="E423" s="101"/>
      <c r="F423" s="101"/>
      <c r="H423" s="101"/>
    </row>
    <row r="424" spans="2:8">
      <c r="B424" s="102"/>
      <c r="C424" s="101"/>
      <c r="D424" s="101"/>
      <c r="E424" s="101"/>
      <c r="F424" s="101"/>
      <c r="H424" s="101"/>
    </row>
    <row r="425" spans="2:8">
      <c r="B425" s="102"/>
      <c r="C425" s="101"/>
      <c r="D425" s="101"/>
      <c r="E425" s="101"/>
      <c r="F425" s="101"/>
      <c r="H425" s="101"/>
    </row>
    <row r="426" spans="2:8">
      <c r="B426" s="102"/>
      <c r="C426" s="101"/>
      <c r="D426" s="101"/>
      <c r="E426" s="101"/>
      <c r="F426" s="101"/>
      <c r="H426" s="101"/>
    </row>
    <row r="427" spans="2:8">
      <c r="B427" s="102"/>
      <c r="C427" s="101"/>
      <c r="D427" s="101"/>
      <c r="E427" s="101"/>
      <c r="F427" s="101"/>
      <c r="H427" s="101"/>
    </row>
    <row r="428" spans="2:8">
      <c r="B428" s="102"/>
      <c r="C428" s="101"/>
      <c r="D428" s="101"/>
      <c r="E428" s="101"/>
      <c r="F428" s="101"/>
      <c r="H428" s="101"/>
    </row>
    <row r="429" spans="2:8">
      <c r="B429" s="102"/>
      <c r="C429" s="101"/>
      <c r="D429" s="101"/>
      <c r="E429" s="101"/>
      <c r="F429" s="101"/>
      <c r="H429" s="101"/>
    </row>
    <row r="430" spans="2:8">
      <c r="B430" s="102"/>
      <c r="C430" s="101"/>
      <c r="D430" s="101"/>
      <c r="E430" s="101"/>
      <c r="F430" s="101"/>
      <c r="H430" s="101"/>
    </row>
    <row r="431" spans="2:8">
      <c r="B431" s="102"/>
      <c r="C431" s="101"/>
      <c r="D431" s="101"/>
      <c r="E431" s="101"/>
      <c r="F431" s="101"/>
      <c r="H431" s="101"/>
    </row>
    <row r="432" spans="2:8">
      <c r="B432" s="102"/>
      <c r="C432" s="101"/>
      <c r="D432" s="101"/>
      <c r="E432" s="101"/>
      <c r="F432" s="101"/>
      <c r="H432" s="101"/>
    </row>
    <row r="433" spans="2:8">
      <c r="B433" s="102"/>
      <c r="C433" s="101"/>
      <c r="D433" s="101"/>
      <c r="E433" s="101"/>
      <c r="F433" s="101"/>
      <c r="H433" s="101"/>
    </row>
    <row r="434" spans="2:8">
      <c r="B434" s="102"/>
      <c r="C434" s="101"/>
      <c r="D434" s="101"/>
      <c r="E434" s="101"/>
      <c r="F434" s="101"/>
      <c r="H434" s="101"/>
    </row>
    <row r="435" spans="2:8">
      <c r="B435" s="102"/>
      <c r="C435" s="101"/>
      <c r="D435" s="101"/>
      <c r="E435" s="101"/>
      <c r="F435" s="101"/>
      <c r="H435" s="101"/>
    </row>
    <row r="436" spans="2:8">
      <c r="B436" s="102"/>
      <c r="C436" s="101"/>
      <c r="D436" s="101"/>
      <c r="E436" s="101"/>
      <c r="F436" s="101"/>
      <c r="H436" s="101"/>
    </row>
    <row r="437" spans="2:8">
      <c r="B437" s="102"/>
      <c r="C437" s="101"/>
      <c r="D437" s="101"/>
      <c r="E437" s="101"/>
      <c r="F437" s="101"/>
      <c r="H437" s="101"/>
    </row>
    <row r="438" spans="2:8">
      <c r="B438" s="102"/>
      <c r="C438" s="101"/>
      <c r="D438" s="101"/>
      <c r="E438" s="101"/>
      <c r="F438" s="101"/>
      <c r="H438" s="101"/>
    </row>
    <row r="439" spans="2:8">
      <c r="B439" s="102"/>
      <c r="C439" s="101"/>
      <c r="D439" s="101"/>
      <c r="E439" s="101"/>
      <c r="F439" s="101"/>
      <c r="H439" s="101"/>
    </row>
    <row r="440" spans="2:8">
      <c r="B440" s="102"/>
      <c r="C440" s="101"/>
      <c r="D440" s="101"/>
      <c r="E440" s="101"/>
      <c r="F440" s="101"/>
      <c r="H440" s="101"/>
    </row>
    <row r="441" spans="2:8">
      <c r="B441" s="102"/>
      <c r="C441" s="101"/>
      <c r="D441" s="101"/>
      <c r="E441" s="101"/>
      <c r="F441" s="101"/>
      <c r="H441" s="101"/>
    </row>
    <row r="442" spans="2:8">
      <c r="B442" s="102"/>
      <c r="C442" s="101"/>
      <c r="D442" s="101"/>
      <c r="E442" s="101"/>
      <c r="F442" s="101"/>
      <c r="H442" s="101"/>
    </row>
    <row r="443" spans="2:8">
      <c r="B443" s="102"/>
      <c r="C443" s="101"/>
      <c r="D443" s="101"/>
      <c r="E443" s="101"/>
      <c r="F443" s="101"/>
      <c r="H443" s="101"/>
    </row>
    <row r="444" spans="2:8">
      <c r="B444" s="102"/>
      <c r="C444" s="101"/>
      <c r="D444" s="101"/>
      <c r="E444" s="101"/>
      <c r="F444" s="101"/>
      <c r="H444" s="101"/>
    </row>
    <row r="445" spans="2:8">
      <c r="B445" s="102"/>
      <c r="C445" s="101"/>
      <c r="D445" s="101"/>
      <c r="E445" s="101"/>
      <c r="F445" s="101"/>
      <c r="H445" s="101"/>
    </row>
    <row r="446" spans="2:8">
      <c r="B446" s="102"/>
      <c r="C446" s="101"/>
      <c r="D446" s="101"/>
      <c r="E446" s="101"/>
      <c r="F446" s="101"/>
      <c r="H446" s="101"/>
    </row>
    <row r="447" spans="2:8">
      <c r="B447" s="102"/>
      <c r="C447" s="101"/>
      <c r="D447" s="101"/>
      <c r="E447" s="101"/>
      <c r="F447" s="101"/>
      <c r="H447" s="101"/>
    </row>
    <row r="448" spans="2:8">
      <c r="B448" s="102"/>
      <c r="C448" s="101"/>
      <c r="D448" s="101"/>
      <c r="E448" s="101"/>
      <c r="F448" s="101"/>
      <c r="H448" s="101"/>
    </row>
    <row r="449" spans="2:8">
      <c r="B449" s="102"/>
      <c r="C449" s="101"/>
      <c r="D449" s="101"/>
      <c r="E449" s="101"/>
      <c r="F449" s="101"/>
      <c r="H449" s="101"/>
    </row>
    <row r="450" spans="2:8">
      <c r="B450" s="102"/>
      <c r="C450" s="101"/>
      <c r="D450" s="101"/>
      <c r="E450" s="101"/>
      <c r="F450" s="101"/>
      <c r="H450" s="101"/>
    </row>
    <row r="451" spans="2:8">
      <c r="B451" s="102"/>
      <c r="C451" s="101"/>
      <c r="D451" s="101"/>
      <c r="E451" s="101"/>
      <c r="F451" s="101"/>
      <c r="H451" s="101"/>
    </row>
    <row r="452" spans="2:8">
      <c r="B452" s="102"/>
      <c r="C452" s="101"/>
      <c r="D452" s="101"/>
      <c r="E452" s="101"/>
      <c r="F452" s="101"/>
      <c r="H452" s="101"/>
    </row>
    <row r="453" spans="2:8">
      <c r="B453" s="102"/>
      <c r="C453" s="101"/>
      <c r="D453" s="101"/>
      <c r="E453" s="101"/>
      <c r="F453" s="101"/>
      <c r="H453" s="101"/>
    </row>
    <row r="454" spans="2:8">
      <c r="B454" s="102"/>
      <c r="C454" s="101"/>
      <c r="D454" s="101"/>
      <c r="E454" s="101"/>
      <c r="F454" s="101"/>
      <c r="H454" s="101"/>
    </row>
    <row r="455" spans="2:8">
      <c r="B455" s="102"/>
      <c r="C455" s="101"/>
      <c r="D455" s="101"/>
      <c r="E455" s="101"/>
      <c r="F455" s="101"/>
      <c r="H455" s="101"/>
    </row>
    <row r="456" spans="2:8">
      <c r="B456" s="102"/>
      <c r="C456" s="101"/>
      <c r="D456" s="101"/>
      <c r="E456" s="101"/>
      <c r="F456" s="101"/>
      <c r="H456" s="101"/>
    </row>
    <row r="457" spans="2:8">
      <c r="B457" s="102"/>
      <c r="C457" s="101"/>
      <c r="D457" s="101"/>
      <c r="E457" s="101"/>
      <c r="F457" s="101"/>
      <c r="H457" s="101"/>
    </row>
    <row r="458" spans="2:8">
      <c r="B458" s="102"/>
      <c r="C458" s="101"/>
      <c r="D458" s="101"/>
      <c r="E458" s="101"/>
      <c r="F458" s="101"/>
      <c r="H458" s="101"/>
    </row>
    <row r="459" spans="2:8">
      <c r="B459" s="102"/>
      <c r="C459" s="101"/>
      <c r="D459" s="101"/>
      <c r="E459" s="101"/>
      <c r="F459" s="101"/>
      <c r="H459" s="101"/>
    </row>
    <row r="460" spans="2:8">
      <c r="B460" s="102"/>
      <c r="C460" s="101"/>
      <c r="D460" s="101"/>
      <c r="E460" s="101"/>
      <c r="F460" s="101"/>
      <c r="H460" s="101"/>
    </row>
    <row r="461" spans="2:8">
      <c r="B461" s="102"/>
      <c r="C461" s="101"/>
      <c r="D461" s="101"/>
      <c r="E461" s="101"/>
      <c r="F461" s="101"/>
      <c r="H461" s="101"/>
    </row>
    <row r="462" spans="2:8">
      <c r="B462" s="102"/>
      <c r="C462" s="101"/>
      <c r="D462" s="101"/>
      <c r="E462" s="101"/>
      <c r="F462" s="101"/>
      <c r="H462" s="101"/>
    </row>
    <row r="463" spans="2:8">
      <c r="B463" s="102"/>
      <c r="C463" s="101"/>
      <c r="D463" s="101"/>
      <c r="E463" s="101"/>
      <c r="F463" s="101"/>
      <c r="H463" s="101"/>
    </row>
    <row r="464" spans="2:8">
      <c r="B464" s="102"/>
      <c r="C464" s="101"/>
      <c r="D464" s="101"/>
      <c r="E464" s="101"/>
      <c r="F464" s="101"/>
      <c r="H464" s="101"/>
    </row>
    <row r="465" spans="2:8">
      <c r="B465" s="102"/>
      <c r="C465" s="101"/>
      <c r="D465" s="101"/>
      <c r="E465" s="101"/>
      <c r="F465" s="101"/>
      <c r="H465" s="101"/>
    </row>
    <row r="466" spans="2:8">
      <c r="B466" s="102"/>
      <c r="C466" s="101"/>
      <c r="D466" s="101"/>
      <c r="E466" s="101"/>
      <c r="F466" s="101"/>
      <c r="H466" s="101"/>
    </row>
    <row r="467" spans="2:8">
      <c r="B467" s="102"/>
      <c r="C467" s="101"/>
      <c r="D467" s="101"/>
      <c r="E467" s="101"/>
      <c r="F467" s="101"/>
      <c r="H467" s="101"/>
    </row>
    <row r="468" spans="2:8">
      <c r="B468" s="102"/>
      <c r="C468" s="101"/>
      <c r="D468" s="101"/>
      <c r="E468" s="101"/>
      <c r="F468" s="101"/>
      <c r="H468" s="101"/>
    </row>
    <row r="469" spans="2:8">
      <c r="B469" s="102"/>
      <c r="C469" s="101"/>
      <c r="D469" s="101"/>
      <c r="E469" s="101"/>
      <c r="F469" s="101"/>
      <c r="H469" s="101"/>
    </row>
    <row r="470" spans="2:8">
      <c r="B470" s="102"/>
      <c r="C470" s="101"/>
      <c r="D470" s="101"/>
      <c r="E470" s="101"/>
      <c r="F470" s="101"/>
      <c r="H470" s="101"/>
    </row>
    <row r="471" spans="2:8">
      <c r="B471" s="102"/>
      <c r="C471" s="101"/>
      <c r="D471" s="101"/>
      <c r="E471" s="101"/>
      <c r="F471" s="101"/>
      <c r="H471" s="101"/>
    </row>
    <row r="472" spans="2:8">
      <c r="B472" s="102"/>
      <c r="C472" s="101"/>
      <c r="D472" s="101"/>
      <c r="E472" s="101"/>
      <c r="F472" s="101"/>
      <c r="H472" s="101"/>
    </row>
    <row r="473" spans="2:8">
      <c r="B473" s="102"/>
      <c r="C473" s="101"/>
      <c r="D473" s="101"/>
      <c r="E473" s="101"/>
      <c r="F473" s="101"/>
      <c r="H473" s="101"/>
    </row>
    <row r="474" spans="2:8">
      <c r="B474" s="102"/>
      <c r="C474" s="101"/>
      <c r="D474" s="101"/>
      <c r="E474" s="101"/>
      <c r="F474" s="101"/>
      <c r="H474" s="101"/>
    </row>
    <row r="475" spans="2:8">
      <c r="B475" s="102"/>
      <c r="C475" s="101"/>
      <c r="D475" s="101"/>
      <c r="E475" s="101"/>
      <c r="F475" s="101"/>
      <c r="H475" s="101"/>
    </row>
    <row r="476" spans="2:8">
      <c r="B476" s="102"/>
      <c r="C476" s="101"/>
      <c r="D476" s="101"/>
      <c r="E476" s="101"/>
      <c r="F476" s="101"/>
      <c r="H476" s="101"/>
    </row>
    <row r="477" spans="2:8">
      <c r="B477" s="102"/>
      <c r="C477" s="101"/>
      <c r="D477" s="101"/>
      <c r="E477" s="101"/>
      <c r="F477" s="101"/>
      <c r="H477" s="101"/>
    </row>
    <row r="478" spans="2:8">
      <c r="B478" s="102"/>
      <c r="C478" s="101"/>
      <c r="D478" s="101"/>
      <c r="E478" s="101"/>
      <c r="F478" s="101"/>
      <c r="H478" s="101"/>
    </row>
    <row r="479" spans="2:8">
      <c r="B479" s="102"/>
      <c r="C479" s="101"/>
      <c r="D479" s="101"/>
      <c r="E479" s="101"/>
      <c r="F479" s="101"/>
      <c r="H479" s="101"/>
    </row>
    <row r="480" spans="2:8">
      <c r="B480" s="102"/>
      <c r="C480" s="101"/>
      <c r="D480" s="101"/>
      <c r="E480" s="101"/>
      <c r="F480" s="101"/>
      <c r="H480" s="101"/>
    </row>
    <row r="481" spans="2:8">
      <c r="B481" s="102"/>
      <c r="C481" s="101"/>
      <c r="D481" s="101"/>
      <c r="E481" s="101"/>
      <c r="F481" s="101"/>
      <c r="H481" s="101"/>
    </row>
    <row r="482" spans="2:8">
      <c r="B482" s="102"/>
      <c r="C482" s="101"/>
      <c r="D482" s="101"/>
      <c r="E482" s="101"/>
      <c r="F482" s="101"/>
      <c r="H482" s="101"/>
    </row>
    <row r="483" spans="2:8">
      <c r="B483" s="102"/>
      <c r="C483" s="101"/>
      <c r="D483" s="101"/>
      <c r="E483" s="101"/>
      <c r="F483" s="101"/>
      <c r="H483" s="101"/>
    </row>
    <row r="484" spans="2:8">
      <c r="B484" s="102"/>
      <c r="C484" s="101"/>
      <c r="D484" s="101"/>
      <c r="E484" s="101"/>
      <c r="F484" s="101"/>
      <c r="H484" s="101"/>
    </row>
    <row r="485" spans="2:8">
      <c r="B485" s="102"/>
      <c r="C485" s="101"/>
      <c r="D485" s="101"/>
      <c r="E485" s="101"/>
      <c r="F485" s="101"/>
      <c r="H485" s="101"/>
    </row>
    <row r="486" spans="2:8">
      <c r="B486" s="102"/>
      <c r="C486" s="101"/>
      <c r="D486" s="101"/>
      <c r="E486" s="101"/>
      <c r="F486" s="101"/>
      <c r="H486" s="101"/>
    </row>
    <row r="487" spans="2:8">
      <c r="B487" s="102"/>
      <c r="C487" s="101"/>
      <c r="D487" s="101"/>
      <c r="E487" s="101"/>
      <c r="F487" s="101"/>
      <c r="H487" s="101"/>
    </row>
    <row r="488" spans="2:8">
      <c r="B488" s="102"/>
      <c r="C488" s="101"/>
      <c r="D488" s="101"/>
      <c r="E488" s="101"/>
      <c r="F488" s="101"/>
      <c r="H488" s="101"/>
    </row>
    <row r="489" spans="2:8">
      <c r="B489" s="102"/>
      <c r="C489" s="101"/>
      <c r="D489" s="101"/>
      <c r="E489" s="101"/>
      <c r="F489" s="101"/>
      <c r="H489" s="101"/>
    </row>
    <row r="490" spans="2:8">
      <c r="B490" s="102"/>
      <c r="C490" s="101"/>
      <c r="D490" s="101"/>
      <c r="E490" s="101"/>
      <c r="F490" s="101"/>
      <c r="H490" s="101"/>
    </row>
    <row r="491" spans="2:8">
      <c r="B491" s="102"/>
      <c r="C491" s="101"/>
      <c r="D491" s="101"/>
      <c r="E491" s="101"/>
      <c r="F491" s="101"/>
      <c r="H491" s="101"/>
    </row>
    <row r="492" spans="2:8">
      <c r="B492" s="102"/>
      <c r="C492" s="101"/>
      <c r="D492" s="101"/>
      <c r="E492" s="101"/>
      <c r="F492" s="101"/>
      <c r="H492" s="101"/>
    </row>
    <row r="493" spans="2:8">
      <c r="B493" s="102"/>
      <c r="C493" s="101"/>
      <c r="D493" s="101"/>
      <c r="E493" s="101"/>
      <c r="F493" s="101"/>
      <c r="H493" s="101"/>
    </row>
    <row r="494" spans="2:8">
      <c r="B494" s="102"/>
      <c r="C494" s="101"/>
      <c r="D494" s="101"/>
      <c r="E494" s="101"/>
      <c r="F494" s="101"/>
      <c r="H494" s="101"/>
    </row>
    <row r="495" spans="2:8">
      <c r="B495" s="102"/>
      <c r="C495" s="101"/>
      <c r="D495" s="101"/>
      <c r="E495" s="101"/>
      <c r="F495" s="101"/>
      <c r="H495" s="101"/>
    </row>
    <row r="496" spans="2:8">
      <c r="B496" s="102"/>
      <c r="C496" s="101"/>
      <c r="D496" s="101"/>
      <c r="E496" s="101"/>
      <c r="F496" s="101"/>
      <c r="H496" s="101"/>
    </row>
    <row r="497" spans="2:8">
      <c r="B497" s="102"/>
      <c r="C497" s="101"/>
      <c r="D497" s="101"/>
      <c r="E497" s="101"/>
      <c r="F497" s="101"/>
      <c r="H497" s="101"/>
    </row>
    <row r="498" spans="2:8">
      <c r="B498" s="102"/>
      <c r="C498" s="101"/>
      <c r="D498" s="101"/>
      <c r="E498" s="101"/>
      <c r="F498" s="101"/>
      <c r="H498" s="101"/>
    </row>
    <row r="499" spans="2:8">
      <c r="B499" s="102"/>
      <c r="C499" s="101"/>
      <c r="D499" s="101"/>
      <c r="E499" s="101"/>
      <c r="F499" s="101"/>
      <c r="H499" s="101"/>
    </row>
    <row r="500" spans="2:8">
      <c r="B500" s="102"/>
      <c r="C500" s="101"/>
      <c r="D500" s="101"/>
      <c r="E500" s="101"/>
      <c r="F500" s="101"/>
      <c r="H500" s="101"/>
    </row>
    <row r="501" spans="2:8">
      <c r="B501" s="102"/>
      <c r="C501" s="101"/>
      <c r="D501" s="101"/>
      <c r="E501" s="101"/>
      <c r="F501" s="101"/>
      <c r="H501" s="101"/>
    </row>
    <row r="502" spans="2:8">
      <c r="B502" s="102"/>
      <c r="C502" s="101"/>
      <c r="D502" s="101"/>
      <c r="E502" s="101"/>
      <c r="F502" s="101"/>
      <c r="H502" s="101"/>
    </row>
    <row r="503" spans="2:8">
      <c r="B503" s="102"/>
      <c r="C503" s="101"/>
      <c r="D503" s="101"/>
      <c r="E503" s="101"/>
      <c r="F503" s="101"/>
      <c r="H503" s="101"/>
    </row>
    <row r="504" spans="2:8">
      <c r="B504" s="102"/>
      <c r="C504" s="101"/>
      <c r="D504" s="101"/>
      <c r="E504" s="101"/>
      <c r="F504" s="101"/>
      <c r="H504" s="101"/>
    </row>
    <row r="505" spans="2:8">
      <c r="B505" s="102"/>
      <c r="C505" s="101"/>
      <c r="D505" s="101"/>
      <c r="E505" s="101"/>
      <c r="F505" s="101"/>
      <c r="H505" s="101"/>
    </row>
    <row r="506" spans="2:8">
      <c r="B506" s="102"/>
      <c r="C506" s="101"/>
      <c r="D506" s="101"/>
      <c r="E506" s="101"/>
      <c r="F506" s="101"/>
      <c r="H506" s="101"/>
    </row>
    <row r="507" spans="2:8">
      <c r="B507" s="102"/>
      <c r="C507" s="101"/>
      <c r="D507" s="101"/>
      <c r="E507" s="101"/>
      <c r="F507" s="101"/>
      <c r="H507" s="101"/>
    </row>
    <row r="508" spans="2:8">
      <c r="B508" s="102"/>
      <c r="C508" s="101"/>
      <c r="D508" s="101"/>
      <c r="E508" s="101"/>
      <c r="F508" s="101"/>
      <c r="H508" s="101"/>
    </row>
    <row r="509" spans="2:8">
      <c r="B509" s="102"/>
      <c r="C509" s="101"/>
      <c r="D509" s="101"/>
      <c r="E509" s="101"/>
      <c r="F509" s="101"/>
      <c r="H509" s="101"/>
    </row>
    <row r="510" spans="2:8">
      <c r="B510" s="102"/>
      <c r="C510" s="101"/>
      <c r="D510" s="101"/>
      <c r="E510" s="101"/>
      <c r="F510" s="101"/>
      <c r="H510" s="101"/>
    </row>
    <row r="511" spans="2:8">
      <c r="B511" s="102"/>
      <c r="C511" s="101"/>
      <c r="D511" s="101"/>
      <c r="E511" s="101"/>
      <c r="F511" s="101"/>
      <c r="H511" s="101"/>
    </row>
    <row r="512" spans="2:8">
      <c r="B512" s="102"/>
      <c r="C512" s="101"/>
      <c r="D512" s="101"/>
      <c r="E512" s="101"/>
      <c r="F512" s="101"/>
      <c r="H512" s="101"/>
    </row>
    <row r="513" spans="2:8">
      <c r="B513" s="102"/>
      <c r="C513" s="101"/>
      <c r="D513" s="101"/>
      <c r="E513" s="101"/>
      <c r="F513" s="101"/>
      <c r="H513" s="101"/>
    </row>
    <row r="514" spans="2:8">
      <c r="B514" s="102"/>
      <c r="C514" s="101"/>
      <c r="D514" s="101"/>
      <c r="E514" s="101"/>
      <c r="F514" s="101"/>
      <c r="H514" s="101"/>
    </row>
    <row r="515" spans="2:8">
      <c r="B515" s="102"/>
      <c r="C515" s="101"/>
      <c r="D515" s="101"/>
      <c r="E515" s="101"/>
      <c r="F515" s="101"/>
      <c r="H515" s="101"/>
    </row>
    <row r="516" spans="2:8">
      <c r="B516" s="102"/>
      <c r="C516" s="101"/>
      <c r="D516" s="101"/>
      <c r="E516" s="101"/>
      <c r="F516" s="101"/>
      <c r="H516" s="101"/>
    </row>
    <row r="517" spans="2:8">
      <c r="B517" s="102"/>
      <c r="C517" s="101"/>
      <c r="D517" s="101"/>
      <c r="E517" s="101"/>
      <c r="F517" s="101"/>
      <c r="H517" s="101"/>
    </row>
    <row r="518" spans="2:8">
      <c r="B518" s="102"/>
      <c r="C518" s="101"/>
      <c r="D518" s="101"/>
      <c r="E518" s="101"/>
      <c r="F518" s="101"/>
      <c r="H518" s="101"/>
    </row>
    <row r="519" spans="2:8">
      <c r="B519" s="102"/>
      <c r="C519" s="101"/>
      <c r="D519" s="101"/>
      <c r="E519" s="101"/>
      <c r="F519" s="101"/>
      <c r="H519" s="101"/>
    </row>
    <row r="520" spans="2:8">
      <c r="B520" s="102"/>
      <c r="C520" s="101"/>
      <c r="D520" s="101"/>
      <c r="E520" s="101"/>
      <c r="F520" s="101"/>
      <c r="H520" s="101"/>
    </row>
    <row r="521" spans="2:8">
      <c r="B521" s="102"/>
      <c r="C521" s="101"/>
      <c r="D521" s="101"/>
      <c r="E521" s="101"/>
      <c r="F521" s="101"/>
      <c r="H521" s="101"/>
    </row>
    <row r="522" spans="2:8">
      <c r="B522" s="102"/>
      <c r="C522" s="101"/>
      <c r="D522" s="101"/>
      <c r="E522" s="101"/>
      <c r="F522" s="101"/>
      <c r="H522" s="101"/>
    </row>
    <row r="523" spans="2:8">
      <c r="B523" s="102"/>
      <c r="C523" s="101"/>
      <c r="D523" s="101"/>
      <c r="E523" s="101"/>
      <c r="F523" s="101"/>
      <c r="H523" s="101"/>
    </row>
    <row r="524" spans="2:8">
      <c r="B524" s="102"/>
      <c r="C524" s="101"/>
      <c r="D524" s="101"/>
      <c r="E524" s="101"/>
      <c r="F524" s="101"/>
      <c r="H524" s="101"/>
    </row>
    <row r="525" spans="2:8">
      <c r="B525" s="102"/>
      <c r="C525" s="101"/>
      <c r="D525" s="101"/>
      <c r="E525" s="101"/>
      <c r="F525" s="101"/>
      <c r="H525" s="101"/>
    </row>
    <row r="526" spans="2:8">
      <c r="B526" s="102"/>
      <c r="C526" s="101"/>
      <c r="D526" s="101"/>
      <c r="E526" s="101"/>
      <c r="F526" s="101"/>
      <c r="H526" s="101"/>
    </row>
    <row r="527" spans="2:8">
      <c r="B527" s="102"/>
      <c r="C527" s="101"/>
      <c r="D527" s="101"/>
      <c r="E527" s="101"/>
      <c r="F527" s="101"/>
      <c r="H527" s="101"/>
    </row>
    <row r="528" spans="2:8">
      <c r="B528" s="102"/>
      <c r="C528" s="101"/>
      <c r="D528" s="101"/>
      <c r="E528" s="101"/>
      <c r="F528" s="101"/>
      <c r="H528" s="101"/>
    </row>
    <row r="529" spans="2:8">
      <c r="B529" s="102"/>
      <c r="C529" s="101"/>
      <c r="D529" s="101"/>
      <c r="E529" s="101"/>
      <c r="F529" s="101"/>
      <c r="H529" s="101"/>
    </row>
    <row r="530" spans="2:8">
      <c r="B530" s="102"/>
      <c r="C530" s="101"/>
      <c r="D530" s="101"/>
      <c r="E530" s="101"/>
      <c r="F530" s="101"/>
      <c r="H530" s="101"/>
    </row>
    <row r="531" spans="2:8">
      <c r="B531" s="102"/>
      <c r="C531" s="101"/>
      <c r="D531" s="101"/>
      <c r="E531" s="101"/>
      <c r="F531" s="101"/>
      <c r="H531" s="101"/>
    </row>
    <row r="532" spans="2:8">
      <c r="B532" s="102"/>
      <c r="C532" s="101"/>
      <c r="D532" s="101"/>
      <c r="E532" s="101"/>
      <c r="F532" s="101"/>
      <c r="H532" s="101"/>
    </row>
    <row r="533" spans="2:8">
      <c r="B533" s="102"/>
      <c r="C533" s="101"/>
      <c r="D533" s="101"/>
      <c r="E533" s="101"/>
      <c r="F533" s="101"/>
      <c r="H533" s="101"/>
    </row>
    <row r="534" spans="2:8">
      <c r="B534" s="102"/>
      <c r="C534" s="101"/>
      <c r="D534" s="101"/>
      <c r="E534" s="101"/>
      <c r="F534" s="101"/>
      <c r="H534" s="101"/>
    </row>
    <row r="535" spans="2:8">
      <c r="B535" s="102"/>
      <c r="C535" s="101"/>
      <c r="D535" s="101"/>
      <c r="E535" s="101"/>
      <c r="F535" s="101"/>
      <c r="H535" s="101"/>
    </row>
    <row r="536" spans="2:8">
      <c r="B536" s="102"/>
      <c r="C536" s="101"/>
      <c r="D536" s="101"/>
      <c r="E536" s="101"/>
      <c r="F536" s="101"/>
      <c r="H536" s="101"/>
    </row>
    <row r="537" spans="2:8">
      <c r="B537" s="102"/>
      <c r="C537" s="101"/>
      <c r="D537" s="101"/>
      <c r="E537" s="101"/>
      <c r="F537" s="101"/>
      <c r="H537" s="101"/>
    </row>
    <row r="538" spans="2:8">
      <c r="B538" s="102"/>
      <c r="C538" s="101"/>
      <c r="D538" s="101"/>
      <c r="E538" s="101"/>
      <c r="F538" s="101"/>
      <c r="H538" s="101"/>
    </row>
    <row r="539" spans="2:8">
      <c r="B539" s="102"/>
      <c r="C539" s="101"/>
      <c r="D539" s="101"/>
      <c r="E539" s="101"/>
      <c r="F539" s="101"/>
      <c r="H539" s="101"/>
    </row>
    <row r="540" spans="2:8">
      <c r="B540" s="102"/>
      <c r="C540" s="101"/>
      <c r="D540" s="101"/>
      <c r="E540" s="101"/>
      <c r="F540" s="101"/>
      <c r="H540" s="101"/>
    </row>
    <row r="541" spans="2:8">
      <c r="B541" s="102"/>
      <c r="C541" s="101"/>
      <c r="D541" s="101"/>
      <c r="E541" s="101"/>
      <c r="F541" s="101"/>
      <c r="H541" s="101"/>
    </row>
    <row r="542" spans="2:8">
      <c r="B542" s="102"/>
      <c r="C542" s="101"/>
      <c r="D542" s="101"/>
      <c r="E542" s="101"/>
      <c r="F542" s="101"/>
      <c r="H542" s="101"/>
    </row>
    <row r="543" spans="2:8">
      <c r="B543" s="102"/>
      <c r="C543" s="101"/>
      <c r="D543" s="101"/>
      <c r="E543" s="101"/>
      <c r="F543" s="101"/>
      <c r="H543" s="101"/>
    </row>
    <row r="544" spans="2:8">
      <c r="B544" s="102"/>
      <c r="C544" s="101"/>
      <c r="D544" s="101"/>
      <c r="E544" s="101"/>
      <c r="F544" s="101"/>
      <c r="H544" s="101"/>
    </row>
    <row r="545" spans="2:8">
      <c r="B545" s="102"/>
      <c r="C545" s="101"/>
      <c r="D545" s="101"/>
      <c r="E545" s="101"/>
      <c r="F545" s="101"/>
      <c r="H545" s="101"/>
    </row>
    <row r="546" spans="2:8">
      <c r="B546" s="102"/>
      <c r="C546" s="101"/>
      <c r="D546" s="101"/>
      <c r="E546" s="101"/>
      <c r="F546" s="101"/>
      <c r="H546" s="101"/>
    </row>
    <row r="547" spans="2:8">
      <c r="B547" s="102"/>
      <c r="C547" s="101"/>
      <c r="D547" s="101"/>
      <c r="E547" s="101"/>
      <c r="F547" s="101"/>
      <c r="H547" s="101"/>
    </row>
    <row r="548" spans="2:8">
      <c r="B548" s="102"/>
      <c r="C548" s="101"/>
      <c r="D548" s="101"/>
      <c r="E548" s="101"/>
      <c r="F548" s="101"/>
      <c r="H548" s="101"/>
    </row>
    <row r="549" spans="2:8">
      <c r="B549" s="102"/>
      <c r="C549" s="101"/>
      <c r="D549" s="101"/>
      <c r="E549" s="101"/>
      <c r="F549" s="101"/>
      <c r="H549" s="101"/>
    </row>
    <row r="550" spans="2:8">
      <c r="B550" s="102"/>
      <c r="C550" s="101"/>
      <c r="D550" s="101"/>
      <c r="E550" s="101"/>
      <c r="F550" s="101"/>
      <c r="H550" s="101"/>
    </row>
    <row r="551" spans="2:8">
      <c r="B551" s="102"/>
      <c r="C551" s="101"/>
      <c r="D551" s="101"/>
      <c r="E551" s="101"/>
      <c r="F551" s="101"/>
      <c r="H551" s="101"/>
    </row>
    <row r="552" spans="2:8">
      <c r="B552" s="102"/>
      <c r="C552" s="101"/>
      <c r="D552" s="101"/>
      <c r="E552" s="101"/>
      <c r="F552" s="101"/>
      <c r="H552" s="101"/>
    </row>
    <row r="553" spans="2:8">
      <c r="B553" s="102"/>
      <c r="C553" s="101"/>
      <c r="D553" s="101"/>
      <c r="E553" s="101"/>
      <c r="F553" s="101"/>
      <c r="H553" s="101"/>
    </row>
    <row r="554" spans="2:8">
      <c r="B554" s="102"/>
      <c r="C554" s="101"/>
      <c r="D554" s="101"/>
      <c r="E554" s="101"/>
      <c r="F554" s="101"/>
      <c r="H554" s="101"/>
    </row>
    <row r="555" spans="2:8">
      <c r="B555" s="102"/>
      <c r="C555" s="101"/>
      <c r="D555" s="101"/>
      <c r="E555" s="101"/>
      <c r="F555" s="101"/>
      <c r="H555" s="101"/>
    </row>
    <row r="556" spans="2:8">
      <c r="B556" s="102"/>
      <c r="C556" s="101"/>
      <c r="D556" s="101"/>
      <c r="E556" s="101"/>
      <c r="F556" s="101"/>
      <c r="H556" s="101"/>
    </row>
    <row r="557" spans="2:8">
      <c r="B557" s="102"/>
      <c r="C557" s="101"/>
      <c r="D557" s="101"/>
      <c r="E557" s="101"/>
      <c r="F557" s="101"/>
      <c r="H557" s="101"/>
    </row>
    <row r="558" spans="2:8">
      <c r="B558" s="102"/>
      <c r="C558" s="101"/>
      <c r="D558" s="101"/>
      <c r="E558" s="101"/>
      <c r="F558" s="101"/>
      <c r="H558" s="101"/>
    </row>
    <row r="559" spans="2:8">
      <c r="B559" s="102"/>
      <c r="C559" s="101"/>
      <c r="D559" s="101"/>
      <c r="E559" s="101"/>
      <c r="F559" s="101"/>
      <c r="H559" s="101"/>
    </row>
    <row r="560" spans="2:8">
      <c r="B560" s="102"/>
      <c r="C560" s="101"/>
      <c r="D560" s="101"/>
      <c r="E560" s="101"/>
      <c r="F560" s="101"/>
      <c r="H560" s="101"/>
    </row>
    <row r="561" spans="2:8">
      <c r="B561" s="102"/>
      <c r="C561" s="101"/>
      <c r="D561" s="101"/>
      <c r="E561" s="101"/>
      <c r="F561" s="101"/>
      <c r="H561" s="101"/>
    </row>
    <row r="562" spans="2:8">
      <c r="B562" s="102"/>
      <c r="C562" s="101"/>
      <c r="D562" s="101"/>
      <c r="E562" s="101"/>
      <c r="F562" s="101"/>
      <c r="H562" s="101"/>
    </row>
    <row r="563" spans="2:8">
      <c r="B563" s="102"/>
      <c r="C563" s="101"/>
      <c r="D563" s="101"/>
      <c r="E563" s="101"/>
      <c r="F563" s="101"/>
      <c r="H563" s="101"/>
    </row>
    <row r="564" spans="2:8">
      <c r="B564" s="102"/>
      <c r="C564" s="101"/>
      <c r="D564" s="101"/>
      <c r="E564" s="101"/>
      <c r="F564" s="101"/>
      <c r="H564" s="101"/>
    </row>
    <row r="565" spans="2:8">
      <c r="B565" s="102"/>
      <c r="C565" s="101"/>
      <c r="D565" s="101"/>
      <c r="E565" s="101"/>
      <c r="F565" s="101"/>
      <c r="H565" s="101"/>
    </row>
    <row r="566" spans="2:8">
      <c r="B566" s="102"/>
      <c r="C566" s="101"/>
      <c r="D566" s="101"/>
      <c r="E566" s="101"/>
      <c r="F566" s="101"/>
      <c r="H566" s="101"/>
    </row>
    <row r="567" spans="2:8">
      <c r="B567" s="102"/>
      <c r="C567" s="101"/>
      <c r="D567" s="101"/>
      <c r="E567" s="101"/>
      <c r="F567" s="101"/>
      <c r="H567" s="101"/>
    </row>
    <row r="568" spans="2:8">
      <c r="B568" s="102"/>
      <c r="C568" s="101"/>
      <c r="D568" s="101"/>
      <c r="E568" s="101"/>
      <c r="F568" s="101"/>
      <c r="H568" s="101"/>
    </row>
    <row r="569" spans="2:8">
      <c r="B569" s="102"/>
      <c r="C569" s="101"/>
      <c r="D569" s="101"/>
      <c r="E569" s="101"/>
      <c r="F569" s="101"/>
      <c r="H569" s="101"/>
    </row>
    <row r="570" spans="2:8">
      <c r="B570" s="102"/>
      <c r="C570" s="101"/>
      <c r="D570" s="101"/>
      <c r="E570" s="101"/>
      <c r="F570" s="101"/>
      <c r="H570" s="101"/>
    </row>
    <row r="571" spans="2:8">
      <c r="B571" s="102"/>
      <c r="C571" s="101"/>
      <c r="D571" s="101"/>
      <c r="E571" s="101"/>
      <c r="F571" s="101"/>
      <c r="H571" s="101"/>
    </row>
    <row r="572" spans="2:8">
      <c r="B572" s="102"/>
      <c r="C572" s="101"/>
      <c r="D572" s="101"/>
      <c r="E572" s="101"/>
      <c r="F572" s="101"/>
      <c r="H572" s="101"/>
    </row>
    <row r="573" spans="2:8">
      <c r="B573" s="102"/>
      <c r="C573" s="101"/>
      <c r="D573" s="101"/>
      <c r="E573" s="101"/>
      <c r="F573" s="101"/>
      <c r="H573" s="101"/>
    </row>
    <row r="574" spans="2:8">
      <c r="B574" s="102"/>
      <c r="C574" s="101"/>
      <c r="D574" s="101"/>
      <c r="E574" s="101"/>
      <c r="F574" s="101"/>
      <c r="H574" s="101"/>
    </row>
    <row r="575" spans="2:8">
      <c r="B575" s="102"/>
      <c r="C575" s="101"/>
      <c r="D575" s="101"/>
      <c r="E575" s="101"/>
      <c r="F575" s="101"/>
      <c r="H575" s="101"/>
    </row>
    <row r="576" spans="2:8">
      <c r="B576" s="102"/>
      <c r="C576" s="101"/>
      <c r="D576" s="101"/>
      <c r="E576" s="101"/>
      <c r="F576" s="101"/>
      <c r="H576" s="101"/>
    </row>
    <row r="577" spans="2:8">
      <c r="B577" s="102"/>
      <c r="C577" s="101"/>
      <c r="D577" s="101"/>
      <c r="E577" s="101"/>
      <c r="F577" s="101"/>
      <c r="H577" s="101"/>
    </row>
    <row r="578" spans="2:8">
      <c r="B578" s="102"/>
      <c r="C578" s="101"/>
      <c r="D578" s="101"/>
      <c r="E578" s="101"/>
      <c r="F578" s="101"/>
      <c r="H578" s="101"/>
    </row>
    <row r="579" spans="2:8">
      <c r="B579" s="102"/>
      <c r="C579" s="101"/>
      <c r="D579" s="101"/>
      <c r="E579" s="101"/>
      <c r="F579" s="101"/>
      <c r="H579" s="101"/>
    </row>
    <row r="580" spans="2:8">
      <c r="B580" s="102"/>
      <c r="C580" s="101"/>
      <c r="D580" s="101"/>
      <c r="E580" s="101"/>
      <c r="F580" s="101"/>
      <c r="H580" s="101"/>
    </row>
    <row r="581" spans="2:8">
      <c r="B581" s="102"/>
      <c r="C581" s="101"/>
      <c r="D581" s="101"/>
      <c r="E581" s="101"/>
      <c r="F581" s="101"/>
      <c r="H581" s="101"/>
    </row>
    <row r="582" spans="2:8">
      <c r="B582" s="102"/>
      <c r="C582" s="101"/>
      <c r="D582" s="101"/>
      <c r="E582" s="101"/>
      <c r="F582" s="101"/>
      <c r="H582" s="101"/>
    </row>
    <row r="583" spans="2:8">
      <c r="B583" s="102"/>
      <c r="C583" s="101"/>
      <c r="D583" s="101"/>
      <c r="E583" s="101"/>
      <c r="F583" s="101"/>
      <c r="H583" s="101"/>
    </row>
    <row r="584" spans="2:8">
      <c r="B584" s="102"/>
      <c r="C584" s="101"/>
      <c r="D584" s="101"/>
      <c r="E584" s="101"/>
      <c r="F584" s="101"/>
      <c r="H584" s="101"/>
    </row>
    <row r="585" spans="2:8">
      <c r="B585" s="102"/>
      <c r="C585" s="101"/>
      <c r="D585" s="101"/>
      <c r="E585" s="101"/>
      <c r="F585" s="101"/>
      <c r="H585" s="101"/>
    </row>
    <row r="586" spans="2:8">
      <c r="B586" s="102"/>
      <c r="C586" s="101"/>
      <c r="D586" s="101"/>
      <c r="E586" s="101"/>
      <c r="F586" s="101"/>
      <c r="H586" s="101"/>
    </row>
    <row r="587" spans="2:8">
      <c r="B587" s="102"/>
      <c r="C587" s="101"/>
      <c r="D587" s="101"/>
      <c r="E587" s="101"/>
      <c r="F587" s="101"/>
      <c r="H587" s="101"/>
    </row>
    <row r="588" spans="2:8">
      <c r="B588" s="102"/>
      <c r="C588" s="101"/>
      <c r="D588" s="101"/>
      <c r="E588" s="101"/>
      <c r="F588" s="101"/>
      <c r="H588" s="101"/>
    </row>
    <row r="589" spans="2:8">
      <c r="B589" s="102"/>
      <c r="C589" s="101"/>
      <c r="D589" s="101"/>
      <c r="E589" s="101"/>
      <c r="F589" s="101"/>
      <c r="H589" s="101"/>
    </row>
    <row r="590" spans="2:8">
      <c r="B590" s="102"/>
      <c r="C590" s="101"/>
      <c r="D590" s="101"/>
      <c r="E590" s="101"/>
      <c r="F590" s="101"/>
      <c r="H590" s="101"/>
    </row>
    <row r="591" spans="2:8">
      <c r="B591" s="102"/>
      <c r="C591" s="101"/>
      <c r="D591" s="101"/>
      <c r="E591" s="101"/>
      <c r="F591" s="101"/>
      <c r="H591" s="101"/>
    </row>
    <row r="592" spans="2:8">
      <c r="B592" s="102"/>
      <c r="C592" s="101"/>
      <c r="D592" s="101"/>
      <c r="E592" s="101"/>
      <c r="F592" s="101"/>
      <c r="H592" s="101"/>
    </row>
    <row r="593" spans="2:8">
      <c r="B593" s="102"/>
      <c r="C593" s="101"/>
      <c r="D593" s="101"/>
      <c r="E593" s="101"/>
      <c r="F593" s="101"/>
      <c r="H593" s="101"/>
    </row>
    <row r="594" spans="2:8">
      <c r="B594" s="102"/>
      <c r="C594" s="101"/>
      <c r="D594" s="101"/>
      <c r="E594" s="101"/>
      <c r="F594" s="101"/>
      <c r="H594" s="101"/>
    </row>
    <row r="595" spans="2:8">
      <c r="B595" s="102"/>
      <c r="C595" s="101"/>
      <c r="D595" s="101"/>
      <c r="E595" s="101"/>
      <c r="F595" s="101"/>
      <c r="H595" s="101"/>
    </row>
    <row r="596" spans="2:8">
      <c r="B596" s="102"/>
      <c r="C596" s="101"/>
      <c r="D596" s="101"/>
      <c r="E596" s="101"/>
      <c r="F596" s="101"/>
      <c r="H596" s="101"/>
    </row>
    <row r="597" spans="2:8">
      <c r="B597" s="102"/>
      <c r="C597" s="101"/>
      <c r="D597" s="101"/>
      <c r="E597" s="101"/>
      <c r="F597" s="101"/>
      <c r="H597" s="101"/>
    </row>
    <row r="598" spans="2:8">
      <c r="B598" s="102"/>
      <c r="C598" s="101"/>
      <c r="D598" s="101"/>
      <c r="E598" s="101"/>
      <c r="F598" s="101"/>
      <c r="H598" s="101"/>
    </row>
    <row r="599" spans="2:8">
      <c r="B599" s="102"/>
      <c r="C599" s="101"/>
      <c r="D599" s="101"/>
      <c r="E599" s="101"/>
      <c r="F599" s="101"/>
      <c r="H599" s="101"/>
    </row>
    <row r="600" spans="2:8">
      <c r="B600" s="102"/>
      <c r="C600" s="101"/>
      <c r="D600" s="101"/>
      <c r="E600" s="101"/>
      <c r="F600" s="101"/>
      <c r="H600" s="101"/>
    </row>
    <row r="601" spans="2:8">
      <c r="B601" s="102"/>
      <c r="C601" s="101"/>
      <c r="D601" s="101"/>
      <c r="E601" s="101"/>
      <c r="F601" s="101"/>
      <c r="H601" s="101"/>
    </row>
    <row r="602" spans="2:8">
      <c r="B602" s="102"/>
      <c r="C602" s="101"/>
      <c r="D602" s="101"/>
      <c r="E602" s="101"/>
      <c r="F602" s="101"/>
      <c r="H602" s="101"/>
    </row>
    <row r="603" spans="2:8">
      <c r="B603" s="102"/>
      <c r="C603" s="101"/>
      <c r="D603" s="101"/>
      <c r="E603" s="101"/>
      <c r="F603" s="101"/>
      <c r="H603" s="101"/>
    </row>
    <row r="604" spans="2:8">
      <c r="B604" s="102"/>
      <c r="C604" s="101"/>
      <c r="D604" s="101"/>
      <c r="E604" s="101"/>
      <c r="F604" s="101"/>
      <c r="H604" s="101"/>
    </row>
    <row r="605" spans="2:8">
      <c r="B605" s="102"/>
      <c r="C605" s="101"/>
      <c r="D605" s="101"/>
      <c r="E605" s="101"/>
      <c r="F605" s="101"/>
      <c r="H605" s="101"/>
    </row>
    <row r="606" spans="2:8">
      <c r="B606" s="102"/>
      <c r="C606" s="101"/>
      <c r="D606" s="101"/>
      <c r="E606" s="101"/>
      <c r="F606" s="101"/>
      <c r="H606" s="101"/>
    </row>
    <row r="607" spans="2:8">
      <c r="B607" s="102"/>
      <c r="C607" s="101"/>
      <c r="D607" s="101"/>
      <c r="E607" s="101"/>
      <c r="F607" s="101"/>
      <c r="H607" s="101"/>
    </row>
    <row r="608" spans="2:8">
      <c r="B608" s="102"/>
      <c r="C608" s="101"/>
      <c r="D608" s="101"/>
      <c r="E608" s="101"/>
      <c r="F608" s="101"/>
      <c r="H608" s="101"/>
    </row>
    <row r="609" spans="2:8">
      <c r="B609" s="102"/>
      <c r="C609" s="101"/>
      <c r="D609" s="101"/>
      <c r="E609" s="101"/>
      <c r="F609" s="101"/>
      <c r="H609" s="101"/>
    </row>
    <row r="610" spans="2:8">
      <c r="B610" s="102"/>
      <c r="C610" s="101"/>
      <c r="D610" s="101"/>
      <c r="E610" s="101"/>
      <c r="F610" s="101"/>
      <c r="H610" s="101"/>
    </row>
    <row r="611" spans="2:8">
      <c r="B611" s="102"/>
      <c r="C611" s="101"/>
      <c r="D611" s="101"/>
      <c r="E611" s="101"/>
      <c r="F611" s="101"/>
      <c r="H611" s="101"/>
    </row>
    <row r="612" spans="2:8">
      <c r="B612" s="102"/>
      <c r="C612" s="101"/>
      <c r="D612" s="101"/>
      <c r="E612" s="101"/>
      <c r="F612" s="101"/>
      <c r="H612" s="101"/>
    </row>
    <row r="613" spans="2:8">
      <c r="B613" s="102"/>
      <c r="C613" s="101"/>
      <c r="D613" s="101"/>
      <c r="E613" s="101"/>
      <c r="F613" s="101"/>
      <c r="H613" s="101"/>
    </row>
    <row r="614" spans="2:8">
      <c r="B614" s="102"/>
      <c r="C614" s="101"/>
      <c r="D614" s="101"/>
      <c r="E614" s="101"/>
      <c r="F614" s="101"/>
      <c r="H614" s="101"/>
    </row>
    <row r="615" spans="2:8">
      <c r="B615" s="102"/>
      <c r="C615" s="101"/>
      <c r="D615" s="101"/>
      <c r="E615" s="101"/>
      <c r="F615" s="101"/>
      <c r="H615" s="101"/>
    </row>
    <row r="616" spans="2:8">
      <c r="B616" s="102"/>
      <c r="C616" s="101"/>
      <c r="D616" s="101"/>
      <c r="E616" s="101"/>
      <c r="F616" s="101"/>
      <c r="H616" s="101"/>
    </row>
    <row r="617" spans="2:8">
      <c r="B617" s="102"/>
      <c r="C617" s="101"/>
      <c r="D617" s="101"/>
      <c r="E617" s="101"/>
      <c r="F617" s="101"/>
      <c r="H617" s="101"/>
    </row>
    <row r="618" spans="2:8">
      <c r="B618" s="102"/>
      <c r="C618" s="101"/>
      <c r="D618" s="101"/>
      <c r="E618" s="101"/>
      <c r="F618" s="101"/>
      <c r="H618" s="101"/>
    </row>
    <row r="619" spans="2:8">
      <c r="B619" s="102"/>
      <c r="C619" s="101"/>
      <c r="D619" s="101"/>
      <c r="E619" s="101"/>
      <c r="F619" s="101"/>
      <c r="H619" s="101"/>
    </row>
    <row r="620" spans="2:8">
      <c r="B620" s="102"/>
      <c r="C620" s="101"/>
      <c r="D620" s="101"/>
      <c r="E620" s="101"/>
      <c r="F620" s="101"/>
      <c r="H620" s="101"/>
    </row>
    <row r="621" spans="2:8">
      <c r="B621" s="102"/>
      <c r="C621" s="101"/>
      <c r="D621" s="101"/>
      <c r="E621" s="101"/>
      <c r="F621" s="101"/>
      <c r="H621" s="101"/>
    </row>
    <row r="622" spans="2:8">
      <c r="B622" s="102"/>
      <c r="C622" s="101"/>
      <c r="D622" s="101"/>
      <c r="E622" s="101"/>
      <c r="F622" s="101"/>
      <c r="H622" s="101"/>
    </row>
    <row r="623" spans="2:8">
      <c r="B623" s="102"/>
      <c r="C623" s="101"/>
      <c r="D623" s="101"/>
      <c r="E623" s="101"/>
      <c r="F623" s="101"/>
      <c r="H623" s="101"/>
    </row>
    <row r="624" spans="2:8">
      <c r="B624" s="102"/>
      <c r="C624" s="101"/>
      <c r="D624" s="101"/>
      <c r="E624" s="101"/>
      <c r="F624" s="101"/>
      <c r="H624" s="101"/>
    </row>
    <row r="625" spans="2:8">
      <c r="B625" s="102"/>
      <c r="C625" s="101"/>
      <c r="D625" s="101"/>
      <c r="E625" s="101"/>
      <c r="F625" s="101"/>
      <c r="H625" s="101"/>
    </row>
    <row r="626" spans="2:8">
      <c r="B626" s="102"/>
      <c r="C626" s="101"/>
      <c r="D626" s="101"/>
      <c r="E626" s="101"/>
      <c r="F626" s="101"/>
      <c r="H626" s="101"/>
    </row>
    <row r="627" spans="2:8">
      <c r="B627" s="102"/>
      <c r="C627" s="101"/>
      <c r="D627" s="101"/>
      <c r="E627" s="101"/>
      <c r="F627" s="101"/>
      <c r="H627" s="101"/>
    </row>
    <row r="628" spans="2:8">
      <c r="B628" s="102"/>
      <c r="C628" s="101"/>
      <c r="D628" s="101"/>
      <c r="E628" s="101"/>
      <c r="F628" s="101"/>
      <c r="H628" s="101"/>
    </row>
    <row r="629" spans="2:8">
      <c r="B629" s="102"/>
      <c r="C629" s="101"/>
      <c r="D629" s="101"/>
      <c r="E629" s="101"/>
      <c r="F629" s="101"/>
      <c r="H629" s="101"/>
    </row>
    <row r="630" spans="2:8">
      <c r="B630" s="102"/>
      <c r="C630" s="101"/>
      <c r="D630" s="101"/>
      <c r="E630" s="101"/>
      <c r="F630" s="101"/>
      <c r="H630" s="101"/>
    </row>
    <row r="631" spans="2:8">
      <c r="B631" s="102"/>
      <c r="C631" s="101"/>
      <c r="D631" s="101"/>
      <c r="E631" s="101"/>
      <c r="F631" s="101"/>
      <c r="H631" s="101"/>
    </row>
    <row r="632" spans="2:8">
      <c r="B632" s="102"/>
      <c r="C632" s="101"/>
      <c r="D632" s="101"/>
      <c r="E632" s="101"/>
      <c r="F632" s="101"/>
      <c r="H632" s="101"/>
    </row>
    <row r="633" spans="2:8">
      <c r="B633" s="102"/>
      <c r="C633" s="101"/>
      <c r="D633" s="101"/>
      <c r="E633" s="101"/>
      <c r="F633" s="101"/>
      <c r="H633" s="101"/>
    </row>
    <row r="634" spans="2:8">
      <c r="B634" s="102"/>
      <c r="C634" s="101"/>
      <c r="D634" s="101"/>
      <c r="E634" s="101"/>
      <c r="F634" s="101"/>
      <c r="H634" s="101"/>
    </row>
    <row r="635" spans="2:8">
      <c r="B635" s="102"/>
      <c r="C635" s="101"/>
      <c r="D635" s="101"/>
      <c r="E635" s="101"/>
      <c r="F635" s="101"/>
      <c r="H635" s="101"/>
    </row>
    <row r="636" spans="2:8">
      <c r="B636" s="102"/>
      <c r="C636" s="101"/>
      <c r="D636" s="101"/>
      <c r="E636" s="101"/>
      <c r="F636" s="101"/>
      <c r="H636" s="101"/>
    </row>
    <row r="637" spans="2:8">
      <c r="B637" s="102"/>
      <c r="C637" s="101"/>
      <c r="D637" s="101"/>
      <c r="E637" s="101"/>
      <c r="F637" s="101"/>
      <c r="H637" s="101"/>
    </row>
    <row r="638" spans="2:8">
      <c r="B638" s="102"/>
      <c r="C638" s="101"/>
      <c r="D638" s="101"/>
      <c r="E638" s="101"/>
      <c r="F638" s="101"/>
      <c r="H638" s="101"/>
    </row>
    <row r="639" spans="2:8">
      <c r="B639" s="102"/>
      <c r="C639" s="101"/>
      <c r="D639" s="101"/>
      <c r="E639" s="101"/>
      <c r="F639" s="101"/>
      <c r="H639" s="101"/>
    </row>
    <row r="640" spans="2:8">
      <c r="B640" s="102"/>
      <c r="C640" s="101"/>
      <c r="D640" s="101"/>
      <c r="E640" s="101"/>
      <c r="F640" s="101"/>
      <c r="H640" s="101"/>
    </row>
    <row r="641" spans="2:8">
      <c r="B641" s="102"/>
      <c r="C641" s="101"/>
      <c r="D641" s="101"/>
      <c r="E641" s="101"/>
      <c r="F641" s="101"/>
      <c r="H641" s="101"/>
    </row>
    <row r="642" spans="2:8">
      <c r="B642" s="102"/>
      <c r="C642" s="101"/>
      <c r="D642" s="101"/>
      <c r="E642" s="101"/>
      <c r="F642" s="101"/>
      <c r="H642" s="101"/>
    </row>
    <row r="643" spans="2:8">
      <c r="B643" s="102"/>
      <c r="C643" s="101"/>
      <c r="D643" s="101"/>
      <c r="E643" s="101"/>
      <c r="F643" s="101"/>
      <c r="H643" s="101"/>
    </row>
    <row r="644" spans="2:8">
      <c r="B644" s="102"/>
      <c r="C644" s="101"/>
      <c r="D644" s="101"/>
      <c r="E644" s="101"/>
      <c r="F644" s="101"/>
      <c r="H644" s="101"/>
    </row>
    <row r="645" spans="2:8">
      <c r="B645" s="102"/>
      <c r="C645" s="101"/>
      <c r="D645" s="101"/>
      <c r="E645" s="101"/>
      <c r="F645" s="101"/>
      <c r="H645" s="101"/>
    </row>
    <row r="646" spans="2:8">
      <c r="B646" s="102"/>
      <c r="C646" s="101"/>
      <c r="D646" s="101"/>
      <c r="E646" s="101"/>
      <c r="F646" s="101"/>
      <c r="H646" s="101"/>
    </row>
    <row r="647" spans="2:8">
      <c r="B647" s="102"/>
      <c r="C647" s="101"/>
      <c r="D647" s="101"/>
      <c r="E647" s="101"/>
      <c r="F647" s="101"/>
      <c r="H647" s="101"/>
    </row>
    <row r="648" spans="2:8">
      <c r="B648" s="102"/>
      <c r="C648" s="101"/>
      <c r="D648" s="101"/>
      <c r="E648" s="101"/>
      <c r="F648" s="101"/>
      <c r="H648" s="101"/>
    </row>
    <row r="649" spans="2:8">
      <c r="B649" s="102"/>
      <c r="C649" s="101"/>
      <c r="D649" s="101"/>
      <c r="E649" s="101"/>
      <c r="F649" s="101"/>
      <c r="H649" s="101"/>
    </row>
    <row r="650" spans="2:8">
      <c r="B650" s="102"/>
      <c r="C650" s="101"/>
      <c r="D650" s="101"/>
      <c r="E650" s="101"/>
      <c r="F650" s="101"/>
      <c r="H650" s="101"/>
    </row>
    <row r="651" spans="2:8">
      <c r="B651" s="102"/>
      <c r="C651" s="101"/>
      <c r="D651" s="101"/>
      <c r="E651" s="101"/>
      <c r="F651" s="101"/>
      <c r="H651" s="101"/>
    </row>
    <row r="652" spans="2:8">
      <c r="B652" s="102"/>
      <c r="C652" s="101"/>
      <c r="D652" s="101"/>
      <c r="E652" s="101"/>
      <c r="F652" s="101"/>
      <c r="H652" s="101"/>
    </row>
    <row r="653" spans="2:8">
      <c r="B653" s="102"/>
      <c r="C653" s="101"/>
      <c r="D653" s="101"/>
      <c r="E653" s="101"/>
      <c r="F653" s="101"/>
      <c r="H653" s="101"/>
    </row>
    <row r="654" spans="2:8">
      <c r="B654" s="102"/>
      <c r="C654" s="101"/>
      <c r="D654" s="101"/>
      <c r="E654" s="101"/>
      <c r="F654" s="101"/>
      <c r="H654" s="101"/>
    </row>
    <row r="655" spans="2:8">
      <c r="B655" s="102"/>
      <c r="C655" s="101"/>
      <c r="D655" s="101"/>
      <c r="E655" s="101"/>
      <c r="F655" s="101"/>
      <c r="H655" s="101"/>
    </row>
    <row r="656" spans="2:8">
      <c r="B656" s="102"/>
      <c r="C656" s="101"/>
      <c r="D656" s="101"/>
      <c r="E656" s="101"/>
      <c r="F656" s="101"/>
      <c r="H656" s="101"/>
    </row>
    <row r="657" spans="2:8">
      <c r="B657" s="102"/>
      <c r="C657" s="101"/>
      <c r="D657" s="101"/>
      <c r="E657" s="101"/>
      <c r="F657" s="101"/>
      <c r="H657" s="101"/>
    </row>
    <row r="658" spans="2:8">
      <c r="B658" s="102"/>
      <c r="C658" s="101"/>
      <c r="D658" s="101"/>
      <c r="E658" s="101"/>
      <c r="F658" s="101"/>
      <c r="H658" s="101"/>
    </row>
    <row r="659" spans="2:8">
      <c r="B659" s="102"/>
      <c r="C659" s="101"/>
      <c r="D659" s="101"/>
      <c r="E659" s="101"/>
      <c r="F659" s="101"/>
      <c r="H659" s="101"/>
    </row>
    <row r="660" spans="2:8">
      <c r="B660" s="102"/>
      <c r="C660" s="101"/>
      <c r="D660" s="101"/>
      <c r="E660" s="101"/>
      <c r="F660" s="101"/>
      <c r="H660" s="101"/>
    </row>
    <row r="661" spans="2:8">
      <c r="B661" s="102"/>
      <c r="C661" s="101"/>
      <c r="D661" s="101"/>
      <c r="E661" s="101"/>
      <c r="F661" s="101"/>
      <c r="H661" s="101"/>
    </row>
    <row r="662" spans="2:8">
      <c r="B662" s="102"/>
      <c r="C662" s="101"/>
      <c r="D662" s="101"/>
      <c r="E662" s="101"/>
      <c r="F662" s="101"/>
      <c r="H662" s="101"/>
    </row>
    <row r="663" spans="2:8">
      <c r="B663" s="102"/>
      <c r="C663" s="101"/>
      <c r="D663" s="101"/>
      <c r="E663" s="101"/>
      <c r="F663" s="101"/>
      <c r="H663" s="101"/>
    </row>
    <row r="664" spans="2:8">
      <c r="B664" s="102"/>
      <c r="C664" s="101"/>
      <c r="D664" s="101"/>
      <c r="E664" s="101"/>
      <c r="F664" s="101"/>
      <c r="H664" s="101"/>
    </row>
    <row r="665" spans="2:8">
      <c r="B665" s="102"/>
      <c r="C665" s="101"/>
      <c r="D665" s="101"/>
      <c r="E665" s="101"/>
      <c r="F665" s="101"/>
      <c r="H665" s="101"/>
    </row>
    <row r="666" spans="2:8">
      <c r="B666" s="102"/>
      <c r="C666" s="101"/>
      <c r="D666" s="101"/>
      <c r="E666" s="101"/>
      <c r="F666" s="101"/>
      <c r="H666" s="101"/>
    </row>
    <row r="667" spans="2:8">
      <c r="B667" s="102"/>
      <c r="C667" s="101"/>
      <c r="D667" s="101"/>
      <c r="E667" s="101"/>
      <c r="F667" s="101"/>
      <c r="H667" s="101"/>
    </row>
    <row r="668" spans="2:8">
      <c r="B668" s="102"/>
      <c r="C668" s="101"/>
      <c r="D668" s="101"/>
      <c r="E668" s="101"/>
      <c r="F668" s="101"/>
      <c r="H668" s="101"/>
    </row>
    <row r="669" spans="2:8">
      <c r="B669" s="102"/>
      <c r="C669" s="101"/>
      <c r="D669" s="101"/>
      <c r="E669" s="101"/>
      <c r="F669" s="101"/>
      <c r="H669" s="101"/>
    </row>
    <row r="670" spans="2:8">
      <c r="B670" s="102"/>
      <c r="C670" s="101"/>
      <c r="D670" s="101"/>
      <c r="E670" s="101"/>
      <c r="F670" s="101"/>
      <c r="H670" s="101"/>
    </row>
    <row r="671" spans="2:8">
      <c r="B671" s="102"/>
      <c r="C671" s="101"/>
      <c r="D671" s="101"/>
      <c r="E671" s="101"/>
      <c r="F671" s="101"/>
      <c r="H671" s="101"/>
    </row>
    <row r="672" spans="2:8">
      <c r="B672" s="102"/>
      <c r="C672" s="101"/>
      <c r="D672" s="101"/>
      <c r="E672" s="101"/>
      <c r="F672" s="101"/>
      <c r="H672" s="101"/>
    </row>
    <row r="673" spans="2:8">
      <c r="B673" s="102"/>
      <c r="C673" s="101"/>
      <c r="D673" s="101"/>
      <c r="E673" s="101"/>
      <c r="F673" s="101"/>
      <c r="H673" s="101"/>
    </row>
    <row r="674" spans="2:8">
      <c r="B674" s="102"/>
      <c r="C674" s="101"/>
      <c r="D674" s="101"/>
      <c r="E674" s="101"/>
      <c r="F674" s="101"/>
      <c r="H674" s="101"/>
    </row>
    <row r="675" spans="2:8">
      <c r="B675" s="102"/>
      <c r="C675" s="101"/>
      <c r="D675" s="101"/>
      <c r="E675" s="101"/>
      <c r="F675" s="101"/>
      <c r="H675" s="101"/>
    </row>
    <row r="676" spans="2:8">
      <c r="B676" s="102"/>
      <c r="C676" s="101"/>
      <c r="D676" s="101"/>
      <c r="E676" s="101"/>
      <c r="F676" s="101"/>
      <c r="H676" s="101"/>
    </row>
    <row r="677" spans="2:8">
      <c r="B677" s="102"/>
      <c r="C677" s="101"/>
      <c r="D677" s="101"/>
      <c r="E677" s="101"/>
      <c r="F677" s="101"/>
      <c r="H677" s="101"/>
    </row>
    <row r="678" spans="2:8">
      <c r="B678" s="102"/>
      <c r="C678" s="101"/>
      <c r="D678" s="101"/>
      <c r="E678" s="101"/>
      <c r="F678" s="101"/>
      <c r="H678" s="101"/>
    </row>
    <row r="679" spans="2:8">
      <c r="B679" s="102"/>
      <c r="C679" s="101"/>
      <c r="D679" s="101"/>
      <c r="E679" s="101"/>
      <c r="F679" s="101"/>
      <c r="H679" s="101"/>
    </row>
    <row r="680" spans="2:8">
      <c r="B680" s="102"/>
      <c r="C680" s="101"/>
      <c r="D680" s="101"/>
      <c r="E680" s="101"/>
      <c r="F680" s="101"/>
      <c r="H680" s="101"/>
    </row>
    <row r="681" spans="2:8">
      <c r="B681" s="102"/>
      <c r="C681" s="101"/>
      <c r="D681" s="101"/>
      <c r="E681" s="101"/>
      <c r="F681" s="101"/>
      <c r="H681" s="101"/>
    </row>
    <row r="682" spans="2:8">
      <c r="B682" s="102"/>
      <c r="C682" s="101"/>
      <c r="D682" s="101"/>
      <c r="E682" s="101"/>
      <c r="F682" s="101"/>
      <c r="H682" s="101"/>
    </row>
    <row r="683" spans="2:8">
      <c r="B683" s="102"/>
      <c r="C683" s="101"/>
      <c r="D683" s="101"/>
      <c r="E683" s="101"/>
      <c r="F683" s="101"/>
      <c r="H683" s="101"/>
    </row>
    <row r="684" spans="2:8">
      <c r="B684" s="102"/>
      <c r="C684" s="101"/>
      <c r="D684" s="101"/>
      <c r="E684" s="101"/>
      <c r="F684" s="101"/>
      <c r="H684" s="101"/>
    </row>
    <row r="685" spans="2:8">
      <c r="B685" s="102"/>
      <c r="C685" s="101"/>
      <c r="D685" s="101"/>
      <c r="E685" s="101"/>
      <c r="F685" s="101"/>
      <c r="H685" s="101"/>
    </row>
    <row r="686" spans="2:8">
      <c r="B686" s="102"/>
      <c r="C686" s="101"/>
      <c r="D686" s="101"/>
      <c r="E686" s="101"/>
      <c r="F686" s="101"/>
      <c r="H686" s="101"/>
    </row>
    <row r="687" spans="2:8">
      <c r="B687" s="102"/>
      <c r="C687" s="101"/>
      <c r="D687" s="101"/>
      <c r="E687" s="101"/>
      <c r="F687" s="101"/>
      <c r="H687" s="101"/>
    </row>
    <row r="688" spans="2:8">
      <c r="B688" s="102"/>
      <c r="C688" s="101"/>
      <c r="D688" s="101"/>
      <c r="E688" s="101"/>
      <c r="F688" s="101"/>
      <c r="H688" s="101"/>
    </row>
    <row r="689" spans="2:8">
      <c r="B689" s="102"/>
      <c r="C689" s="101"/>
      <c r="D689" s="101"/>
      <c r="E689" s="101"/>
      <c r="F689" s="101"/>
      <c r="H689" s="101"/>
    </row>
    <row r="690" spans="2:8">
      <c r="B690" s="102"/>
      <c r="C690" s="101"/>
      <c r="D690" s="101"/>
      <c r="E690" s="101"/>
      <c r="F690" s="101"/>
      <c r="H690" s="101"/>
    </row>
    <row r="691" spans="2:8">
      <c r="B691" s="102"/>
      <c r="C691" s="101"/>
      <c r="D691" s="101"/>
      <c r="E691" s="101"/>
      <c r="F691" s="101"/>
      <c r="H691" s="101"/>
    </row>
    <row r="692" spans="2:8">
      <c r="B692" s="102"/>
      <c r="C692" s="101"/>
      <c r="D692" s="101"/>
      <c r="E692" s="101"/>
      <c r="F692" s="101"/>
      <c r="H692" s="101"/>
    </row>
    <row r="693" spans="2:8">
      <c r="B693" s="102"/>
      <c r="C693" s="101"/>
      <c r="D693" s="101"/>
      <c r="E693" s="101"/>
      <c r="F693" s="101"/>
      <c r="H693" s="101"/>
    </row>
    <row r="694" spans="2:8">
      <c r="B694" s="102"/>
      <c r="C694" s="101"/>
      <c r="D694" s="101"/>
      <c r="E694" s="101"/>
      <c r="F694" s="101"/>
      <c r="H694" s="101"/>
    </row>
    <row r="695" spans="2:8">
      <c r="B695" s="102"/>
      <c r="C695" s="101"/>
      <c r="D695" s="101"/>
      <c r="E695" s="101"/>
      <c r="F695" s="101"/>
      <c r="H695" s="101"/>
    </row>
    <row r="696" spans="2:8">
      <c r="B696" s="102"/>
      <c r="C696" s="101"/>
      <c r="D696" s="101"/>
      <c r="E696" s="101"/>
      <c r="F696" s="101"/>
      <c r="H696" s="101"/>
    </row>
    <row r="697" spans="2:8">
      <c r="B697" s="102"/>
      <c r="C697" s="101"/>
      <c r="D697" s="101"/>
      <c r="E697" s="101"/>
      <c r="F697" s="101"/>
      <c r="H697" s="101"/>
    </row>
    <row r="698" spans="2:8">
      <c r="B698" s="102"/>
      <c r="C698" s="101"/>
      <c r="D698" s="101"/>
      <c r="E698" s="101"/>
      <c r="F698" s="101"/>
      <c r="H698" s="101"/>
    </row>
    <row r="699" spans="2:8">
      <c r="B699" s="102"/>
      <c r="C699" s="101"/>
      <c r="D699" s="101"/>
      <c r="E699" s="101"/>
      <c r="F699" s="101"/>
      <c r="H699" s="101"/>
    </row>
    <row r="700" spans="2:8">
      <c r="B700" s="102"/>
      <c r="C700" s="101"/>
      <c r="D700" s="101"/>
      <c r="E700" s="101"/>
      <c r="F700" s="101"/>
      <c r="H700" s="101"/>
    </row>
    <row r="701" spans="2:8">
      <c r="B701" s="102"/>
      <c r="C701" s="101"/>
      <c r="D701" s="101"/>
      <c r="E701" s="101"/>
      <c r="F701" s="101"/>
      <c r="H701" s="101"/>
    </row>
    <row r="702" spans="2:8">
      <c r="B702" s="102"/>
      <c r="C702" s="101"/>
      <c r="D702" s="101"/>
      <c r="E702" s="101"/>
      <c r="F702" s="101"/>
      <c r="H702" s="101"/>
    </row>
    <row r="703" spans="2:8">
      <c r="B703" s="102"/>
      <c r="C703" s="101"/>
      <c r="D703" s="101"/>
      <c r="E703" s="101"/>
      <c r="F703" s="101"/>
      <c r="H703" s="101"/>
    </row>
    <row r="704" spans="2:8">
      <c r="B704" s="102"/>
      <c r="C704" s="101"/>
      <c r="D704" s="101"/>
      <c r="E704" s="101"/>
      <c r="F704" s="101"/>
      <c r="H704" s="101"/>
    </row>
    <row r="705" spans="2:8">
      <c r="B705" s="102"/>
      <c r="C705" s="101"/>
      <c r="D705" s="101"/>
      <c r="E705" s="101"/>
      <c r="F705" s="101"/>
      <c r="H705" s="101"/>
    </row>
    <row r="706" spans="2:8">
      <c r="B706" s="102"/>
      <c r="C706" s="101"/>
      <c r="D706" s="101"/>
      <c r="E706" s="101"/>
      <c r="F706" s="101"/>
      <c r="H706" s="101"/>
    </row>
    <row r="707" spans="2:8">
      <c r="B707" s="102"/>
      <c r="C707" s="101"/>
      <c r="D707" s="101"/>
      <c r="E707" s="101"/>
      <c r="F707" s="101"/>
      <c r="H707" s="101"/>
    </row>
    <row r="708" spans="2:8">
      <c r="B708" s="102"/>
      <c r="C708" s="101"/>
      <c r="D708" s="101"/>
      <c r="E708" s="101"/>
      <c r="F708" s="101"/>
      <c r="H708" s="101"/>
    </row>
    <row r="709" spans="2:8">
      <c r="B709" s="102"/>
      <c r="C709" s="101"/>
      <c r="D709" s="101"/>
      <c r="E709" s="101"/>
      <c r="F709" s="101"/>
      <c r="H709" s="101"/>
    </row>
    <row r="710" spans="2:8">
      <c r="B710" s="102"/>
      <c r="C710" s="101"/>
      <c r="D710" s="101"/>
      <c r="E710" s="101"/>
      <c r="F710" s="101"/>
      <c r="H710" s="101"/>
    </row>
    <row r="711" spans="2:8">
      <c r="B711" s="102"/>
      <c r="C711" s="101"/>
      <c r="D711" s="101"/>
      <c r="E711" s="101"/>
      <c r="F711" s="101"/>
      <c r="H711" s="101"/>
    </row>
    <row r="712" spans="2:8">
      <c r="B712" s="102"/>
      <c r="C712" s="101"/>
      <c r="D712" s="101"/>
      <c r="E712" s="101"/>
      <c r="F712" s="101"/>
      <c r="H712" s="101"/>
    </row>
    <row r="713" spans="2:8">
      <c r="B713" s="102"/>
      <c r="C713" s="101"/>
      <c r="D713" s="101"/>
      <c r="E713" s="101"/>
      <c r="F713" s="101"/>
      <c r="H713" s="101"/>
    </row>
    <row r="714" spans="2:8">
      <c r="B714" s="102"/>
      <c r="C714" s="101"/>
      <c r="D714" s="101"/>
      <c r="E714" s="101"/>
      <c r="F714" s="101"/>
      <c r="H714" s="101"/>
    </row>
    <row r="715" spans="2:8">
      <c r="B715" s="102"/>
      <c r="C715" s="101"/>
      <c r="D715" s="101"/>
      <c r="E715" s="101"/>
      <c r="F715" s="101"/>
      <c r="H715" s="101"/>
    </row>
    <row r="716" spans="2:8">
      <c r="B716" s="102"/>
      <c r="C716" s="101"/>
      <c r="D716" s="101"/>
      <c r="E716" s="101"/>
      <c r="F716" s="101"/>
      <c r="H716" s="101"/>
    </row>
    <row r="717" spans="2:8">
      <c r="B717" s="102"/>
      <c r="C717" s="101"/>
      <c r="D717" s="101"/>
      <c r="E717" s="101"/>
      <c r="F717" s="101"/>
      <c r="H717" s="101"/>
    </row>
    <row r="718" spans="2:8">
      <c r="B718" s="102"/>
      <c r="C718" s="101"/>
      <c r="D718" s="101"/>
      <c r="E718" s="101"/>
      <c r="F718" s="101"/>
      <c r="H718" s="101"/>
    </row>
    <row r="719" spans="2:8">
      <c r="B719" s="102"/>
      <c r="C719" s="101"/>
      <c r="D719" s="101"/>
      <c r="E719" s="101"/>
      <c r="F719" s="101"/>
      <c r="H719" s="101"/>
    </row>
    <row r="720" spans="2:8">
      <c r="B720" s="102"/>
      <c r="C720" s="101"/>
      <c r="D720" s="101"/>
      <c r="E720" s="101"/>
      <c r="F720" s="101"/>
      <c r="H720" s="101"/>
    </row>
    <row r="721" spans="2:8">
      <c r="B721" s="102"/>
      <c r="C721" s="101"/>
      <c r="D721" s="101"/>
      <c r="E721" s="101"/>
      <c r="F721" s="101"/>
      <c r="H721" s="101"/>
    </row>
    <row r="722" spans="2:8">
      <c r="B722" s="102"/>
      <c r="C722" s="101"/>
      <c r="D722" s="101"/>
      <c r="E722" s="101"/>
      <c r="F722" s="101"/>
      <c r="H722" s="101"/>
    </row>
    <row r="723" spans="2:8">
      <c r="B723" s="102"/>
      <c r="C723" s="101"/>
      <c r="D723" s="101"/>
      <c r="E723" s="101"/>
      <c r="F723" s="101"/>
      <c r="H723" s="101"/>
    </row>
    <row r="724" spans="2:8">
      <c r="B724" s="102"/>
      <c r="C724" s="101"/>
      <c r="D724" s="101"/>
      <c r="E724" s="101"/>
      <c r="F724" s="101"/>
      <c r="H724" s="101"/>
    </row>
    <row r="725" spans="2:8">
      <c r="B725" s="102"/>
      <c r="C725" s="101"/>
      <c r="D725" s="101"/>
      <c r="E725" s="101"/>
      <c r="F725" s="101"/>
      <c r="H725" s="101"/>
    </row>
    <row r="726" spans="2:8">
      <c r="B726" s="102"/>
      <c r="C726" s="101"/>
      <c r="D726" s="101"/>
      <c r="E726" s="101"/>
      <c r="F726" s="101"/>
      <c r="H726" s="101"/>
    </row>
    <row r="727" spans="2:8">
      <c r="B727" s="102"/>
      <c r="C727" s="101"/>
      <c r="D727" s="101"/>
      <c r="E727" s="101"/>
      <c r="F727" s="101"/>
      <c r="H727" s="101"/>
    </row>
    <row r="728" spans="2:8">
      <c r="B728" s="102"/>
      <c r="C728" s="101"/>
      <c r="D728" s="101"/>
      <c r="E728" s="101"/>
      <c r="F728" s="101"/>
      <c r="H728" s="101"/>
    </row>
    <row r="729" spans="2:8">
      <c r="B729" s="102"/>
      <c r="C729" s="101"/>
      <c r="D729" s="101"/>
      <c r="E729" s="101"/>
      <c r="F729" s="101"/>
      <c r="H729" s="101"/>
    </row>
    <row r="730" spans="2:8">
      <c r="B730" s="102"/>
      <c r="C730" s="101"/>
      <c r="D730" s="101"/>
      <c r="E730" s="101"/>
      <c r="F730" s="101"/>
      <c r="H730" s="101"/>
    </row>
    <row r="731" spans="2:8">
      <c r="B731" s="102"/>
      <c r="C731" s="101"/>
      <c r="D731" s="101"/>
      <c r="E731" s="101"/>
      <c r="F731" s="101"/>
      <c r="H731" s="101"/>
    </row>
    <row r="732" spans="2:8">
      <c r="B732" s="102"/>
      <c r="C732" s="101"/>
      <c r="D732" s="101"/>
      <c r="E732" s="101"/>
      <c r="F732" s="101"/>
      <c r="H732" s="101"/>
    </row>
    <row r="733" spans="2:8">
      <c r="B733" s="102"/>
      <c r="C733" s="101"/>
      <c r="D733" s="101"/>
      <c r="E733" s="101"/>
      <c r="F733" s="101"/>
      <c r="H733" s="101"/>
    </row>
    <row r="734" spans="2:8">
      <c r="B734" s="102"/>
      <c r="C734" s="101"/>
      <c r="D734" s="101"/>
      <c r="E734" s="101"/>
      <c r="F734" s="101"/>
      <c r="H734" s="101"/>
    </row>
    <row r="735" spans="2:8">
      <c r="B735" s="102"/>
      <c r="C735" s="101"/>
      <c r="D735" s="101"/>
      <c r="E735" s="101"/>
      <c r="F735" s="101"/>
      <c r="H735" s="101"/>
    </row>
    <row r="736" spans="2:8">
      <c r="B736" s="102"/>
      <c r="C736" s="101"/>
      <c r="D736" s="101"/>
      <c r="E736" s="101"/>
      <c r="F736" s="101"/>
      <c r="H736" s="101"/>
    </row>
    <row r="737" spans="2:8">
      <c r="B737" s="102"/>
      <c r="C737" s="101"/>
      <c r="D737" s="101"/>
      <c r="E737" s="101"/>
      <c r="F737" s="101"/>
      <c r="H737" s="101"/>
    </row>
    <row r="738" spans="2:8">
      <c r="B738" s="102"/>
      <c r="C738" s="101"/>
      <c r="D738" s="101"/>
      <c r="E738" s="101"/>
      <c r="F738" s="101"/>
      <c r="H738" s="101"/>
    </row>
    <row r="739" spans="2:8">
      <c r="B739" s="102"/>
      <c r="C739" s="101"/>
      <c r="D739" s="101"/>
      <c r="E739" s="101"/>
      <c r="F739" s="101"/>
      <c r="H739" s="101"/>
    </row>
    <row r="740" spans="2:8">
      <c r="B740" s="102"/>
      <c r="C740" s="101"/>
      <c r="D740" s="101"/>
      <c r="E740" s="101"/>
      <c r="F740" s="101"/>
      <c r="H740" s="101"/>
    </row>
    <row r="741" spans="2:8">
      <c r="B741" s="102"/>
      <c r="C741" s="101"/>
      <c r="D741" s="101"/>
      <c r="E741" s="101"/>
      <c r="F741" s="101"/>
      <c r="H741" s="101"/>
    </row>
    <row r="742" spans="2:8">
      <c r="B742" s="102"/>
      <c r="C742" s="101"/>
      <c r="D742" s="101"/>
      <c r="E742" s="101"/>
      <c r="F742" s="101"/>
      <c r="H742" s="101"/>
    </row>
    <row r="743" spans="2:8">
      <c r="B743" s="102"/>
      <c r="C743" s="101"/>
      <c r="D743" s="101"/>
      <c r="E743" s="101"/>
      <c r="F743" s="101"/>
      <c r="H743" s="101"/>
    </row>
    <row r="744" spans="2:8">
      <c r="B744" s="102"/>
      <c r="C744" s="101"/>
      <c r="D744" s="101"/>
      <c r="E744" s="101"/>
      <c r="F744" s="101"/>
      <c r="H744" s="101"/>
    </row>
    <row r="745" spans="2:8">
      <c r="B745" s="102"/>
      <c r="C745" s="101"/>
      <c r="D745" s="101"/>
      <c r="E745" s="101"/>
      <c r="F745" s="101"/>
      <c r="H745" s="101"/>
    </row>
    <row r="746" spans="2:8">
      <c r="B746" s="102"/>
      <c r="C746" s="101"/>
      <c r="D746" s="101"/>
      <c r="E746" s="101"/>
      <c r="F746" s="101"/>
      <c r="H746" s="101"/>
    </row>
    <row r="747" spans="2:8">
      <c r="B747" s="102"/>
      <c r="C747" s="101"/>
      <c r="D747" s="101"/>
      <c r="E747" s="101"/>
      <c r="F747" s="101"/>
      <c r="H747" s="101"/>
    </row>
    <row r="748" spans="2:8">
      <c r="B748" s="102"/>
      <c r="C748" s="101"/>
      <c r="D748" s="101"/>
      <c r="E748" s="101"/>
      <c r="F748" s="101"/>
      <c r="H748" s="101"/>
    </row>
    <row r="749" spans="2:8">
      <c r="B749" s="102"/>
      <c r="C749" s="101"/>
      <c r="D749" s="101"/>
      <c r="E749" s="101"/>
      <c r="F749" s="101"/>
      <c r="H749" s="101"/>
    </row>
    <row r="750" spans="2:8">
      <c r="B750" s="102"/>
      <c r="C750" s="101"/>
      <c r="D750" s="101"/>
      <c r="E750" s="101"/>
      <c r="F750" s="101"/>
      <c r="H750" s="101"/>
    </row>
    <row r="751" spans="2:8">
      <c r="B751" s="102"/>
      <c r="C751" s="101"/>
      <c r="D751" s="101"/>
      <c r="E751" s="101"/>
      <c r="F751" s="101"/>
      <c r="H751" s="101"/>
    </row>
    <row r="752" spans="2:8">
      <c r="B752" s="102"/>
      <c r="C752" s="101"/>
      <c r="D752" s="101"/>
      <c r="E752" s="101"/>
      <c r="F752" s="101"/>
      <c r="H752" s="101"/>
    </row>
    <row r="753" spans="2:8">
      <c r="B753" s="102"/>
      <c r="C753" s="101"/>
      <c r="D753" s="101"/>
      <c r="E753" s="101"/>
      <c r="F753" s="101"/>
      <c r="H753" s="101"/>
    </row>
    <row r="754" spans="2:8">
      <c r="B754" s="102"/>
      <c r="C754" s="101"/>
      <c r="D754" s="101"/>
      <c r="E754" s="101"/>
      <c r="F754" s="101"/>
      <c r="H754" s="101"/>
    </row>
    <row r="755" spans="2:8">
      <c r="B755" s="102"/>
      <c r="C755" s="101"/>
      <c r="D755" s="101"/>
      <c r="E755" s="101"/>
      <c r="F755" s="101"/>
      <c r="H755" s="101"/>
    </row>
    <row r="756" spans="2:8">
      <c r="B756" s="102"/>
      <c r="C756" s="101"/>
      <c r="D756" s="101"/>
      <c r="E756" s="101"/>
      <c r="F756" s="101"/>
      <c r="H756" s="101"/>
    </row>
    <row r="757" spans="2:8">
      <c r="B757" s="102"/>
      <c r="C757" s="101"/>
      <c r="D757" s="101"/>
      <c r="E757" s="101"/>
      <c r="F757" s="101"/>
      <c r="H757" s="101"/>
    </row>
    <row r="758" spans="2:8">
      <c r="B758" s="102"/>
      <c r="C758" s="101"/>
      <c r="D758" s="101"/>
      <c r="E758" s="101"/>
      <c r="F758" s="101"/>
      <c r="H758" s="101"/>
    </row>
    <row r="759" spans="2:8">
      <c r="B759" s="102"/>
      <c r="C759" s="101"/>
      <c r="D759" s="101"/>
      <c r="E759" s="101"/>
      <c r="F759" s="101"/>
      <c r="H759" s="101"/>
    </row>
    <row r="760" spans="2:8">
      <c r="B760" s="102"/>
      <c r="C760" s="101"/>
      <c r="D760" s="101"/>
      <c r="E760" s="101"/>
      <c r="F760" s="101"/>
      <c r="H760" s="101"/>
    </row>
    <row r="761" spans="2:8">
      <c r="B761" s="102"/>
      <c r="C761" s="101"/>
      <c r="D761" s="101"/>
      <c r="E761" s="101"/>
      <c r="F761" s="101"/>
      <c r="H761" s="101"/>
    </row>
    <row r="762" spans="2:8">
      <c r="B762" s="102"/>
      <c r="C762" s="101"/>
      <c r="D762" s="101"/>
      <c r="E762" s="101"/>
      <c r="F762" s="101"/>
      <c r="H762" s="101"/>
    </row>
    <row r="763" spans="2:8">
      <c r="B763" s="102"/>
      <c r="C763" s="101"/>
      <c r="D763" s="101"/>
      <c r="E763" s="101"/>
      <c r="F763" s="101"/>
      <c r="H763" s="101"/>
    </row>
    <row r="764" spans="2:8">
      <c r="B764" s="102"/>
      <c r="C764" s="101"/>
      <c r="D764" s="101"/>
      <c r="E764" s="101"/>
      <c r="F764" s="101"/>
      <c r="H764" s="101"/>
    </row>
    <row r="765" spans="2:8">
      <c r="B765" s="102"/>
      <c r="C765" s="101"/>
      <c r="D765" s="101"/>
      <c r="E765" s="101"/>
      <c r="F765" s="101"/>
      <c r="H765" s="101"/>
    </row>
    <row r="766" spans="2:8">
      <c r="B766" s="102"/>
      <c r="C766" s="101"/>
      <c r="D766" s="101"/>
      <c r="E766" s="101"/>
      <c r="F766" s="101"/>
      <c r="H766" s="101"/>
    </row>
    <row r="767" spans="2:8">
      <c r="B767" s="102"/>
      <c r="C767" s="101"/>
      <c r="D767" s="101"/>
      <c r="E767" s="101"/>
      <c r="F767" s="101"/>
      <c r="H767" s="101"/>
    </row>
    <row r="768" spans="2:8">
      <c r="B768" s="102"/>
      <c r="C768" s="101"/>
      <c r="D768" s="101"/>
      <c r="E768" s="101"/>
      <c r="F768" s="101"/>
      <c r="H768" s="101"/>
    </row>
    <row r="769" spans="2:8">
      <c r="B769" s="102"/>
      <c r="C769" s="101"/>
      <c r="D769" s="101"/>
      <c r="E769" s="101"/>
      <c r="F769" s="101"/>
      <c r="H769" s="101"/>
    </row>
    <row r="770" spans="2:8">
      <c r="B770" s="102"/>
      <c r="C770" s="101"/>
      <c r="D770" s="101"/>
      <c r="E770" s="101"/>
      <c r="F770" s="101"/>
      <c r="H770" s="101"/>
    </row>
    <row r="771" spans="2:8">
      <c r="B771" s="102"/>
      <c r="C771" s="101"/>
      <c r="D771" s="101"/>
      <c r="E771" s="101"/>
      <c r="F771" s="101"/>
      <c r="H771" s="101"/>
    </row>
    <row r="772" spans="2:8">
      <c r="B772" s="102"/>
      <c r="C772" s="101"/>
      <c r="D772" s="101"/>
      <c r="E772" s="101"/>
      <c r="F772" s="101"/>
      <c r="H772" s="101"/>
    </row>
    <row r="773" spans="2:8">
      <c r="B773" s="102"/>
      <c r="C773" s="101"/>
      <c r="D773" s="101"/>
      <c r="E773" s="101"/>
      <c r="F773" s="101"/>
      <c r="H773" s="101"/>
    </row>
    <row r="774" spans="2:8">
      <c r="B774" s="102"/>
      <c r="C774" s="101"/>
      <c r="D774" s="101"/>
      <c r="E774" s="101"/>
      <c r="F774" s="101"/>
      <c r="H774" s="101"/>
    </row>
    <row r="775" spans="2:8">
      <c r="B775" s="102"/>
      <c r="C775" s="101"/>
      <c r="D775" s="101"/>
      <c r="E775" s="101"/>
      <c r="F775" s="101"/>
      <c r="H775" s="101"/>
    </row>
    <row r="776" spans="2:8">
      <c r="B776" s="102"/>
      <c r="C776" s="101"/>
      <c r="D776" s="101"/>
      <c r="E776" s="101"/>
      <c r="F776" s="101"/>
      <c r="H776" s="101"/>
    </row>
    <row r="777" spans="2:8">
      <c r="B777" s="102"/>
      <c r="C777" s="101"/>
      <c r="D777" s="101"/>
      <c r="E777" s="101"/>
      <c r="F777" s="101"/>
      <c r="H777" s="101"/>
    </row>
    <row r="778" spans="2:8">
      <c r="B778" s="102"/>
      <c r="C778" s="101"/>
      <c r="D778" s="101"/>
      <c r="E778" s="101"/>
      <c r="F778" s="101"/>
      <c r="H778" s="101"/>
    </row>
    <row r="779" spans="2:8">
      <c r="B779" s="102"/>
      <c r="C779" s="101"/>
      <c r="D779" s="101"/>
      <c r="E779" s="101"/>
      <c r="F779" s="101"/>
      <c r="H779" s="101"/>
    </row>
    <row r="780" spans="2:8">
      <c r="B780" s="102"/>
      <c r="C780" s="101"/>
      <c r="D780" s="101"/>
      <c r="E780" s="101"/>
      <c r="F780" s="101"/>
      <c r="H780" s="101"/>
    </row>
    <row r="781" spans="2:8">
      <c r="B781" s="102"/>
      <c r="C781" s="101"/>
      <c r="D781" s="101"/>
      <c r="E781" s="101"/>
      <c r="F781" s="101"/>
      <c r="H781" s="101"/>
    </row>
    <row r="782" spans="2:8">
      <c r="B782" s="102"/>
      <c r="C782" s="101"/>
      <c r="D782" s="101"/>
      <c r="E782" s="101"/>
      <c r="F782" s="101"/>
      <c r="H782" s="101"/>
    </row>
    <row r="783" spans="2:8">
      <c r="B783" s="102"/>
      <c r="C783" s="101"/>
      <c r="D783" s="101"/>
      <c r="E783" s="101"/>
      <c r="F783" s="101"/>
      <c r="H783" s="101"/>
    </row>
    <row r="784" spans="2:8">
      <c r="B784" s="102"/>
      <c r="C784" s="101"/>
      <c r="D784" s="101"/>
      <c r="E784" s="101"/>
      <c r="F784" s="101"/>
      <c r="H784" s="101"/>
    </row>
    <row r="785" spans="2:8">
      <c r="B785" s="102"/>
      <c r="C785" s="101"/>
      <c r="D785" s="101"/>
      <c r="E785" s="101"/>
      <c r="F785" s="101"/>
      <c r="H785" s="101"/>
    </row>
    <row r="786" spans="2:8">
      <c r="B786" s="102"/>
      <c r="C786" s="101"/>
      <c r="D786" s="101"/>
      <c r="E786" s="101"/>
      <c r="F786" s="101"/>
      <c r="H786" s="101"/>
    </row>
    <row r="787" spans="2:8">
      <c r="B787" s="102"/>
      <c r="C787" s="101"/>
      <c r="D787" s="101"/>
      <c r="E787" s="101"/>
      <c r="F787" s="101"/>
      <c r="H787" s="101"/>
    </row>
    <row r="788" spans="2:8">
      <c r="B788" s="102"/>
      <c r="C788" s="101"/>
      <c r="D788" s="101"/>
      <c r="E788" s="101"/>
      <c r="F788" s="101"/>
      <c r="H788" s="101"/>
    </row>
    <row r="789" spans="2:8">
      <c r="B789" s="102"/>
      <c r="C789" s="101"/>
      <c r="D789" s="101"/>
      <c r="E789" s="101"/>
      <c r="F789" s="101"/>
      <c r="H789" s="101"/>
    </row>
    <row r="790" spans="2:8">
      <c r="B790" s="102"/>
      <c r="C790" s="101"/>
      <c r="D790" s="101"/>
      <c r="E790" s="101"/>
      <c r="F790" s="101"/>
      <c r="H790" s="101"/>
    </row>
    <row r="791" spans="2:8">
      <c r="B791" s="102"/>
      <c r="C791" s="101"/>
      <c r="D791" s="101"/>
      <c r="E791" s="101"/>
      <c r="F791" s="101"/>
      <c r="H791" s="101"/>
    </row>
    <row r="792" spans="2:8">
      <c r="B792" s="102"/>
      <c r="C792" s="101"/>
      <c r="D792" s="101"/>
      <c r="E792" s="101"/>
      <c r="F792" s="101"/>
      <c r="H792" s="101"/>
    </row>
    <row r="793" spans="2:8">
      <c r="B793" s="102"/>
      <c r="C793" s="101"/>
      <c r="D793" s="101"/>
      <c r="E793" s="101"/>
      <c r="F793" s="101"/>
      <c r="H793" s="101"/>
    </row>
    <row r="794" spans="2:8">
      <c r="B794" s="102"/>
      <c r="C794" s="101"/>
      <c r="D794" s="101"/>
      <c r="E794" s="101"/>
      <c r="F794" s="101"/>
      <c r="H794" s="101"/>
    </row>
    <row r="795" spans="2:8">
      <c r="B795" s="102"/>
      <c r="C795" s="101"/>
      <c r="D795" s="101"/>
      <c r="E795" s="101"/>
      <c r="F795" s="101"/>
      <c r="H795" s="101"/>
    </row>
    <row r="796" spans="2:8">
      <c r="B796" s="102"/>
      <c r="C796" s="101"/>
      <c r="D796" s="101"/>
      <c r="E796" s="101"/>
      <c r="F796" s="101"/>
      <c r="H796" s="101"/>
    </row>
    <row r="797" spans="2:8">
      <c r="B797" s="102"/>
      <c r="C797" s="101"/>
      <c r="D797" s="101"/>
      <c r="E797" s="101"/>
      <c r="F797" s="101"/>
      <c r="H797" s="101"/>
    </row>
    <row r="798" spans="2:8">
      <c r="B798" s="102"/>
      <c r="C798" s="101"/>
      <c r="D798" s="101"/>
      <c r="E798" s="101"/>
      <c r="F798" s="101"/>
      <c r="H798" s="101"/>
    </row>
    <row r="799" spans="2:8">
      <c r="B799" s="102"/>
      <c r="C799" s="101"/>
      <c r="D799" s="101"/>
      <c r="E799" s="101"/>
      <c r="F799" s="101"/>
      <c r="H799" s="101"/>
    </row>
    <row r="800" spans="2:8">
      <c r="B800" s="102"/>
      <c r="C800" s="101"/>
      <c r="D800" s="101"/>
      <c r="E800" s="101"/>
      <c r="F800" s="101"/>
      <c r="H800" s="101"/>
    </row>
    <row r="801" spans="2:8">
      <c r="B801" s="102"/>
      <c r="C801" s="101"/>
      <c r="D801" s="101"/>
      <c r="E801" s="101"/>
      <c r="F801" s="101"/>
      <c r="H801" s="101"/>
    </row>
    <row r="802" spans="2:8">
      <c r="B802" s="102"/>
      <c r="C802" s="101"/>
      <c r="D802" s="101"/>
      <c r="E802" s="101"/>
      <c r="F802" s="101"/>
      <c r="H802" s="101"/>
    </row>
    <row r="803" spans="2:8">
      <c r="B803" s="102"/>
      <c r="C803" s="101"/>
      <c r="D803" s="101"/>
      <c r="E803" s="101"/>
      <c r="F803" s="101"/>
      <c r="H803" s="101"/>
    </row>
    <row r="804" spans="2:8">
      <c r="B804" s="102"/>
      <c r="C804" s="101"/>
      <c r="D804" s="101"/>
      <c r="E804" s="101"/>
      <c r="F804" s="101"/>
      <c r="H804" s="101"/>
    </row>
    <row r="805" spans="2:8">
      <c r="B805" s="102"/>
      <c r="C805" s="101"/>
      <c r="D805" s="101"/>
      <c r="E805" s="101"/>
      <c r="F805" s="101"/>
      <c r="H805" s="101"/>
    </row>
    <row r="806" spans="2:8">
      <c r="B806" s="102"/>
      <c r="C806" s="101"/>
      <c r="D806" s="101"/>
      <c r="E806" s="101"/>
      <c r="F806" s="101"/>
      <c r="H806" s="101"/>
    </row>
    <row r="807" spans="2:8">
      <c r="B807" s="102"/>
      <c r="C807" s="101"/>
      <c r="D807" s="101"/>
      <c r="E807" s="101"/>
      <c r="F807" s="101"/>
      <c r="H807" s="101"/>
    </row>
    <row r="808" spans="2:8">
      <c r="B808" s="102"/>
      <c r="C808" s="101"/>
      <c r="D808" s="101"/>
      <c r="E808" s="101"/>
      <c r="F808" s="101"/>
      <c r="H808" s="101"/>
    </row>
    <row r="809" spans="2:8">
      <c r="B809" s="102"/>
      <c r="C809" s="101"/>
      <c r="D809" s="101"/>
      <c r="E809" s="101"/>
      <c r="F809" s="101"/>
      <c r="H809" s="101"/>
    </row>
    <row r="810" spans="2:8">
      <c r="B810" s="102"/>
      <c r="C810" s="101"/>
      <c r="D810" s="101"/>
      <c r="E810" s="101"/>
      <c r="F810" s="101"/>
      <c r="H810" s="101"/>
    </row>
    <row r="811" spans="2:8">
      <c r="B811" s="102"/>
      <c r="C811" s="101"/>
      <c r="D811" s="101"/>
      <c r="E811" s="101"/>
      <c r="F811" s="101"/>
      <c r="H811" s="101"/>
    </row>
    <row r="812" spans="2:8">
      <c r="B812" s="102"/>
      <c r="C812" s="101"/>
      <c r="D812" s="101"/>
      <c r="E812" s="101"/>
      <c r="F812" s="101"/>
      <c r="H812" s="101"/>
    </row>
    <row r="813" spans="2:8">
      <c r="B813" s="102"/>
      <c r="C813" s="101"/>
      <c r="D813" s="101"/>
      <c r="E813" s="101"/>
      <c r="F813" s="101"/>
      <c r="H813" s="101"/>
    </row>
    <row r="814" spans="2:8">
      <c r="B814" s="102"/>
      <c r="C814" s="101"/>
      <c r="D814" s="101"/>
      <c r="E814" s="101"/>
      <c r="F814" s="101"/>
      <c r="H814" s="101"/>
    </row>
    <row r="815" spans="2:8">
      <c r="B815" s="102"/>
      <c r="C815" s="101"/>
      <c r="D815" s="101"/>
      <c r="E815" s="101"/>
      <c r="F815" s="101"/>
      <c r="H815" s="101"/>
    </row>
    <row r="816" spans="2:8">
      <c r="B816" s="102"/>
      <c r="C816" s="101"/>
      <c r="D816" s="101"/>
      <c r="E816" s="101"/>
      <c r="F816" s="101"/>
      <c r="H816" s="101"/>
    </row>
    <row r="817" spans="2:8">
      <c r="B817" s="102"/>
      <c r="C817" s="101"/>
      <c r="D817" s="101"/>
      <c r="E817" s="101"/>
      <c r="F817" s="101"/>
      <c r="H817" s="101"/>
    </row>
    <row r="818" spans="2:8">
      <c r="B818" s="102"/>
      <c r="C818" s="101"/>
      <c r="D818" s="101"/>
      <c r="E818" s="101"/>
      <c r="F818" s="101"/>
      <c r="H818" s="101"/>
    </row>
    <row r="819" spans="2:8">
      <c r="B819" s="102"/>
      <c r="C819" s="101"/>
      <c r="D819" s="101"/>
      <c r="E819" s="101"/>
      <c r="F819" s="101"/>
      <c r="H819" s="101"/>
    </row>
    <row r="820" spans="2:8">
      <c r="B820" s="102"/>
      <c r="C820" s="101"/>
      <c r="D820" s="101"/>
      <c r="E820" s="101"/>
      <c r="F820" s="101"/>
      <c r="H820" s="101"/>
    </row>
    <row r="821" spans="2:8">
      <c r="B821" s="102"/>
      <c r="C821" s="101"/>
      <c r="D821" s="101"/>
      <c r="E821" s="101"/>
      <c r="F821" s="101"/>
      <c r="H821" s="101"/>
    </row>
    <row r="822" spans="2:8">
      <c r="B822" s="102"/>
      <c r="C822" s="101"/>
      <c r="D822" s="101"/>
      <c r="E822" s="101"/>
      <c r="F822" s="101"/>
      <c r="H822" s="101"/>
    </row>
    <row r="823" spans="2:8">
      <c r="B823" s="102"/>
      <c r="C823" s="101"/>
      <c r="D823" s="101"/>
      <c r="E823" s="101"/>
      <c r="F823" s="101"/>
      <c r="H823" s="101"/>
    </row>
    <row r="824" spans="2:8">
      <c r="B824" s="102"/>
      <c r="C824" s="101"/>
      <c r="D824" s="101"/>
      <c r="E824" s="101"/>
      <c r="F824" s="101"/>
      <c r="H824" s="101"/>
    </row>
    <row r="825" spans="2:8">
      <c r="B825" s="102"/>
      <c r="C825" s="101"/>
      <c r="D825" s="101"/>
      <c r="E825" s="101"/>
      <c r="F825" s="101"/>
      <c r="H825" s="101"/>
    </row>
    <row r="826" spans="2:8">
      <c r="B826" s="102"/>
      <c r="C826" s="101"/>
      <c r="D826" s="101"/>
      <c r="E826" s="101"/>
      <c r="F826" s="101"/>
      <c r="H826" s="101"/>
    </row>
    <row r="827" spans="2:8">
      <c r="B827" s="102"/>
      <c r="C827" s="101"/>
      <c r="D827" s="101"/>
      <c r="E827" s="101"/>
      <c r="F827" s="101"/>
      <c r="H827" s="101"/>
    </row>
    <row r="828" spans="2:8">
      <c r="B828" s="102"/>
      <c r="C828" s="101"/>
      <c r="D828" s="101"/>
      <c r="E828" s="101"/>
      <c r="F828" s="101"/>
      <c r="H828" s="101"/>
    </row>
    <row r="829" spans="2:8">
      <c r="B829" s="102"/>
      <c r="C829" s="101"/>
      <c r="D829" s="101"/>
      <c r="E829" s="101"/>
      <c r="F829" s="101"/>
      <c r="H829" s="101"/>
    </row>
    <row r="830" spans="2:8">
      <c r="B830" s="102"/>
      <c r="C830" s="101"/>
      <c r="D830" s="101"/>
      <c r="E830" s="101"/>
      <c r="F830" s="101"/>
      <c r="H830" s="101"/>
    </row>
    <row r="831" spans="2:8">
      <c r="B831" s="102"/>
      <c r="C831" s="101"/>
      <c r="D831" s="101"/>
      <c r="E831" s="101"/>
      <c r="F831" s="101"/>
      <c r="H831" s="101"/>
    </row>
    <row r="832" spans="2:8">
      <c r="B832" s="102"/>
      <c r="C832" s="101"/>
      <c r="D832" s="101"/>
      <c r="E832" s="101"/>
      <c r="F832" s="101"/>
      <c r="H832" s="101"/>
    </row>
    <row r="833" spans="2:8">
      <c r="B833" s="102"/>
      <c r="C833" s="101"/>
      <c r="D833" s="101"/>
      <c r="E833" s="101"/>
      <c r="F833" s="101"/>
      <c r="H833" s="101"/>
    </row>
    <row r="834" spans="2:8">
      <c r="B834" s="102"/>
      <c r="C834" s="101"/>
      <c r="D834" s="101"/>
      <c r="E834" s="101"/>
      <c r="F834" s="101"/>
      <c r="H834" s="101"/>
    </row>
    <row r="835" spans="2:8">
      <c r="B835" s="102"/>
      <c r="C835" s="101"/>
      <c r="D835" s="101"/>
      <c r="E835" s="101"/>
      <c r="F835" s="101"/>
      <c r="H835" s="101"/>
    </row>
    <row r="836" spans="2:8">
      <c r="B836" s="102"/>
      <c r="C836" s="101"/>
      <c r="D836" s="101"/>
      <c r="E836" s="101"/>
      <c r="F836" s="101"/>
      <c r="H836" s="101"/>
    </row>
    <row r="837" spans="2:8">
      <c r="B837" s="102"/>
      <c r="C837" s="101"/>
      <c r="D837" s="101"/>
      <c r="E837" s="101"/>
      <c r="F837" s="101"/>
      <c r="H837" s="101"/>
    </row>
    <row r="838" spans="2:8">
      <c r="B838" s="102"/>
      <c r="C838" s="101"/>
      <c r="D838" s="101"/>
      <c r="E838" s="101"/>
      <c r="F838" s="101"/>
      <c r="H838" s="101"/>
    </row>
    <row r="839" spans="2:8">
      <c r="B839" s="102"/>
      <c r="C839" s="101"/>
      <c r="D839" s="101"/>
      <c r="E839" s="101"/>
      <c r="F839" s="101"/>
      <c r="H839" s="101"/>
    </row>
    <row r="840" spans="2:8">
      <c r="B840" s="102"/>
      <c r="C840" s="101"/>
      <c r="D840" s="101"/>
      <c r="E840" s="101"/>
      <c r="F840" s="101"/>
      <c r="H840" s="101"/>
    </row>
    <row r="841" spans="2:8">
      <c r="B841" s="102"/>
      <c r="C841" s="101"/>
      <c r="D841" s="101"/>
      <c r="E841" s="101"/>
      <c r="F841" s="101"/>
      <c r="H841" s="101"/>
    </row>
    <row r="842" spans="2:8">
      <c r="B842" s="102"/>
      <c r="C842" s="101"/>
      <c r="D842" s="101"/>
      <c r="E842" s="101"/>
      <c r="F842" s="101"/>
      <c r="H842" s="101"/>
    </row>
    <row r="843" spans="2:8">
      <c r="B843" s="102"/>
      <c r="C843" s="101"/>
      <c r="D843" s="101"/>
      <c r="E843" s="101"/>
      <c r="F843" s="101"/>
      <c r="H843" s="101"/>
    </row>
    <row r="844" spans="2:8">
      <c r="B844" s="102"/>
      <c r="C844" s="101"/>
      <c r="D844" s="101"/>
      <c r="E844" s="101"/>
      <c r="F844" s="101"/>
      <c r="H844" s="101"/>
    </row>
    <row r="845" spans="2:8">
      <c r="B845" s="102"/>
      <c r="C845" s="101"/>
      <c r="D845" s="101"/>
      <c r="E845" s="101"/>
      <c r="F845" s="101"/>
      <c r="H845" s="101"/>
    </row>
    <row r="846" spans="2:8">
      <c r="B846" s="102"/>
      <c r="C846" s="101"/>
      <c r="D846" s="101"/>
      <c r="E846" s="101"/>
      <c r="F846" s="101"/>
      <c r="H846" s="101"/>
    </row>
    <row r="847" spans="2:8">
      <c r="B847" s="102"/>
      <c r="C847" s="101"/>
      <c r="D847" s="101"/>
      <c r="E847" s="101"/>
      <c r="F847" s="101"/>
      <c r="H847" s="101"/>
    </row>
    <row r="848" spans="2:8">
      <c r="B848" s="102"/>
      <c r="C848" s="101"/>
      <c r="D848" s="101"/>
      <c r="E848" s="101"/>
      <c r="F848" s="101"/>
      <c r="H848" s="101"/>
    </row>
    <row r="849" spans="2:8">
      <c r="B849" s="102"/>
      <c r="C849" s="101"/>
      <c r="D849" s="101"/>
      <c r="E849" s="101"/>
      <c r="F849" s="101"/>
      <c r="H849" s="101"/>
    </row>
    <row r="850" spans="2:8">
      <c r="B850" s="102"/>
      <c r="C850" s="101"/>
      <c r="D850" s="101"/>
      <c r="E850" s="101"/>
      <c r="F850" s="101"/>
      <c r="H850" s="101"/>
    </row>
    <row r="851" spans="2:8">
      <c r="B851" s="102"/>
      <c r="C851" s="101"/>
      <c r="D851" s="101"/>
      <c r="E851" s="101"/>
      <c r="F851" s="101"/>
      <c r="H851" s="101"/>
    </row>
    <row r="852" spans="2:8">
      <c r="B852" s="102"/>
      <c r="C852" s="101"/>
      <c r="D852" s="101"/>
      <c r="E852" s="101"/>
      <c r="F852" s="101"/>
      <c r="H852" s="101"/>
    </row>
    <row r="853" spans="2:8">
      <c r="B853" s="102"/>
      <c r="C853" s="101"/>
      <c r="D853" s="101"/>
      <c r="E853" s="101"/>
      <c r="F853" s="101"/>
      <c r="H853" s="101"/>
    </row>
    <row r="854" spans="2:8">
      <c r="B854" s="102"/>
      <c r="C854" s="101"/>
      <c r="D854" s="101"/>
      <c r="E854" s="101"/>
      <c r="F854" s="101"/>
      <c r="H854" s="101"/>
    </row>
    <row r="855" spans="2:8">
      <c r="B855" s="102"/>
      <c r="C855" s="101"/>
      <c r="D855" s="101"/>
      <c r="E855" s="101"/>
      <c r="F855" s="101"/>
      <c r="H855" s="101"/>
    </row>
    <row r="856" spans="2:8">
      <c r="B856" s="102"/>
      <c r="C856" s="101"/>
      <c r="D856" s="101"/>
      <c r="E856" s="101"/>
      <c r="F856" s="101"/>
      <c r="H856" s="101"/>
    </row>
    <row r="857" spans="2:8">
      <c r="B857" s="102"/>
      <c r="C857" s="101"/>
      <c r="D857" s="101"/>
      <c r="E857" s="101"/>
      <c r="F857" s="101"/>
      <c r="H857" s="101"/>
    </row>
    <row r="858" spans="2:8">
      <c r="B858" s="102"/>
      <c r="C858" s="101"/>
      <c r="D858" s="101"/>
      <c r="E858" s="101"/>
      <c r="F858" s="101"/>
      <c r="H858" s="101"/>
    </row>
    <row r="859" spans="2:8">
      <c r="B859" s="102"/>
      <c r="C859" s="101"/>
      <c r="D859" s="101"/>
      <c r="E859" s="101"/>
      <c r="F859" s="101"/>
      <c r="H859" s="101"/>
    </row>
    <row r="860" spans="2:8">
      <c r="B860" s="102"/>
      <c r="C860" s="101"/>
      <c r="D860" s="101"/>
      <c r="E860" s="101"/>
      <c r="F860" s="101"/>
      <c r="H860" s="101"/>
    </row>
    <row r="861" spans="2:8">
      <c r="B861" s="102"/>
      <c r="C861" s="101"/>
      <c r="D861" s="101"/>
      <c r="E861" s="101"/>
      <c r="F861" s="101"/>
      <c r="H861" s="101"/>
    </row>
    <row r="862" spans="2:8">
      <c r="B862" s="102"/>
      <c r="C862" s="101"/>
      <c r="D862" s="101"/>
      <c r="E862" s="101"/>
      <c r="F862" s="101"/>
      <c r="H862" s="101"/>
    </row>
    <row r="863" spans="2:8">
      <c r="B863" s="102"/>
      <c r="C863" s="101"/>
      <c r="D863" s="101"/>
      <c r="E863" s="101"/>
      <c r="F863" s="101"/>
      <c r="H863" s="101"/>
    </row>
    <row r="864" spans="2:8">
      <c r="B864" s="102"/>
      <c r="C864" s="101"/>
      <c r="D864" s="101"/>
      <c r="E864" s="101"/>
      <c r="F864" s="101"/>
      <c r="H864" s="101"/>
    </row>
    <row r="865" spans="2:8">
      <c r="B865" s="102"/>
      <c r="C865" s="101"/>
      <c r="D865" s="101"/>
      <c r="E865" s="101"/>
      <c r="F865" s="101"/>
      <c r="H865" s="101"/>
    </row>
    <row r="866" spans="2:8">
      <c r="B866" s="102"/>
      <c r="C866" s="101"/>
      <c r="D866" s="101"/>
      <c r="E866" s="101"/>
      <c r="F866" s="101"/>
      <c r="H866" s="101"/>
    </row>
    <row r="867" spans="2:8">
      <c r="B867" s="102"/>
      <c r="C867" s="101"/>
      <c r="D867" s="101"/>
      <c r="E867" s="101"/>
      <c r="F867" s="101"/>
      <c r="H867" s="101"/>
    </row>
    <row r="868" spans="2:8">
      <c r="B868" s="102"/>
      <c r="C868" s="101"/>
      <c r="D868" s="101"/>
      <c r="E868" s="101"/>
      <c r="F868" s="101"/>
      <c r="H868" s="101"/>
    </row>
    <row r="869" spans="2:8">
      <c r="B869" s="102"/>
      <c r="C869" s="101"/>
      <c r="D869" s="101"/>
      <c r="E869" s="101"/>
      <c r="F869" s="101"/>
      <c r="H869" s="101"/>
    </row>
    <row r="870" spans="2:8">
      <c r="B870" s="102"/>
      <c r="C870" s="101"/>
      <c r="D870" s="101"/>
      <c r="E870" s="101"/>
      <c r="F870" s="101"/>
      <c r="H870" s="101"/>
    </row>
    <row r="871" spans="2:8">
      <c r="B871" s="102"/>
      <c r="C871" s="101"/>
      <c r="D871" s="101"/>
      <c r="E871" s="101"/>
      <c r="F871" s="101"/>
      <c r="H871" s="101"/>
    </row>
    <row r="872" spans="2:8">
      <c r="B872" s="102"/>
      <c r="C872" s="101"/>
      <c r="D872" s="101"/>
      <c r="E872" s="101"/>
      <c r="F872" s="101"/>
      <c r="H872" s="101"/>
    </row>
    <row r="873" spans="2:8">
      <c r="B873" s="102"/>
      <c r="C873" s="101"/>
      <c r="D873" s="101"/>
      <c r="E873" s="101"/>
      <c r="F873" s="101"/>
      <c r="H873" s="101"/>
    </row>
    <row r="874" spans="2:8">
      <c r="B874" s="102"/>
      <c r="C874" s="101"/>
      <c r="D874" s="101"/>
      <c r="E874" s="101"/>
      <c r="F874" s="101"/>
      <c r="H874" s="101"/>
    </row>
    <row r="875" spans="2:8">
      <c r="B875" s="102"/>
      <c r="C875" s="101"/>
      <c r="D875" s="101"/>
      <c r="E875" s="101"/>
      <c r="F875" s="101"/>
      <c r="H875" s="101"/>
    </row>
    <row r="876" spans="2:8">
      <c r="B876" s="102"/>
      <c r="C876" s="101"/>
      <c r="D876" s="101"/>
      <c r="E876" s="101"/>
      <c r="F876" s="101"/>
      <c r="H876" s="101"/>
    </row>
    <row r="877" spans="2:8">
      <c r="B877" s="102"/>
      <c r="C877" s="101"/>
      <c r="D877" s="101"/>
      <c r="E877" s="101"/>
      <c r="F877" s="101"/>
      <c r="H877" s="101"/>
    </row>
    <row r="878" spans="2:8">
      <c r="B878" s="102"/>
      <c r="C878" s="101"/>
      <c r="D878" s="101"/>
      <c r="E878" s="101"/>
      <c r="F878" s="101"/>
      <c r="H878" s="101"/>
    </row>
    <row r="879" spans="2:8">
      <c r="B879" s="102"/>
      <c r="C879" s="101"/>
      <c r="D879" s="101"/>
      <c r="E879" s="101"/>
      <c r="F879" s="101"/>
      <c r="H879" s="101"/>
    </row>
    <row r="880" spans="2:8">
      <c r="B880" s="102"/>
      <c r="C880" s="101"/>
      <c r="D880" s="101"/>
      <c r="E880" s="101"/>
      <c r="F880" s="101"/>
      <c r="H880" s="101"/>
    </row>
    <row r="881" spans="2:8">
      <c r="B881" s="102"/>
      <c r="C881" s="101"/>
      <c r="D881" s="101"/>
      <c r="E881" s="101"/>
      <c r="F881" s="101"/>
      <c r="H881" s="101"/>
    </row>
    <row r="882" spans="2:8">
      <c r="B882" s="102"/>
      <c r="C882" s="101"/>
      <c r="D882" s="101"/>
      <c r="E882" s="101"/>
      <c r="F882" s="101"/>
      <c r="H882" s="101"/>
    </row>
    <row r="883" spans="2:8">
      <c r="B883" s="102"/>
      <c r="C883" s="101"/>
      <c r="D883" s="101"/>
      <c r="E883" s="101"/>
      <c r="F883" s="101"/>
      <c r="H883" s="101"/>
    </row>
    <row r="884" spans="2:8">
      <c r="B884" s="102"/>
      <c r="C884" s="101"/>
      <c r="D884" s="101"/>
      <c r="E884" s="101"/>
      <c r="F884" s="101"/>
      <c r="H884" s="101"/>
    </row>
    <row r="885" spans="2:8">
      <c r="B885" s="102"/>
      <c r="C885" s="101"/>
      <c r="D885" s="101"/>
      <c r="E885" s="101"/>
      <c r="F885" s="101"/>
      <c r="H885" s="101"/>
    </row>
    <row r="886" spans="2:8">
      <c r="B886" s="102"/>
      <c r="C886" s="101"/>
      <c r="D886" s="101"/>
      <c r="E886" s="101"/>
      <c r="F886" s="101"/>
      <c r="H886" s="101"/>
    </row>
    <row r="887" spans="2:8">
      <c r="B887" s="102"/>
      <c r="C887" s="101"/>
      <c r="D887" s="101"/>
      <c r="E887" s="101"/>
      <c r="F887" s="101"/>
      <c r="H887" s="101"/>
    </row>
    <row r="888" spans="2:8">
      <c r="B888" s="102"/>
      <c r="C888" s="101"/>
      <c r="D888" s="101"/>
      <c r="E888" s="101"/>
      <c r="F888" s="101"/>
      <c r="H888" s="101"/>
    </row>
    <row r="889" spans="2:8">
      <c r="B889" s="102"/>
      <c r="C889" s="101"/>
      <c r="D889" s="101"/>
      <c r="E889" s="101"/>
      <c r="F889" s="101"/>
      <c r="H889" s="101"/>
    </row>
    <row r="890" spans="2:8">
      <c r="B890" s="102"/>
      <c r="C890" s="101"/>
      <c r="D890" s="101"/>
      <c r="E890" s="101"/>
      <c r="F890" s="101"/>
      <c r="H890" s="101"/>
    </row>
    <row r="891" spans="2:8">
      <c r="B891" s="102"/>
      <c r="C891" s="101"/>
      <c r="D891" s="101"/>
      <c r="E891" s="101"/>
      <c r="F891" s="101"/>
      <c r="H891" s="101"/>
    </row>
    <row r="892" spans="2:8">
      <c r="B892" s="102"/>
      <c r="C892" s="101"/>
      <c r="D892" s="101"/>
      <c r="E892" s="101"/>
      <c r="F892" s="101"/>
      <c r="H892" s="101"/>
    </row>
    <row r="893" spans="2:8">
      <c r="B893" s="102"/>
      <c r="C893" s="101"/>
      <c r="D893" s="101"/>
      <c r="E893" s="101"/>
      <c r="F893" s="101"/>
      <c r="H893" s="101"/>
    </row>
    <row r="894" spans="2:8">
      <c r="B894" s="102"/>
      <c r="C894" s="101"/>
      <c r="D894" s="101"/>
      <c r="E894" s="101"/>
      <c r="F894" s="101"/>
      <c r="H894" s="101"/>
    </row>
    <row r="895" spans="2:8">
      <c r="B895" s="102"/>
      <c r="C895" s="101"/>
      <c r="D895" s="101"/>
      <c r="E895" s="101"/>
      <c r="F895" s="101"/>
      <c r="H895" s="101"/>
    </row>
    <row r="896" spans="2:8">
      <c r="B896" s="102"/>
      <c r="C896" s="101"/>
      <c r="D896" s="101"/>
      <c r="E896" s="101"/>
      <c r="F896" s="101"/>
      <c r="H896" s="101"/>
    </row>
    <row r="897" spans="2:8">
      <c r="B897" s="102"/>
      <c r="C897" s="101"/>
      <c r="D897" s="101"/>
      <c r="E897" s="101"/>
      <c r="F897" s="101"/>
      <c r="H897" s="101"/>
    </row>
    <row r="898" spans="2:8">
      <c r="B898" s="102"/>
      <c r="C898" s="101"/>
      <c r="D898" s="101"/>
      <c r="E898" s="101"/>
      <c r="F898" s="101"/>
      <c r="H898" s="101"/>
    </row>
    <row r="899" spans="2:8">
      <c r="B899" s="102"/>
      <c r="C899" s="101"/>
      <c r="D899" s="101"/>
      <c r="E899" s="101"/>
      <c r="F899" s="101"/>
      <c r="H899" s="101"/>
    </row>
    <row r="900" spans="2:8">
      <c r="B900" s="102"/>
      <c r="C900" s="101"/>
      <c r="D900" s="101"/>
      <c r="E900" s="101"/>
      <c r="F900" s="101"/>
      <c r="H900" s="101"/>
    </row>
    <row r="901" spans="2:8">
      <c r="B901" s="102"/>
      <c r="C901" s="101"/>
      <c r="D901" s="101"/>
      <c r="E901" s="101"/>
      <c r="F901" s="101"/>
      <c r="H901" s="101"/>
    </row>
    <row r="902" spans="2:8">
      <c r="B902" s="102"/>
      <c r="C902" s="101"/>
      <c r="D902" s="101"/>
      <c r="E902" s="101"/>
      <c r="F902" s="101"/>
      <c r="H902" s="101"/>
    </row>
    <row r="903" spans="2:8">
      <c r="B903" s="102"/>
      <c r="C903" s="101"/>
      <c r="D903" s="101"/>
      <c r="E903" s="101"/>
      <c r="F903" s="101"/>
      <c r="H903" s="101"/>
    </row>
    <row r="904" spans="2:8">
      <c r="B904" s="102"/>
      <c r="C904" s="101"/>
      <c r="D904" s="101"/>
      <c r="E904" s="101"/>
      <c r="F904" s="101"/>
      <c r="H904" s="101"/>
    </row>
    <row r="905" spans="2:8">
      <c r="B905" s="102"/>
      <c r="C905" s="101"/>
      <c r="D905" s="101"/>
      <c r="E905" s="101"/>
      <c r="F905" s="101"/>
      <c r="H905" s="101"/>
    </row>
    <row r="906" spans="2:8">
      <c r="B906" s="102"/>
      <c r="C906" s="101"/>
      <c r="D906" s="101"/>
      <c r="E906" s="101"/>
      <c r="F906" s="101"/>
      <c r="H906" s="101"/>
    </row>
    <row r="907" spans="2:8">
      <c r="B907" s="102"/>
      <c r="C907" s="101"/>
      <c r="D907" s="101"/>
      <c r="E907" s="101"/>
      <c r="F907" s="101"/>
      <c r="H907" s="101"/>
    </row>
    <row r="908" spans="2:8">
      <c r="B908" s="102"/>
      <c r="C908" s="101"/>
      <c r="D908" s="101"/>
      <c r="E908" s="101"/>
      <c r="F908" s="101"/>
      <c r="H908" s="101"/>
    </row>
    <row r="909" spans="2:8">
      <c r="B909" s="102"/>
      <c r="C909" s="101"/>
      <c r="D909" s="101"/>
      <c r="E909" s="101"/>
      <c r="F909" s="101"/>
      <c r="H909" s="101"/>
    </row>
    <row r="910" spans="2:8">
      <c r="B910" s="102"/>
      <c r="C910" s="101"/>
      <c r="D910" s="101"/>
      <c r="E910" s="101"/>
      <c r="F910" s="101"/>
      <c r="H910" s="101"/>
    </row>
    <row r="911" spans="2:8">
      <c r="B911" s="102"/>
      <c r="C911" s="101"/>
      <c r="D911" s="101"/>
      <c r="E911" s="101"/>
      <c r="F911" s="101"/>
      <c r="H911" s="101"/>
    </row>
    <row r="912" spans="2:8">
      <c r="B912" s="102"/>
      <c r="C912" s="101"/>
      <c r="D912" s="101"/>
      <c r="E912" s="101"/>
      <c r="F912" s="101"/>
      <c r="H912" s="101"/>
    </row>
    <row r="913" spans="2:8">
      <c r="B913" s="102"/>
      <c r="C913" s="101"/>
      <c r="D913" s="101"/>
      <c r="E913" s="101"/>
      <c r="F913" s="101"/>
      <c r="H913" s="101"/>
    </row>
    <row r="914" spans="2:8">
      <c r="B914" s="102"/>
      <c r="C914" s="101"/>
      <c r="D914" s="101"/>
      <c r="E914" s="101"/>
      <c r="F914" s="101"/>
      <c r="H914" s="101"/>
    </row>
    <row r="915" spans="2:8">
      <c r="B915" s="102"/>
      <c r="C915" s="101"/>
      <c r="D915" s="101"/>
      <c r="E915" s="101"/>
      <c r="F915" s="101"/>
      <c r="H915" s="101"/>
    </row>
    <row r="916" spans="2:8">
      <c r="B916" s="102"/>
      <c r="C916" s="101"/>
      <c r="D916" s="101"/>
      <c r="E916" s="101"/>
      <c r="F916" s="101"/>
      <c r="H916" s="101"/>
    </row>
    <row r="917" spans="2:8">
      <c r="B917" s="102"/>
      <c r="C917" s="101"/>
      <c r="D917" s="101"/>
      <c r="E917" s="101"/>
      <c r="F917" s="101"/>
      <c r="H917" s="101"/>
    </row>
    <row r="918" spans="2:8">
      <c r="B918" s="102"/>
      <c r="C918" s="101"/>
      <c r="D918" s="101"/>
      <c r="E918" s="101"/>
      <c r="F918" s="101"/>
      <c r="H918" s="101"/>
    </row>
    <row r="919" spans="2:8">
      <c r="B919" s="102"/>
      <c r="C919" s="101"/>
      <c r="D919" s="101"/>
      <c r="E919" s="101"/>
      <c r="F919" s="101"/>
      <c r="H919" s="101"/>
    </row>
    <row r="920" spans="2:8">
      <c r="B920" s="102"/>
      <c r="C920" s="101"/>
      <c r="D920" s="101"/>
      <c r="E920" s="101"/>
      <c r="F920" s="101"/>
      <c r="H920" s="101"/>
    </row>
    <row r="921" spans="2:8">
      <c r="B921" s="102"/>
      <c r="C921" s="101"/>
      <c r="D921" s="101"/>
      <c r="E921" s="101"/>
      <c r="F921" s="101"/>
      <c r="H921" s="101"/>
    </row>
    <row r="922" spans="2:8">
      <c r="B922" s="102"/>
      <c r="C922" s="101"/>
      <c r="D922" s="101"/>
      <c r="E922" s="101"/>
      <c r="F922" s="101"/>
      <c r="H922" s="101"/>
    </row>
    <row r="923" spans="2:8">
      <c r="B923" s="102"/>
      <c r="C923" s="101"/>
      <c r="D923" s="101"/>
      <c r="E923" s="101"/>
      <c r="F923" s="101"/>
      <c r="H923" s="101"/>
    </row>
    <row r="924" spans="2:8">
      <c r="B924" s="102"/>
      <c r="C924" s="101"/>
      <c r="D924" s="101"/>
      <c r="E924" s="101"/>
      <c r="F924" s="101"/>
      <c r="H924" s="101"/>
    </row>
    <row r="925" spans="2:8">
      <c r="B925" s="102"/>
      <c r="C925" s="101"/>
      <c r="D925" s="101"/>
      <c r="E925" s="101"/>
      <c r="F925" s="101"/>
      <c r="H925" s="101"/>
    </row>
    <row r="926" spans="2:8">
      <c r="B926" s="102"/>
      <c r="C926" s="101"/>
      <c r="D926" s="101"/>
      <c r="E926" s="101"/>
      <c r="F926" s="101"/>
      <c r="H926" s="101"/>
    </row>
    <row r="927" spans="2:8">
      <c r="B927" s="102"/>
      <c r="C927" s="101"/>
      <c r="D927" s="101"/>
      <c r="E927" s="101"/>
      <c r="F927" s="101"/>
      <c r="H927" s="101"/>
    </row>
    <row r="928" spans="2:8">
      <c r="B928" s="102"/>
      <c r="C928" s="101"/>
      <c r="D928" s="101"/>
      <c r="E928" s="101"/>
      <c r="F928" s="101"/>
      <c r="H928" s="101"/>
    </row>
    <row r="929" spans="2:8">
      <c r="B929" s="102"/>
      <c r="C929" s="101"/>
      <c r="D929" s="101"/>
      <c r="E929" s="101"/>
      <c r="F929" s="101"/>
      <c r="H929" s="101"/>
    </row>
    <row r="930" spans="2:8">
      <c r="B930" s="102"/>
      <c r="C930" s="101"/>
      <c r="D930" s="101"/>
      <c r="E930" s="101"/>
      <c r="F930" s="101"/>
      <c r="H930" s="101"/>
    </row>
    <row r="931" spans="2:8">
      <c r="B931" s="102"/>
      <c r="C931" s="101"/>
      <c r="D931" s="101"/>
      <c r="E931" s="101"/>
      <c r="F931" s="101"/>
      <c r="H931" s="101"/>
    </row>
    <row r="932" spans="2:8">
      <c r="B932" s="102"/>
      <c r="C932" s="101"/>
      <c r="D932" s="101"/>
      <c r="E932" s="101"/>
      <c r="F932" s="101"/>
      <c r="H932" s="101"/>
    </row>
    <row r="933" spans="2:8">
      <c r="B933" s="102"/>
      <c r="C933" s="101"/>
      <c r="D933" s="101"/>
      <c r="E933" s="101"/>
      <c r="F933" s="101"/>
      <c r="H933" s="101"/>
    </row>
    <row r="934" spans="2:8">
      <c r="B934" s="102"/>
      <c r="C934" s="101"/>
      <c r="D934" s="101"/>
      <c r="E934" s="101"/>
      <c r="F934" s="101"/>
      <c r="H934" s="101"/>
    </row>
    <row r="935" spans="2:8">
      <c r="B935" s="102"/>
      <c r="C935" s="101"/>
      <c r="D935" s="101"/>
      <c r="E935" s="101"/>
      <c r="F935" s="101"/>
      <c r="H935" s="101"/>
    </row>
    <row r="936" spans="2:8">
      <c r="B936" s="102"/>
      <c r="C936" s="101"/>
      <c r="D936" s="101"/>
      <c r="E936" s="101"/>
      <c r="F936" s="101"/>
      <c r="H936" s="101"/>
    </row>
    <row r="937" spans="2:8">
      <c r="B937" s="102"/>
      <c r="C937" s="101"/>
      <c r="D937" s="101"/>
      <c r="E937" s="101"/>
      <c r="F937" s="101"/>
      <c r="H937" s="101"/>
    </row>
    <row r="938" spans="2:8">
      <c r="B938" s="102"/>
      <c r="C938" s="101"/>
      <c r="D938" s="101"/>
      <c r="E938" s="101"/>
      <c r="F938" s="101"/>
      <c r="H938" s="101"/>
    </row>
    <row r="939" spans="2:8">
      <c r="B939" s="102"/>
      <c r="C939" s="101"/>
      <c r="D939" s="101"/>
      <c r="E939" s="101"/>
      <c r="F939" s="101"/>
      <c r="H939" s="101"/>
    </row>
    <row r="940" spans="2:8">
      <c r="B940" s="102"/>
      <c r="C940" s="101"/>
      <c r="D940" s="101"/>
      <c r="E940" s="101"/>
      <c r="F940" s="101"/>
      <c r="H940" s="101"/>
    </row>
    <row r="941" spans="2:8">
      <c r="B941" s="102"/>
      <c r="C941" s="101"/>
      <c r="D941" s="101"/>
      <c r="E941" s="101"/>
      <c r="F941" s="101"/>
      <c r="H941" s="101"/>
    </row>
    <row r="942" spans="2:8">
      <c r="B942" s="102"/>
      <c r="C942" s="101"/>
      <c r="D942" s="101"/>
      <c r="E942" s="101"/>
      <c r="F942" s="101"/>
      <c r="H942" s="101"/>
    </row>
    <row r="943" spans="2:8">
      <c r="B943" s="102"/>
      <c r="C943" s="101"/>
      <c r="D943" s="101"/>
      <c r="E943" s="101"/>
      <c r="F943" s="101"/>
      <c r="H943" s="101"/>
    </row>
    <row r="944" spans="2:8">
      <c r="B944" s="102"/>
      <c r="C944" s="101"/>
      <c r="D944" s="101"/>
      <c r="E944" s="101"/>
      <c r="F944" s="101"/>
      <c r="H944" s="101"/>
    </row>
    <row r="945" spans="2:8">
      <c r="B945" s="102"/>
      <c r="C945" s="101"/>
      <c r="D945" s="101"/>
      <c r="E945" s="101"/>
      <c r="F945" s="101"/>
      <c r="H945" s="101"/>
    </row>
    <row r="946" spans="2:8">
      <c r="B946" s="102"/>
      <c r="C946" s="101"/>
      <c r="D946" s="101"/>
      <c r="E946" s="101"/>
      <c r="F946" s="101"/>
      <c r="H946" s="101"/>
    </row>
    <row r="947" spans="2:8">
      <c r="B947" s="102"/>
      <c r="C947" s="101"/>
      <c r="D947" s="101"/>
      <c r="E947" s="101"/>
      <c r="F947" s="101"/>
      <c r="H947" s="101"/>
    </row>
    <row r="948" spans="2:8">
      <c r="B948" s="102"/>
      <c r="C948" s="101"/>
      <c r="D948" s="101"/>
      <c r="E948" s="101"/>
      <c r="F948" s="101"/>
      <c r="H948" s="101"/>
    </row>
    <row r="949" spans="2:8">
      <c r="B949" s="102"/>
      <c r="C949" s="101"/>
      <c r="D949" s="101"/>
      <c r="E949" s="101"/>
      <c r="F949" s="101"/>
      <c r="H949" s="101"/>
    </row>
    <row r="950" spans="2:8">
      <c r="B950" s="102"/>
      <c r="C950" s="101"/>
      <c r="D950" s="101"/>
      <c r="E950" s="101"/>
      <c r="F950" s="101"/>
      <c r="H950" s="101"/>
    </row>
    <row r="951" spans="2:8">
      <c r="B951" s="102"/>
      <c r="C951" s="101"/>
      <c r="D951" s="101"/>
      <c r="E951" s="101"/>
      <c r="F951" s="101"/>
      <c r="H951" s="101"/>
    </row>
    <row r="952" spans="2:8">
      <c r="B952" s="102"/>
      <c r="C952" s="101"/>
      <c r="D952" s="101"/>
      <c r="E952" s="101"/>
      <c r="F952" s="101"/>
      <c r="H952" s="101"/>
    </row>
    <row r="953" spans="2:8">
      <c r="B953" s="102"/>
      <c r="C953" s="101"/>
      <c r="D953" s="101"/>
      <c r="E953" s="101"/>
      <c r="F953" s="101"/>
      <c r="H953" s="101"/>
    </row>
    <row r="954" spans="2:8">
      <c r="B954" s="102"/>
      <c r="C954" s="101"/>
      <c r="D954" s="101"/>
      <c r="E954" s="101"/>
      <c r="F954" s="101"/>
      <c r="H954" s="101"/>
    </row>
    <row r="955" spans="2:8">
      <c r="B955" s="102"/>
      <c r="C955" s="101"/>
      <c r="D955" s="101"/>
      <c r="E955" s="101"/>
      <c r="F955" s="101"/>
      <c r="H955" s="101"/>
    </row>
  </sheetData>
  <mergeCells count="2">
    <mergeCell ref="D44:H44"/>
    <mergeCell ref="D46:G46"/>
  </mergeCells>
  <printOptions horizontalCentered="1"/>
  <pageMargins left="1" right="1" top="1" bottom="0.5" header="0.25" footer="0.25"/>
  <pageSetup scale="71" orientation="landscape" r:id="rId1"/>
  <headerFooter alignWithMargins="0">
    <oddFooter xml:space="preserve">&amp;C &amp;R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AW296"/>
  <sheetViews>
    <sheetView zoomScale="70" zoomScaleNormal="70" workbookViewId="0">
      <selection activeCell="G32" sqref="G32"/>
    </sheetView>
  </sheetViews>
  <sheetFormatPr defaultRowHeight="15"/>
  <cols>
    <col min="1" max="1" width="6" style="30" customWidth="1"/>
    <col min="2" max="2" width="1.44140625" style="30" customWidth="1"/>
    <col min="3" max="3" width="47.88671875" style="30" customWidth="1"/>
    <col min="4" max="4" width="1" style="30" customWidth="1"/>
    <col min="5" max="5" width="40.77734375" style="30" customWidth="1"/>
    <col min="6" max="6" width="1.33203125" style="30" customWidth="1"/>
    <col min="7" max="7" width="14.109375" style="30" customWidth="1"/>
    <col min="8" max="8" width="1.5546875" style="30" customWidth="1"/>
    <col min="9" max="10" width="12.77734375" style="30" customWidth="1"/>
    <col min="11" max="11" width="5.21875" style="30" customWidth="1"/>
    <col min="12" max="12" width="1.6640625" style="30" customWidth="1"/>
    <col min="13" max="13" width="26.5546875" style="30" customWidth="1"/>
    <col min="14" max="14" width="8.6640625" style="30" customWidth="1"/>
    <col min="15" max="15" width="11.77734375" style="30" customWidth="1"/>
    <col min="16" max="16" width="12.6640625" style="30" customWidth="1"/>
    <col min="17" max="17" width="12.77734375" style="30" customWidth="1"/>
    <col min="18" max="18" width="8.88671875" style="30"/>
    <col min="19" max="19" width="14.21875" style="30" customWidth="1"/>
    <col min="20" max="20" width="12.21875" style="30" customWidth="1"/>
    <col min="21" max="21" width="12.5546875" style="30" customWidth="1"/>
    <col min="22" max="22" width="16.77734375" style="30" customWidth="1"/>
    <col min="23" max="23" width="10.44140625" style="30" customWidth="1"/>
    <col min="24" max="24" width="16.6640625" style="30" customWidth="1"/>
    <col min="25" max="240" width="8.88671875" style="30"/>
    <col min="241" max="241" width="6" style="30" customWidth="1"/>
    <col min="242" max="242" width="1.44140625" style="30" customWidth="1"/>
    <col min="243" max="243" width="39.109375" style="30" customWidth="1"/>
    <col min="244" max="244" width="12" style="30" customWidth="1"/>
    <col min="245" max="245" width="14.44140625" style="30" customWidth="1"/>
    <col min="246" max="246" width="11.88671875" style="30" customWidth="1"/>
    <col min="247" max="247" width="14.109375" style="30" customWidth="1"/>
    <col min="248" max="248" width="13.88671875" style="30" customWidth="1"/>
    <col min="249" max="250" width="12.77734375" style="30" customWidth="1"/>
    <col min="251" max="251" width="13.5546875" style="30" customWidth="1"/>
    <col min="252" max="252" width="15.33203125" style="30" customWidth="1"/>
    <col min="253" max="253" width="12.77734375" style="30" customWidth="1"/>
    <col min="254" max="254" width="13.88671875" style="30" customWidth="1"/>
    <col min="255" max="255" width="1.88671875" style="30" customWidth="1"/>
    <col min="256" max="256" width="13" style="30" customWidth="1"/>
    <col min="257" max="496" width="8.88671875" style="30"/>
    <col min="497" max="497" width="6" style="30" customWidth="1"/>
    <col min="498" max="498" width="1.44140625" style="30" customWidth="1"/>
    <col min="499" max="499" width="39.109375" style="30" customWidth="1"/>
    <col min="500" max="500" width="12" style="30" customWidth="1"/>
    <col min="501" max="501" width="14.44140625" style="30" customWidth="1"/>
    <col min="502" max="502" width="11.88671875" style="30" customWidth="1"/>
    <col min="503" max="503" width="14.109375" style="30" customWidth="1"/>
    <col min="504" max="504" width="13.88671875" style="30" customWidth="1"/>
    <col min="505" max="506" width="12.77734375" style="30" customWidth="1"/>
    <col min="507" max="507" width="13.5546875" style="30" customWidth="1"/>
    <col min="508" max="508" width="15.33203125" style="30" customWidth="1"/>
    <col min="509" max="509" width="12.77734375" style="30" customWidth="1"/>
    <col min="510" max="510" width="13.88671875" style="30" customWidth="1"/>
    <col min="511" max="511" width="1.88671875" style="30" customWidth="1"/>
    <col min="512" max="512" width="13" style="30" customWidth="1"/>
    <col min="513" max="752" width="8.88671875" style="30"/>
    <col min="753" max="753" width="6" style="30" customWidth="1"/>
    <col min="754" max="754" width="1.44140625" style="30" customWidth="1"/>
    <col min="755" max="755" width="39.109375" style="30" customWidth="1"/>
    <col min="756" max="756" width="12" style="30" customWidth="1"/>
    <col min="757" max="757" width="14.44140625" style="30" customWidth="1"/>
    <col min="758" max="758" width="11.88671875" style="30" customWidth="1"/>
    <col min="759" max="759" width="14.109375" style="30" customWidth="1"/>
    <col min="760" max="760" width="13.88671875" style="30" customWidth="1"/>
    <col min="761" max="762" width="12.77734375" style="30" customWidth="1"/>
    <col min="763" max="763" width="13.5546875" style="30" customWidth="1"/>
    <col min="764" max="764" width="15.33203125" style="30" customWidth="1"/>
    <col min="765" max="765" width="12.77734375" style="30" customWidth="1"/>
    <col min="766" max="766" width="13.88671875" style="30" customWidth="1"/>
    <col min="767" max="767" width="1.88671875" style="30" customWidth="1"/>
    <col min="768" max="768" width="13" style="30" customWidth="1"/>
    <col min="769" max="1008" width="8.88671875" style="30"/>
    <col min="1009" max="1009" width="6" style="30" customWidth="1"/>
    <col min="1010" max="1010" width="1.44140625" style="30" customWidth="1"/>
    <col min="1011" max="1011" width="39.109375" style="30" customWidth="1"/>
    <col min="1012" max="1012" width="12" style="30" customWidth="1"/>
    <col min="1013" max="1013" width="14.44140625" style="30" customWidth="1"/>
    <col min="1014" max="1014" width="11.88671875" style="30" customWidth="1"/>
    <col min="1015" max="1015" width="14.109375" style="30" customWidth="1"/>
    <col min="1016" max="1016" width="13.88671875" style="30" customWidth="1"/>
    <col min="1017" max="1018" width="12.77734375" style="30" customWidth="1"/>
    <col min="1019" max="1019" width="13.5546875" style="30" customWidth="1"/>
    <col min="1020" max="1020" width="15.33203125" style="30" customWidth="1"/>
    <col min="1021" max="1021" width="12.77734375" style="30" customWidth="1"/>
    <col min="1022" max="1022" width="13.88671875" style="30" customWidth="1"/>
    <col min="1023" max="1023" width="1.88671875" style="30" customWidth="1"/>
    <col min="1024" max="1024" width="13" style="30" customWidth="1"/>
    <col min="1025" max="1264" width="8.88671875" style="30"/>
    <col min="1265" max="1265" width="6" style="30" customWidth="1"/>
    <col min="1266" max="1266" width="1.44140625" style="30" customWidth="1"/>
    <col min="1267" max="1267" width="39.109375" style="30" customWidth="1"/>
    <col min="1268" max="1268" width="12" style="30" customWidth="1"/>
    <col min="1269" max="1269" width="14.44140625" style="30" customWidth="1"/>
    <col min="1270" max="1270" width="11.88671875" style="30" customWidth="1"/>
    <col min="1271" max="1271" width="14.109375" style="30" customWidth="1"/>
    <col min="1272" max="1272" width="13.88671875" style="30" customWidth="1"/>
    <col min="1273" max="1274" width="12.77734375" style="30" customWidth="1"/>
    <col min="1275" max="1275" width="13.5546875" style="30" customWidth="1"/>
    <col min="1276" max="1276" width="15.33203125" style="30" customWidth="1"/>
    <col min="1277" max="1277" width="12.77734375" style="30" customWidth="1"/>
    <col min="1278" max="1278" width="13.88671875" style="30" customWidth="1"/>
    <col min="1279" max="1279" width="1.88671875" style="30" customWidth="1"/>
    <col min="1280" max="1280" width="13" style="30" customWidth="1"/>
    <col min="1281" max="1520" width="8.88671875" style="30"/>
    <col min="1521" max="1521" width="6" style="30" customWidth="1"/>
    <col min="1522" max="1522" width="1.44140625" style="30" customWidth="1"/>
    <col min="1523" max="1523" width="39.109375" style="30" customWidth="1"/>
    <col min="1524" max="1524" width="12" style="30" customWidth="1"/>
    <col min="1525" max="1525" width="14.44140625" style="30" customWidth="1"/>
    <col min="1526" max="1526" width="11.88671875" style="30" customWidth="1"/>
    <col min="1527" max="1527" width="14.109375" style="30" customWidth="1"/>
    <col min="1528" max="1528" width="13.88671875" style="30" customWidth="1"/>
    <col min="1529" max="1530" width="12.77734375" style="30" customWidth="1"/>
    <col min="1531" max="1531" width="13.5546875" style="30" customWidth="1"/>
    <col min="1532" max="1532" width="15.33203125" style="30" customWidth="1"/>
    <col min="1533" max="1533" width="12.77734375" style="30" customWidth="1"/>
    <col min="1534" max="1534" width="13.88671875" style="30" customWidth="1"/>
    <col min="1535" max="1535" width="1.88671875" style="30" customWidth="1"/>
    <col min="1536" max="1536" width="13" style="30" customWidth="1"/>
    <col min="1537" max="1776" width="8.88671875" style="30"/>
    <col min="1777" max="1777" width="6" style="30" customWidth="1"/>
    <col min="1778" max="1778" width="1.44140625" style="30" customWidth="1"/>
    <col min="1779" max="1779" width="39.109375" style="30" customWidth="1"/>
    <col min="1780" max="1780" width="12" style="30" customWidth="1"/>
    <col min="1781" max="1781" width="14.44140625" style="30" customWidth="1"/>
    <col min="1782" max="1782" width="11.88671875" style="30" customWidth="1"/>
    <col min="1783" max="1783" width="14.109375" style="30" customWidth="1"/>
    <col min="1784" max="1784" width="13.88671875" style="30" customWidth="1"/>
    <col min="1785" max="1786" width="12.77734375" style="30" customWidth="1"/>
    <col min="1787" max="1787" width="13.5546875" style="30" customWidth="1"/>
    <col min="1788" max="1788" width="15.33203125" style="30" customWidth="1"/>
    <col min="1789" max="1789" width="12.77734375" style="30" customWidth="1"/>
    <col min="1790" max="1790" width="13.88671875" style="30" customWidth="1"/>
    <col min="1791" max="1791" width="1.88671875" style="30" customWidth="1"/>
    <col min="1792" max="1792" width="13" style="30" customWidth="1"/>
    <col min="1793" max="2032" width="8.88671875" style="30"/>
    <col min="2033" max="2033" width="6" style="30" customWidth="1"/>
    <col min="2034" max="2034" width="1.44140625" style="30" customWidth="1"/>
    <col min="2035" max="2035" width="39.109375" style="30" customWidth="1"/>
    <col min="2036" max="2036" width="12" style="30" customWidth="1"/>
    <col min="2037" max="2037" width="14.44140625" style="30" customWidth="1"/>
    <col min="2038" max="2038" width="11.88671875" style="30" customWidth="1"/>
    <col min="2039" max="2039" width="14.109375" style="30" customWidth="1"/>
    <col min="2040" max="2040" width="13.88671875" style="30" customWidth="1"/>
    <col min="2041" max="2042" width="12.77734375" style="30" customWidth="1"/>
    <col min="2043" max="2043" width="13.5546875" style="30" customWidth="1"/>
    <col min="2044" max="2044" width="15.33203125" style="30" customWidth="1"/>
    <col min="2045" max="2045" width="12.77734375" style="30" customWidth="1"/>
    <col min="2046" max="2046" width="13.88671875" style="30" customWidth="1"/>
    <col min="2047" max="2047" width="1.88671875" style="30" customWidth="1"/>
    <col min="2048" max="2048" width="13" style="30" customWidth="1"/>
    <col min="2049" max="2288" width="8.88671875" style="30"/>
    <col min="2289" max="2289" width="6" style="30" customWidth="1"/>
    <col min="2290" max="2290" width="1.44140625" style="30" customWidth="1"/>
    <col min="2291" max="2291" width="39.109375" style="30" customWidth="1"/>
    <col min="2292" max="2292" width="12" style="30" customWidth="1"/>
    <col min="2293" max="2293" width="14.44140625" style="30" customWidth="1"/>
    <col min="2294" max="2294" width="11.88671875" style="30" customWidth="1"/>
    <col min="2295" max="2295" width="14.109375" style="30" customWidth="1"/>
    <col min="2296" max="2296" width="13.88671875" style="30" customWidth="1"/>
    <col min="2297" max="2298" width="12.77734375" style="30" customWidth="1"/>
    <col min="2299" max="2299" width="13.5546875" style="30" customWidth="1"/>
    <col min="2300" max="2300" width="15.33203125" style="30" customWidth="1"/>
    <col min="2301" max="2301" width="12.77734375" style="30" customWidth="1"/>
    <col min="2302" max="2302" width="13.88671875" style="30" customWidth="1"/>
    <col min="2303" max="2303" width="1.88671875" style="30" customWidth="1"/>
    <col min="2304" max="2304" width="13" style="30" customWidth="1"/>
    <col min="2305" max="2544" width="8.88671875" style="30"/>
    <col min="2545" max="2545" width="6" style="30" customWidth="1"/>
    <col min="2546" max="2546" width="1.44140625" style="30" customWidth="1"/>
    <col min="2547" max="2547" width="39.109375" style="30" customWidth="1"/>
    <col min="2548" max="2548" width="12" style="30" customWidth="1"/>
    <col min="2549" max="2549" width="14.44140625" style="30" customWidth="1"/>
    <col min="2550" max="2550" width="11.88671875" style="30" customWidth="1"/>
    <col min="2551" max="2551" width="14.109375" style="30" customWidth="1"/>
    <col min="2552" max="2552" width="13.88671875" style="30" customWidth="1"/>
    <col min="2553" max="2554" width="12.77734375" style="30" customWidth="1"/>
    <col min="2555" max="2555" width="13.5546875" style="30" customWidth="1"/>
    <col min="2556" max="2556" width="15.33203125" style="30" customWidth="1"/>
    <col min="2557" max="2557" width="12.77734375" style="30" customWidth="1"/>
    <col min="2558" max="2558" width="13.88671875" style="30" customWidth="1"/>
    <col min="2559" max="2559" width="1.88671875" style="30" customWidth="1"/>
    <col min="2560" max="2560" width="13" style="30" customWidth="1"/>
    <col min="2561" max="2800" width="8.88671875" style="30"/>
    <col min="2801" max="2801" width="6" style="30" customWidth="1"/>
    <col min="2802" max="2802" width="1.44140625" style="30" customWidth="1"/>
    <col min="2803" max="2803" width="39.109375" style="30" customWidth="1"/>
    <col min="2804" max="2804" width="12" style="30" customWidth="1"/>
    <col min="2805" max="2805" width="14.44140625" style="30" customWidth="1"/>
    <col min="2806" max="2806" width="11.88671875" style="30" customWidth="1"/>
    <col min="2807" max="2807" width="14.109375" style="30" customWidth="1"/>
    <col min="2808" max="2808" width="13.88671875" style="30" customWidth="1"/>
    <col min="2809" max="2810" width="12.77734375" style="30" customWidth="1"/>
    <col min="2811" max="2811" width="13.5546875" style="30" customWidth="1"/>
    <col min="2812" max="2812" width="15.33203125" style="30" customWidth="1"/>
    <col min="2813" max="2813" width="12.77734375" style="30" customWidth="1"/>
    <col min="2814" max="2814" width="13.88671875" style="30" customWidth="1"/>
    <col min="2815" max="2815" width="1.88671875" style="30" customWidth="1"/>
    <col min="2816" max="2816" width="13" style="30" customWidth="1"/>
    <col min="2817" max="3056" width="8.88671875" style="30"/>
    <col min="3057" max="3057" width="6" style="30" customWidth="1"/>
    <col min="3058" max="3058" width="1.44140625" style="30" customWidth="1"/>
    <col min="3059" max="3059" width="39.109375" style="30" customWidth="1"/>
    <col min="3060" max="3060" width="12" style="30" customWidth="1"/>
    <col min="3061" max="3061" width="14.44140625" style="30" customWidth="1"/>
    <col min="3062" max="3062" width="11.88671875" style="30" customWidth="1"/>
    <col min="3063" max="3063" width="14.109375" style="30" customWidth="1"/>
    <col min="3064" max="3064" width="13.88671875" style="30" customWidth="1"/>
    <col min="3065" max="3066" width="12.77734375" style="30" customWidth="1"/>
    <col min="3067" max="3067" width="13.5546875" style="30" customWidth="1"/>
    <col min="3068" max="3068" width="15.33203125" style="30" customWidth="1"/>
    <col min="3069" max="3069" width="12.77734375" style="30" customWidth="1"/>
    <col min="3070" max="3070" width="13.88671875" style="30" customWidth="1"/>
    <col min="3071" max="3071" width="1.88671875" style="30" customWidth="1"/>
    <col min="3072" max="3072" width="13" style="30" customWidth="1"/>
    <col min="3073" max="3312" width="8.88671875" style="30"/>
    <col min="3313" max="3313" width="6" style="30" customWidth="1"/>
    <col min="3314" max="3314" width="1.44140625" style="30" customWidth="1"/>
    <col min="3315" max="3315" width="39.109375" style="30" customWidth="1"/>
    <col min="3316" max="3316" width="12" style="30" customWidth="1"/>
    <col min="3317" max="3317" width="14.44140625" style="30" customWidth="1"/>
    <col min="3318" max="3318" width="11.88671875" style="30" customWidth="1"/>
    <col min="3319" max="3319" width="14.109375" style="30" customWidth="1"/>
    <col min="3320" max="3320" width="13.88671875" style="30" customWidth="1"/>
    <col min="3321" max="3322" width="12.77734375" style="30" customWidth="1"/>
    <col min="3323" max="3323" width="13.5546875" style="30" customWidth="1"/>
    <col min="3324" max="3324" width="15.33203125" style="30" customWidth="1"/>
    <col min="3325" max="3325" width="12.77734375" style="30" customWidth="1"/>
    <col min="3326" max="3326" width="13.88671875" style="30" customWidth="1"/>
    <col min="3327" max="3327" width="1.88671875" style="30" customWidth="1"/>
    <col min="3328" max="3328" width="13" style="30" customWidth="1"/>
    <col min="3329" max="3568" width="8.88671875" style="30"/>
    <col min="3569" max="3569" width="6" style="30" customWidth="1"/>
    <col min="3570" max="3570" width="1.44140625" style="30" customWidth="1"/>
    <col min="3571" max="3571" width="39.109375" style="30" customWidth="1"/>
    <col min="3572" max="3572" width="12" style="30" customWidth="1"/>
    <col min="3573" max="3573" width="14.44140625" style="30" customWidth="1"/>
    <col min="3574" max="3574" width="11.88671875" style="30" customWidth="1"/>
    <col min="3575" max="3575" width="14.109375" style="30" customWidth="1"/>
    <col min="3576" max="3576" width="13.88671875" style="30" customWidth="1"/>
    <col min="3577" max="3578" width="12.77734375" style="30" customWidth="1"/>
    <col min="3579" max="3579" width="13.5546875" style="30" customWidth="1"/>
    <col min="3580" max="3580" width="15.33203125" style="30" customWidth="1"/>
    <col min="3581" max="3581" width="12.77734375" style="30" customWidth="1"/>
    <col min="3582" max="3582" width="13.88671875" style="30" customWidth="1"/>
    <col min="3583" max="3583" width="1.88671875" style="30" customWidth="1"/>
    <col min="3584" max="3584" width="13" style="30" customWidth="1"/>
    <col min="3585" max="3824" width="8.88671875" style="30"/>
    <col min="3825" max="3825" width="6" style="30" customWidth="1"/>
    <col min="3826" max="3826" width="1.44140625" style="30" customWidth="1"/>
    <col min="3827" max="3827" width="39.109375" style="30" customWidth="1"/>
    <col min="3828" max="3828" width="12" style="30" customWidth="1"/>
    <col min="3829" max="3829" width="14.44140625" style="30" customWidth="1"/>
    <col min="3830" max="3830" width="11.88671875" style="30" customWidth="1"/>
    <col min="3831" max="3831" width="14.109375" style="30" customWidth="1"/>
    <col min="3832" max="3832" width="13.88671875" style="30" customWidth="1"/>
    <col min="3833" max="3834" width="12.77734375" style="30" customWidth="1"/>
    <col min="3835" max="3835" width="13.5546875" style="30" customWidth="1"/>
    <col min="3836" max="3836" width="15.33203125" style="30" customWidth="1"/>
    <col min="3837" max="3837" width="12.77734375" style="30" customWidth="1"/>
    <col min="3838" max="3838" width="13.88671875" style="30" customWidth="1"/>
    <col min="3839" max="3839" width="1.88671875" style="30" customWidth="1"/>
    <col min="3840" max="3840" width="13" style="30" customWidth="1"/>
    <col min="3841" max="4080" width="8.88671875" style="30"/>
    <col min="4081" max="4081" width="6" style="30" customWidth="1"/>
    <col min="4082" max="4082" width="1.44140625" style="30" customWidth="1"/>
    <col min="4083" max="4083" width="39.109375" style="30" customWidth="1"/>
    <col min="4084" max="4084" width="12" style="30" customWidth="1"/>
    <col min="4085" max="4085" width="14.44140625" style="30" customWidth="1"/>
    <col min="4086" max="4086" width="11.88671875" style="30" customWidth="1"/>
    <col min="4087" max="4087" width="14.109375" style="30" customWidth="1"/>
    <col min="4088" max="4088" width="13.88671875" style="30" customWidth="1"/>
    <col min="4089" max="4090" width="12.77734375" style="30" customWidth="1"/>
    <col min="4091" max="4091" width="13.5546875" style="30" customWidth="1"/>
    <col min="4092" max="4092" width="15.33203125" style="30" customWidth="1"/>
    <col min="4093" max="4093" width="12.77734375" style="30" customWidth="1"/>
    <col min="4094" max="4094" width="13.88671875" style="30" customWidth="1"/>
    <col min="4095" max="4095" width="1.88671875" style="30" customWidth="1"/>
    <col min="4096" max="4096" width="13" style="30" customWidth="1"/>
    <col min="4097" max="4336" width="8.88671875" style="30"/>
    <col min="4337" max="4337" width="6" style="30" customWidth="1"/>
    <col min="4338" max="4338" width="1.44140625" style="30" customWidth="1"/>
    <col min="4339" max="4339" width="39.109375" style="30" customWidth="1"/>
    <col min="4340" max="4340" width="12" style="30" customWidth="1"/>
    <col min="4341" max="4341" width="14.44140625" style="30" customWidth="1"/>
    <col min="4342" max="4342" width="11.88671875" style="30" customWidth="1"/>
    <col min="4343" max="4343" width="14.109375" style="30" customWidth="1"/>
    <col min="4344" max="4344" width="13.88671875" style="30" customWidth="1"/>
    <col min="4345" max="4346" width="12.77734375" style="30" customWidth="1"/>
    <col min="4347" max="4347" width="13.5546875" style="30" customWidth="1"/>
    <col min="4348" max="4348" width="15.33203125" style="30" customWidth="1"/>
    <col min="4349" max="4349" width="12.77734375" style="30" customWidth="1"/>
    <col min="4350" max="4350" width="13.88671875" style="30" customWidth="1"/>
    <col min="4351" max="4351" width="1.88671875" style="30" customWidth="1"/>
    <col min="4352" max="4352" width="13" style="30" customWidth="1"/>
    <col min="4353" max="4592" width="8.88671875" style="30"/>
    <col min="4593" max="4593" width="6" style="30" customWidth="1"/>
    <col min="4594" max="4594" width="1.44140625" style="30" customWidth="1"/>
    <col min="4595" max="4595" width="39.109375" style="30" customWidth="1"/>
    <col min="4596" max="4596" width="12" style="30" customWidth="1"/>
    <col min="4597" max="4597" width="14.44140625" style="30" customWidth="1"/>
    <col min="4598" max="4598" width="11.88671875" style="30" customWidth="1"/>
    <col min="4599" max="4599" width="14.109375" style="30" customWidth="1"/>
    <col min="4600" max="4600" width="13.88671875" style="30" customWidth="1"/>
    <col min="4601" max="4602" width="12.77734375" style="30" customWidth="1"/>
    <col min="4603" max="4603" width="13.5546875" style="30" customWidth="1"/>
    <col min="4604" max="4604" width="15.33203125" style="30" customWidth="1"/>
    <col min="4605" max="4605" width="12.77734375" style="30" customWidth="1"/>
    <col min="4606" max="4606" width="13.88671875" style="30" customWidth="1"/>
    <col min="4607" max="4607" width="1.88671875" style="30" customWidth="1"/>
    <col min="4608" max="4608" width="13" style="30" customWidth="1"/>
    <col min="4609" max="4848" width="8.88671875" style="30"/>
    <col min="4849" max="4849" width="6" style="30" customWidth="1"/>
    <col min="4850" max="4850" width="1.44140625" style="30" customWidth="1"/>
    <col min="4851" max="4851" width="39.109375" style="30" customWidth="1"/>
    <col min="4852" max="4852" width="12" style="30" customWidth="1"/>
    <col min="4853" max="4853" width="14.44140625" style="30" customWidth="1"/>
    <col min="4854" max="4854" width="11.88671875" style="30" customWidth="1"/>
    <col min="4855" max="4855" width="14.109375" style="30" customWidth="1"/>
    <col min="4856" max="4856" width="13.88671875" style="30" customWidth="1"/>
    <col min="4857" max="4858" width="12.77734375" style="30" customWidth="1"/>
    <col min="4859" max="4859" width="13.5546875" style="30" customWidth="1"/>
    <col min="4860" max="4860" width="15.33203125" style="30" customWidth="1"/>
    <col min="4861" max="4861" width="12.77734375" style="30" customWidth="1"/>
    <col min="4862" max="4862" width="13.88671875" style="30" customWidth="1"/>
    <col min="4863" max="4863" width="1.88671875" style="30" customWidth="1"/>
    <col min="4864" max="4864" width="13" style="30" customWidth="1"/>
    <col min="4865" max="5104" width="8.88671875" style="30"/>
    <col min="5105" max="5105" width="6" style="30" customWidth="1"/>
    <col min="5106" max="5106" width="1.44140625" style="30" customWidth="1"/>
    <col min="5107" max="5107" width="39.109375" style="30" customWidth="1"/>
    <col min="5108" max="5108" width="12" style="30" customWidth="1"/>
    <col min="5109" max="5109" width="14.44140625" style="30" customWidth="1"/>
    <col min="5110" max="5110" width="11.88671875" style="30" customWidth="1"/>
    <col min="5111" max="5111" width="14.109375" style="30" customWidth="1"/>
    <col min="5112" max="5112" width="13.88671875" style="30" customWidth="1"/>
    <col min="5113" max="5114" width="12.77734375" style="30" customWidth="1"/>
    <col min="5115" max="5115" width="13.5546875" style="30" customWidth="1"/>
    <col min="5116" max="5116" width="15.33203125" style="30" customWidth="1"/>
    <col min="5117" max="5117" width="12.77734375" style="30" customWidth="1"/>
    <col min="5118" max="5118" width="13.88671875" style="30" customWidth="1"/>
    <col min="5119" max="5119" width="1.88671875" style="30" customWidth="1"/>
    <col min="5120" max="5120" width="13" style="30" customWidth="1"/>
    <col min="5121" max="5360" width="8.88671875" style="30"/>
    <col min="5361" max="5361" width="6" style="30" customWidth="1"/>
    <col min="5362" max="5362" width="1.44140625" style="30" customWidth="1"/>
    <col min="5363" max="5363" width="39.109375" style="30" customWidth="1"/>
    <col min="5364" max="5364" width="12" style="30" customWidth="1"/>
    <col min="5365" max="5365" width="14.44140625" style="30" customWidth="1"/>
    <col min="5366" max="5366" width="11.88671875" style="30" customWidth="1"/>
    <col min="5367" max="5367" width="14.109375" style="30" customWidth="1"/>
    <col min="5368" max="5368" width="13.88671875" style="30" customWidth="1"/>
    <col min="5369" max="5370" width="12.77734375" style="30" customWidth="1"/>
    <col min="5371" max="5371" width="13.5546875" style="30" customWidth="1"/>
    <col min="5372" max="5372" width="15.33203125" style="30" customWidth="1"/>
    <col min="5373" max="5373" width="12.77734375" style="30" customWidth="1"/>
    <col min="5374" max="5374" width="13.88671875" style="30" customWidth="1"/>
    <col min="5375" max="5375" width="1.88671875" style="30" customWidth="1"/>
    <col min="5376" max="5376" width="13" style="30" customWidth="1"/>
    <col min="5377" max="5616" width="8.88671875" style="30"/>
    <col min="5617" max="5617" width="6" style="30" customWidth="1"/>
    <col min="5618" max="5618" width="1.44140625" style="30" customWidth="1"/>
    <col min="5619" max="5619" width="39.109375" style="30" customWidth="1"/>
    <col min="5620" max="5620" width="12" style="30" customWidth="1"/>
    <col min="5621" max="5621" width="14.44140625" style="30" customWidth="1"/>
    <col min="5622" max="5622" width="11.88671875" style="30" customWidth="1"/>
    <col min="5623" max="5623" width="14.109375" style="30" customWidth="1"/>
    <col min="5624" max="5624" width="13.88671875" style="30" customWidth="1"/>
    <col min="5625" max="5626" width="12.77734375" style="30" customWidth="1"/>
    <col min="5627" max="5627" width="13.5546875" style="30" customWidth="1"/>
    <col min="5628" max="5628" width="15.33203125" style="30" customWidth="1"/>
    <col min="5629" max="5629" width="12.77734375" style="30" customWidth="1"/>
    <col min="5630" max="5630" width="13.88671875" style="30" customWidth="1"/>
    <col min="5631" max="5631" width="1.88671875" style="30" customWidth="1"/>
    <col min="5632" max="5632" width="13" style="30" customWidth="1"/>
    <col min="5633" max="5872" width="8.88671875" style="30"/>
    <col min="5873" max="5873" width="6" style="30" customWidth="1"/>
    <col min="5874" max="5874" width="1.44140625" style="30" customWidth="1"/>
    <col min="5875" max="5875" width="39.109375" style="30" customWidth="1"/>
    <col min="5876" max="5876" width="12" style="30" customWidth="1"/>
    <col min="5877" max="5877" width="14.44140625" style="30" customWidth="1"/>
    <col min="5878" max="5878" width="11.88671875" style="30" customWidth="1"/>
    <col min="5879" max="5879" width="14.109375" style="30" customWidth="1"/>
    <col min="5880" max="5880" width="13.88671875" style="30" customWidth="1"/>
    <col min="5881" max="5882" width="12.77734375" style="30" customWidth="1"/>
    <col min="5883" max="5883" width="13.5546875" style="30" customWidth="1"/>
    <col min="5884" max="5884" width="15.33203125" style="30" customWidth="1"/>
    <col min="5885" max="5885" width="12.77734375" style="30" customWidth="1"/>
    <col min="5886" max="5886" width="13.88671875" style="30" customWidth="1"/>
    <col min="5887" max="5887" width="1.88671875" style="30" customWidth="1"/>
    <col min="5888" max="5888" width="13" style="30" customWidth="1"/>
    <col min="5889" max="6128" width="8.88671875" style="30"/>
    <col min="6129" max="6129" width="6" style="30" customWidth="1"/>
    <col min="6130" max="6130" width="1.44140625" style="30" customWidth="1"/>
    <col min="6131" max="6131" width="39.109375" style="30" customWidth="1"/>
    <col min="6132" max="6132" width="12" style="30" customWidth="1"/>
    <col min="6133" max="6133" width="14.44140625" style="30" customWidth="1"/>
    <col min="6134" max="6134" width="11.88671875" style="30" customWidth="1"/>
    <col min="6135" max="6135" width="14.109375" style="30" customWidth="1"/>
    <col min="6136" max="6136" width="13.88671875" style="30" customWidth="1"/>
    <col min="6137" max="6138" width="12.77734375" style="30" customWidth="1"/>
    <col min="6139" max="6139" width="13.5546875" style="30" customWidth="1"/>
    <col min="6140" max="6140" width="15.33203125" style="30" customWidth="1"/>
    <col min="6141" max="6141" width="12.77734375" style="30" customWidth="1"/>
    <col min="6142" max="6142" width="13.88671875" style="30" customWidth="1"/>
    <col min="6143" max="6143" width="1.88671875" style="30" customWidth="1"/>
    <col min="6144" max="6144" width="13" style="30" customWidth="1"/>
    <col min="6145" max="6384" width="8.88671875" style="30"/>
    <col min="6385" max="6385" width="6" style="30" customWidth="1"/>
    <col min="6386" max="6386" width="1.44140625" style="30" customWidth="1"/>
    <col min="6387" max="6387" width="39.109375" style="30" customWidth="1"/>
    <col min="6388" max="6388" width="12" style="30" customWidth="1"/>
    <col min="6389" max="6389" width="14.44140625" style="30" customWidth="1"/>
    <col min="6390" max="6390" width="11.88671875" style="30" customWidth="1"/>
    <col min="6391" max="6391" width="14.109375" style="30" customWidth="1"/>
    <col min="6392" max="6392" width="13.88671875" style="30" customWidth="1"/>
    <col min="6393" max="6394" width="12.77734375" style="30" customWidth="1"/>
    <col min="6395" max="6395" width="13.5546875" style="30" customWidth="1"/>
    <col min="6396" max="6396" width="15.33203125" style="30" customWidth="1"/>
    <col min="6397" max="6397" width="12.77734375" style="30" customWidth="1"/>
    <col min="6398" max="6398" width="13.88671875" style="30" customWidth="1"/>
    <col min="6399" max="6399" width="1.88671875" style="30" customWidth="1"/>
    <col min="6400" max="6400" width="13" style="30" customWidth="1"/>
    <col min="6401" max="6640" width="8.88671875" style="30"/>
    <col min="6641" max="6641" width="6" style="30" customWidth="1"/>
    <col min="6642" max="6642" width="1.44140625" style="30" customWidth="1"/>
    <col min="6643" max="6643" width="39.109375" style="30" customWidth="1"/>
    <col min="6644" max="6644" width="12" style="30" customWidth="1"/>
    <col min="6645" max="6645" width="14.44140625" style="30" customWidth="1"/>
    <col min="6646" max="6646" width="11.88671875" style="30" customWidth="1"/>
    <col min="6647" max="6647" width="14.109375" style="30" customWidth="1"/>
    <col min="6648" max="6648" width="13.88671875" style="30" customWidth="1"/>
    <col min="6649" max="6650" width="12.77734375" style="30" customWidth="1"/>
    <col min="6651" max="6651" width="13.5546875" style="30" customWidth="1"/>
    <col min="6652" max="6652" width="15.33203125" style="30" customWidth="1"/>
    <col min="6653" max="6653" width="12.77734375" style="30" customWidth="1"/>
    <col min="6654" max="6654" width="13.88671875" style="30" customWidth="1"/>
    <col min="6655" max="6655" width="1.88671875" style="30" customWidth="1"/>
    <col min="6656" max="6656" width="13" style="30" customWidth="1"/>
    <col min="6657" max="6896" width="8.88671875" style="30"/>
    <col min="6897" max="6897" width="6" style="30" customWidth="1"/>
    <col min="6898" max="6898" width="1.44140625" style="30" customWidth="1"/>
    <col min="6899" max="6899" width="39.109375" style="30" customWidth="1"/>
    <col min="6900" max="6900" width="12" style="30" customWidth="1"/>
    <col min="6901" max="6901" width="14.44140625" style="30" customWidth="1"/>
    <col min="6902" max="6902" width="11.88671875" style="30" customWidth="1"/>
    <col min="6903" max="6903" width="14.109375" style="30" customWidth="1"/>
    <col min="6904" max="6904" width="13.88671875" style="30" customWidth="1"/>
    <col min="6905" max="6906" width="12.77734375" style="30" customWidth="1"/>
    <col min="6907" max="6907" width="13.5546875" style="30" customWidth="1"/>
    <col min="6908" max="6908" width="15.33203125" style="30" customWidth="1"/>
    <col min="6909" max="6909" width="12.77734375" style="30" customWidth="1"/>
    <col min="6910" max="6910" width="13.88671875" style="30" customWidth="1"/>
    <col min="6911" max="6911" width="1.88671875" style="30" customWidth="1"/>
    <col min="6912" max="6912" width="13" style="30" customWidth="1"/>
    <col min="6913" max="7152" width="8.88671875" style="30"/>
    <col min="7153" max="7153" width="6" style="30" customWidth="1"/>
    <col min="7154" max="7154" width="1.44140625" style="30" customWidth="1"/>
    <col min="7155" max="7155" width="39.109375" style="30" customWidth="1"/>
    <col min="7156" max="7156" width="12" style="30" customWidth="1"/>
    <col min="7157" max="7157" width="14.44140625" style="30" customWidth="1"/>
    <col min="7158" max="7158" width="11.88671875" style="30" customWidth="1"/>
    <col min="7159" max="7159" width="14.109375" style="30" customWidth="1"/>
    <col min="7160" max="7160" width="13.88671875" style="30" customWidth="1"/>
    <col min="7161" max="7162" width="12.77734375" style="30" customWidth="1"/>
    <col min="7163" max="7163" width="13.5546875" style="30" customWidth="1"/>
    <col min="7164" max="7164" width="15.33203125" style="30" customWidth="1"/>
    <col min="7165" max="7165" width="12.77734375" style="30" customWidth="1"/>
    <col min="7166" max="7166" width="13.88671875" style="30" customWidth="1"/>
    <col min="7167" max="7167" width="1.88671875" style="30" customWidth="1"/>
    <col min="7168" max="7168" width="13" style="30" customWidth="1"/>
    <col min="7169" max="7408" width="8.88671875" style="30"/>
    <col min="7409" max="7409" width="6" style="30" customWidth="1"/>
    <col min="7410" max="7410" width="1.44140625" style="30" customWidth="1"/>
    <col min="7411" max="7411" width="39.109375" style="30" customWidth="1"/>
    <col min="7412" max="7412" width="12" style="30" customWidth="1"/>
    <col min="7413" max="7413" width="14.44140625" style="30" customWidth="1"/>
    <col min="7414" max="7414" width="11.88671875" style="30" customWidth="1"/>
    <col min="7415" max="7415" width="14.109375" style="30" customWidth="1"/>
    <col min="7416" max="7416" width="13.88671875" style="30" customWidth="1"/>
    <col min="7417" max="7418" width="12.77734375" style="30" customWidth="1"/>
    <col min="7419" max="7419" width="13.5546875" style="30" customWidth="1"/>
    <col min="7420" max="7420" width="15.33203125" style="30" customWidth="1"/>
    <col min="7421" max="7421" width="12.77734375" style="30" customWidth="1"/>
    <col min="7422" max="7422" width="13.88671875" style="30" customWidth="1"/>
    <col min="7423" max="7423" width="1.88671875" style="30" customWidth="1"/>
    <col min="7424" max="7424" width="13" style="30" customWidth="1"/>
    <col min="7425" max="7664" width="8.88671875" style="30"/>
    <col min="7665" max="7665" width="6" style="30" customWidth="1"/>
    <col min="7666" max="7666" width="1.44140625" style="30" customWidth="1"/>
    <col min="7667" max="7667" width="39.109375" style="30" customWidth="1"/>
    <col min="7668" max="7668" width="12" style="30" customWidth="1"/>
    <col min="7669" max="7669" width="14.44140625" style="30" customWidth="1"/>
    <col min="7670" max="7670" width="11.88671875" style="30" customWidth="1"/>
    <col min="7671" max="7671" width="14.109375" style="30" customWidth="1"/>
    <col min="7672" max="7672" width="13.88671875" style="30" customWidth="1"/>
    <col min="7673" max="7674" width="12.77734375" style="30" customWidth="1"/>
    <col min="7675" max="7675" width="13.5546875" style="30" customWidth="1"/>
    <col min="7676" max="7676" width="15.33203125" style="30" customWidth="1"/>
    <col min="7677" max="7677" width="12.77734375" style="30" customWidth="1"/>
    <col min="7678" max="7678" width="13.88671875" style="30" customWidth="1"/>
    <col min="7679" max="7679" width="1.88671875" style="30" customWidth="1"/>
    <col min="7680" max="7680" width="13" style="30" customWidth="1"/>
    <col min="7681" max="7920" width="8.88671875" style="30"/>
    <col min="7921" max="7921" width="6" style="30" customWidth="1"/>
    <col min="7922" max="7922" width="1.44140625" style="30" customWidth="1"/>
    <col min="7923" max="7923" width="39.109375" style="30" customWidth="1"/>
    <col min="7924" max="7924" width="12" style="30" customWidth="1"/>
    <col min="7925" max="7925" width="14.44140625" style="30" customWidth="1"/>
    <col min="7926" max="7926" width="11.88671875" style="30" customWidth="1"/>
    <col min="7927" max="7927" width="14.109375" style="30" customWidth="1"/>
    <col min="7928" max="7928" width="13.88671875" style="30" customWidth="1"/>
    <col min="7929" max="7930" width="12.77734375" style="30" customWidth="1"/>
    <col min="7931" max="7931" width="13.5546875" style="30" customWidth="1"/>
    <col min="7932" max="7932" width="15.33203125" style="30" customWidth="1"/>
    <col min="7933" max="7933" width="12.77734375" style="30" customWidth="1"/>
    <col min="7934" max="7934" width="13.88671875" style="30" customWidth="1"/>
    <col min="7935" max="7935" width="1.88671875" style="30" customWidth="1"/>
    <col min="7936" max="7936" width="13" style="30" customWidth="1"/>
    <col min="7937" max="8176" width="8.88671875" style="30"/>
    <col min="8177" max="8177" width="6" style="30" customWidth="1"/>
    <col min="8178" max="8178" width="1.44140625" style="30" customWidth="1"/>
    <col min="8179" max="8179" width="39.109375" style="30" customWidth="1"/>
    <col min="8180" max="8180" width="12" style="30" customWidth="1"/>
    <col min="8181" max="8181" width="14.44140625" style="30" customWidth="1"/>
    <col min="8182" max="8182" width="11.88671875" style="30" customWidth="1"/>
    <col min="8183" max="8183" width="14.109375" style="30" customWidth="1"/>
    <col min="8184" max="8184" width="13.88671875" style="30" customWidth="1"/>
    <col min="8185" max="8186" width="12.77734375" style="30" customWidth="1"/>
    <col min="8187" max="8187" width="13.5546875" style="30" customWidth="1"/>
    <col min="8188" max="8188" width="15.33203125" style="30" customWidth="1"/>
    <col min="8189" max="8189" width="12.77734375" style="30" customWidth="1"/>
    <col min="8190" max="8190" width="13.88671875" style="30" customWidth="1"/>
    <col min="8191" max="8191" width="1.88671875" style="30" customWidth="1"/>
    <col min="8192" max="8192" width="13" style="30" customWidth="1"/>
    <col min="8193" max="8432" width="8.88671875" style="30"/>
    <col min="8433" max="8433" width="6" style="30" customWidth="1"/>
    <col min="8434" max="8434" width="1.44140625" style="30" customWidth="1"/>
    <col min="8435" max="8435" width="39.109375" style="30" customWidth="1"/>
    <col min="8436" max="8436" width="12" style="30" customWidth="1"/>
    <col min="8437" max="8437" width="14.44140625" style="30" customWidth="1"/>
    <col min="8438" max="8438" width="11.88671875" style="30" customWidth="1"/>
    <col min="8439" max="8439" width="14.109375" style="30" customWidth="1"/>
    <col min="8440" max="8440" width="13.88671875" style="30" customWidth="1"/>
    <col min="8441" max="8442" width="12.77734375" style="30" customWidth="1"/>
    <col min="8443" max="8443" width="13.5546875" style="30" customWidth="1"/>
    <col min="8444" max="8444" width="15.33203125" style="30" customWidth="1"/>
    <col min="8445" max="8445" width="12.77734375" style="30" customWidth="1"/>
    <col min="8446" max="8446" width="13.88671875" style="30" customWidth="1"/>
    <col min="8447" max="8447" width="1.88671875" style="30" customWidth="1"/>
    <col min="8448" max="8448" width="13" style="30" customWidth="1"/>
    <col min="8449" max="8688" width="8.88671875" style="30"/>
    <col min="8689" max="8689" width="6" style="30" customWidth="1"/>
    <col min="8690" max="8690" width="1.44140625" style="30" customWidth="1"/>
    <col min="8691" max="8691" width="39.109375" style="30" customWidth="1"/>
    <col min="8692" max="8692" width="12" style="30" customWidth="1"/>
    <col min="8693" max="8693" width="14.44140625" style="30" customWidth="1"/>
    <col min="8694" max="8694" width="11.88671875" style="30" customWidth="1"/>
    <col min="8695" max="8695" width="14.109375" style="30" customWidth="1"/>
    <col min="8696" max="8696" width="13.88671875" style="30" customWidth="1"/>
    <col min="8697" max="8698" width="12.77734375" style="30" customWidth="1"/>
    <col min="8699" max="8699" width="13.5546875" style="30" customWidth="1"/>
    <col min="8700" max="8700" width="15.33203125" style="30" customWidth="1"/>
    <col min="8701" max="8701" width="12.77734375" style="30" customWidth="1"/>
    <col min="8702" max="8702" width="13.88671875" style="30" customWidth="1"/>
    <col min="8703" max="8703" width="1.88671875" style="30" customWidth="1"/>
    <col min="8704" max="8704" width="13" style="30" customWidth="1"/>
    <col min="8705" max="8944" width="8.88671875" style="30"/>
    <col min="8945" max="8945" width="6" style="30" customWidth="1"/>
    <col min="8946" max="8946" width="1.44140625" style="30" customWidth="1"/>
    <col min="8947" max="8947" width="39.109375" style="30" customWidth="1"/>
    <col min="8948" max="8948" width="12" style="30" customWidth="1"/>
    <col min="8949" max="8949" width="14.44140625" style="30" customWidth="1"/>
    <col min="8950" max="8950" width="11.88671875" style="30" customWidth="1"/>
    <col min="8951" max="8951" width="14.109375" style="30" customWidth="1"/>
    <col min="8952" max="8952" width="13.88671875" style="30" customWidth="1"/>
    <col min="8953" max="8954" width="12.77734375" style="30" customWidth="1"/>
    <col min="8955" max="8955" width="13.5546875" style="30" customWidth="1"/>
    <col min="8956" max="8956" width="15.33203125" style="30" customWidth="1"/>
    <col min="8957" max="8957" width="12.77734375" style="30" customWidth="1"/>
    <col min="8958" max="8958" width="13.88671875" style="30" customWidth="1"/>
    <col min="8959" max="8959" width="1.88671875" style="30" customWidth="1"/>
    <col min="8960" max="8960" width="13" style="30" customWidth="1"/>
    <col min="8961" max="9200" width="8.88671875" style="30"/>
    <col min="9201" max="9201" width="6" style="30" customWidth="1"/>
    <col min="9202" max="9202" width="1.44140625" style="30" customWidth="1"/>
    <col min="9203" max="9203" width="39.109375" style="30" customWidth="1"/>
    <col min="9204" max="9204" width="12" style="30" customWidth="1"/>
    <col min="9205" max="9205" width="14.44140625" style="30" customWidth="1"/>
    <col min="9206" max="9206" width="11.88671875" style="30" customWidth="1"/>
    <col min="9207" max="9207" width="14.109375" style="30" customWidth="1"/>
    <col min="9208" max="9208" width="13.88671875" style="30" customWidth="1"/>
    <col min="9209" max="9210" width="12.77734375" style="30" customWidth="1"/>
    <col min="9211" max="9211" width="13.5546875" style="30" customWidth="1"/>
    <col min="9212" max="9212" width="15.33203125" style="30" customWidth="1"/>
    <col min="9213" max="9213" width="12.77734375" style="30" customWidth="1"/>
    <col min="9214" max="9214" width="13.88671875" style="30" customWidth="1"/>
    <col min="9215" max="9215" width="1.88671875" style="30" customWidth="1"/>
    <col min="9216" max="9216" width="13" style="30" customWidth="1"/>
    <col min="9217" max="9456" width="8.88671875" style="30"/>
    <col min="9457" max="9457" width="6" style="30" customWidth="1"/>
    <col min="9458" max="9458" width="1.44140625" style="30" customWidth="1"/>
    <col min="9459" max="9459" width="39.109375" style="30" customWidth="1"/>
    <col min="9460" max="9460" width="12" style="30" customWidth="1"/>
    <col min="9461" max="9461" width="14.44140625" style="30" customWidth="1"/>
    <col min="9462" max="9462" width="11.88671875" style="30" customWidth="1"/>
    <col min="9463" max="9463" width="14.109375" style="30" customWidth="1"/>
    <col min="9464" max="9464" width="13.88671875" style="30" customWidth="1"/>
    <col min="9465" max="9466" width="12.77734375" style="30" customWidth="1"/>
    <col min="9467" max="9467" width="13.5546875" style="30" customWidth="1"/>
    <col min="9468" max="9468" width="15.33203125" style="30" customWidth="1"/>
    <col min="9469" max="9469" width="12.77734375" style="30" customWidth="1"/>
    <col min="9470" max="9470" width="13.88671875" style="30" customWidth="1"/>
    <col min="9471" max="9471" width="1.88671875" style="30" customWidth="1"/>
    <col min="9472" max="9472" width="13" style="30" customWidth="1"/>
    <col min="9473" max="9712" width="8.88671875" style="30"/>
    <col min="9713" max="9713" width="6" style="30" customWidth="1"/>
    <col min="9714" max="9714" width="1.44140625" style="30" customWidth="1"/>
    <col min="9715" max="9715" width="39.109375" style="30" customWidth="1"/>
    <col min="9716" max="9716" width="12" style="30" customWidth="1"/>
    <col min="9717" max="9717" width="14.44140625" style="30" customWidth="1"/>
    <col min="9718" max="9718" width="11.88671875" style="30" customWidth="1"/>
    <col min="9719" max="9719" width="14.109375" style="30" customWidth="1"/>
    <col min="9720" max="9720" width="13.88671875" style="30" customWidth="1"/>
    <col min="9721" max="9722" width="12.77734375" style="30" customWidth="1"/>
    <col min="9723" max="9723" width="13.5546875" style="30" customWidth="1"/>
    <col min="9724" max="9724" width="15.33203125" style="30" customWidth="1"/>
    <col min="9725" max="9725" width="12.77734375" style="30" customWidth="1"/>
    <col min="9726" max="9726" width="13.88671875" style="30" customWidth="1"/>
    <col min="9727" max="9727" width="1.88671875" style="30" customWidth="1"/>
    <col min="9728" max="9728" width="13" style="30" customWidth="1"/>
    <col min="9729" max="9968" width="8.88671875" style="30"/>
    <col min="9969" max="9969" width="6" style="30" customWidth="1"/>
    <col min="9970" max="9970" width="1.44140625" style="30" customWidth="1"/>
    <col min="9971" max="9971" width="39.109375" style="30" customWidth="1"/>
    <col min="9972" max="9972" width="12" style="30" customWidth="1"/>
    <col min="9973" max="9973" width="14.44140625" style="30" customWidth="1"/>
    <col min="9974" max="9974" width="11.88671875" style="30" customWidth="1"/>
    <col min="9975" max="9975" width="14.109375" style="30" customWidth="1"/>
    <col min="9976" max="9976" width="13.88671875" style="30" customWidth="1"/>
    <col min="9977" max="9978" width="12.77734375" style="30" customWidth="1"/>
    <col min="9979" max="9979" width="13.5546875" style="30" customWidth="1"/>
    <col min="9980" max="9980" width="15.33203125" style="30" customWidth="1"/>
    <col min="9981" max="9981" width="12.77734375" style="30" customWidth="1"/>
    <col min="9982" max="9982" width="13.88671875" style="30" customWidth="1"/>
    <col min="9983" max="9983" width="1.88671875" style="30" customWidth="1"/>
    <col min="9984" max="9984" width="13" style="30" customWidth="1"/>
    <col min="9985" max="10224" width="8.88671875" style="30"/>
    <col min="10225" max="10225" width="6" style="30" customWidth="1"/>
    <col min="10226" max="10226" width="1.44140625" style="30" customWidth="1"/>
    <col min="10227" max="10227" width="39.109375" style="30" customWidth="1"/>
    <col min="10228" max="10228" width="12" style="30" customWidth="1"/>
    <col min="10229" max="10229" width="14.44140625" style="30" customWidth="1"/>
    <col min="10230" max="10230" width="11.88671875" style="30" customWidth="1"/>
    <col min="10231" max="10231" width="14.109375" style="30" customWidth="1"/>
    <col min="10232" max="10232" width="13.88671875" style="30" customWidth="1"/>
    <col min="10233" max="10234" width="12.77734375" style="30" customWidth="1"/>
    <col min="10235" max="10235" width="13.5546875" style="30" customWidth="1"/>
    <col min="10236" max="10236" width="15.33203125" style="30" customWidth="1"/>
    <col min="10237" max="10237" width="12.77734375" style="30" customWidth="1"/>
    <col min="10238" max="10238" width="13.88671875" style="30" customWidth="1"/>
    <col min="10239" max="10239" width="1.88671875" style="30" customWidth="1"/>
    <col min="10240" max="10240" width="13" style="30" customWidth="1"/>
    <col min="10241" max="10480" width="8.88671875" style="30"/>
    <col min="10481" max="10481" width="6" style="30" customWidth="1"/>
    <col min="10482" max="10482" width="1.44140625" style="30" customWidth="1"/>
    <col min="10483" max="10483" width="39.109375" style="30" customWidth="1"/>
    <col min="10484" max="10484" width="12" style="30" customWidth="1"/>
    <col min="10485" max="10485" width="14.44140625" style="30" customWidth="1"/>
    <col min="10486" max="10486" width="11.88671875" style="30" customWidth="1"/>
    <col min="10487" max="10487" width="14.109375" style="30" customWidth="1"/>
    <col min="10488" max="10488" width="13.88671875" style="30" customWidth="1"/>
    <col min="10489" max="10490" width="12.77734375" style="30" customWidth="1"/>
    <col min="10491" max="10491" width="13.5546875" style="30" customWidth="1"/>
    <col min="10492" max="10492" width="15.33203125" style="30" customWidth="1"/>
    <col min="10493" max="10493" width="12.77734375" style="30" customWidth="1"/>
    <col min="10494" max="10494" width="13.88671875" style="30" customWidth="1"/>
    <col min="10495" max="10495" width="1.88671875" style="30" customWidth="1"/>
    <col min="10496" max="10496" width="13" style="30" customWidth="1"/>
    <col min="10497" max="10736" width="8.88671875" style="30"/>
    <col min="10737" max="10737" width="6" style="30" customWidth="1"/>
    <col min="10738" max="10738" width="1.44140625" style="30" customWidth="1"/>
    <col min="10739" max="10739" width="39.109375" style="30" customWidth="1"/>
    <col min="10740" max="10740" width="12" style="30" customWidth="1"/>
    <col min="10741" max="10741" width="14.44140625" style="30" customWidth="1"/>
    <col min="10742" max="10742" width="11.88671875" style="30" customWidth="1"/>
    <col min="10743" max="10743" width="14.109375" style="30" customWidth="1"/>
    <col min="10744" max="10744" width="13.88671875" style="30" customWidth="1"/>
    <col min="10745" max="10746" width="12.77734375" style="30" customWidth="1"/>
    <col min="10747" max="10747" width="13.5546875" style="30" customWidth="1"/>
    <col min="10748" max="10748" width="15.33203125" style="30" customWidth="1"/>
    <col min="10749" max="10749" width="12.77734375" style="30" customWidth="1"/>
    <col min="10750" max="10750" width="13.88671875" style="30" customWidth="1"/>
    <col min="10751" max="10751" width="1.88671875" style="30" customWidth="1"/>
    <col min="10752" max="10752" width="13" style="30" customWidth="1"/>
    <col min="10753" max="10992" width="8.88671875" style="30"/>
    <col min="10993" max="10993" width="6" style="30" customWidth="1"/>
    <col min="10994" max="10994" width="1.44140625" style="30" customWidth="1"/>
    <col min="10995" max="10995" width="39.109375" style="30" customWidth="1"/>
    <col min="10996" max="10996" width="12" style="30" customWidth="1"/>
    <col min="10997" max="10997" width="14.44140625" style="30" customWidth="1"/>
    <col min="10998" max="10998" width="11.88671875" style="30" customWidth="1"/>
    <col min="10999" max="10999" width="14.109375" style="30" customWidth="1"/>
    <col min="11000" max="11000" width="13.88671875" style="30" customWidth="1"/>
    <col min="11001" max="11002" width="12.77734375" style="30" customWidth="1"/>
    <col min="11003" max="11003" width="13.5546875" style="30" customWidth="1"/>
    <col min="11004" max="11004" width="15.33203125" style="30" customWidth="1"/>
    <col min="11005" max="11005" width="12.77734375" style="30" customWidth="1"/>
    <col min="11006" max="11006" width="13.88671875" style="30" customWidth="1"/>
    <col min="11007" max="11007" width="1.88671875" style="30" customWidth="1"/>
    <col min="11008" max="11008" width="13" style="30" customWidth="1"/>
    <col min="11009" max="11248" width="8.88671875" style="30"/>
    <col min="11249" max="11249" width="6" style="30" customWidth="1"/>
    <col min="11250" max="11250" width="1.44140625" style="30" customWidth="1"/>
    <col min="11251" max="11251" width="39.109375" style="30" customWidth="1"/>
    <col min="11252" max="11252" width="12" style="30" customWidth="1"/>
    <col min="11253" max="11253" width="14.44140625" style="30" customWidth="1"/>
    <col min="11254" max="11254" width="11.88671875" style="30" customWidth="1"/>
    <col min="11255" max="11255" width="14.109375" style="30" customWidth="1"/>
    <col min="11256" max="11256" width="13.88671875" style="30" customWidth="1"/>
    <col min="11257" max="11258" width="12.77734375" style="30" customWidth="1"/>
    <col min="11259" max="11259" width="13.5546875" style="30" customWidth="1"/>
    <col min="11260" max="11260" width="15.33203125" style="30" customWidth="1"/>
    <col min="11261" max="11261" width="12.77734375" style="30" customWidth="1"/>
    <col min="11262" max="11262" width="13.88671875" style="30" customWidth="1"/>
    <col min="11263" max="11263" width="1.88671875" style="30" customWidth="1"/>
    <col min="11264" max="11264" width="13" style="30" customWidth="1"/>
    <col min="11265" max="11504" width="8.88671875" style="30"/>
    <col min="11505" max="11505" width="6" style="30" customWidth="1"/>
    <col min="11506" max="11506" width="1.44140625" style="30" customWidth="1"/>
    <col min="11507" max="11507" width="39.109375" style="30" customWidth="1"/>
    <col min="11508" max="11508" width="12" style="30" customWidth="1"/>
    <col min="11509" max="11509" width="14.44140625" style="30" customWidth="1"/>
    <col min="11510" max="11510" width="11.88671875" style="30" customWidth="1"/>
    <col min="11511" max="11511" width="14.109375" style="30" customWidth="1"/>
    <col min="11512" max="11512" width="13.88671875" style="30" customWidth="1"/>
    <col min="11513" max="11514" width="12.77734375" style="30" customWidth="1"/>
    <col min="11515" max="11515" width="13.5546875" style="30" customWidth="1"/>
    <col min="11516" max="11516" width="15.33203125" style="30" customWidth="1"/>
    <col min="11517" max="11517" width="12.77734375" style="30" customWidth="1"/>
    <col min="11518" max="11518" width="13.88671875" style="30" customWidth="1"/>
    <col min="11519" max="11519" width="1.88671875" style="30" customWidth="1"/>
    <col min="11520" max="11520" width="13" style="30" customWidth="1"/>
    <col min="11521" max="11760" width="8.88671875" style="30"/>
    <col min="11761" max="11761" width="6" style="30" customWidth="1"/>
    <col min="11762" max="11762" width="1.44140625" style="30" customWidth="1"/>
    <col min="11763" max="11763" width="39.109375" style="30" customWidth="1"/>
    <col min="11764" max="11764" width="12" style="30" customWidth="1"/>
    <col min="11765" max="11765" width="14.44140625" style="30" customWidth="1"/>
    <col min="11766" max="11766" width="11.88671875" style="30" customWidth="1"/>
    <col min="11767" max="11767" width="14.109375" style="30" customWidth="1"/>
    <col min="11768" max="11768" width="13.88671875" style="30" customWidth="1"/>
    <col min="11769" max="11770" width="12.77734375" style="30" customWidth="1"/>
    <col min="11771" max="11771" width="13.5546875" style="30" customWidth="1"/>
    <col min="11772" max="11772" width="15.33203125" style="30" customWidth="1"/>
    <col min="11773" max="11773" width="12.77734375" style="30" customWidth="1"/>
    <col min="11774" max="11774" width="13.88671875" style="30" customWidth="1"/>
    <col min="11775" max="11775" width="1.88671875" style="30" customWidth="1"/>
    <col min="11776" max="11776" width="13" style="30" customWidth="1"/>
    <col min="11777" max="12016" width="8.88671875" style="30"/>
    <col min="12017" max="12017" width="6" style="30" customWidth="1"/>
    <col min="12018" max="12018" width="1.44140625" style="30" customWidth="1"/>
    <col min="12019" max="12019" width="39.109375" style="30" customWidth="1"/>
    <col min="12020" max="12020" width="12" style="30" customWidth="1"/>
    <col min="12021" max="12021" width="14.44140625" style="30" customWidth="1"/>
    <col min="12022" max="12022" width="11.88671875" style="30" customWidth="1"/>
    <col min="12023" max="12023" width="14.109375" style="30" customWidth="1"/>
    <col min="12024" max="12024" width="13.88671875" style="30" customWidth="1"/>
    <col min="12025" max="12026" width="12.77734375" style="30" customWidth="1"/>
    <col min="12027" max="12027" width="13.5546875" style="30" customWidth="1"/>
    <col min="12028" max="12028" width="15.33203125" style="30" customWidth="1"/>
    <col min="12029" max="12029" width="12.77734375" style="30" customWidth="1"/>
    <col min="12030" max="12030" width="13.88671875" style="30" customWidth="1"/>
    <col min="12031" max="12031" width="1.88671875" style="30" customWidth="1"/>
    <col min="12032" max="12032" width="13" style="30" customWidth="1"/>
    <col min="12033" max="12272" width="8.88671875" style="30"/>
    <col min="12273" max="12273" width="6" style="30" customWidth="1"/>
    <col min="12274" max="12274" width="1.44140625" style="30" customWidth="1"/>
    <col min="12275" max="12275" width="39.109375" style="30" customWidth="1"/>
    <col min="12276" max="12276" width="12" style="30" customWidth="1"/>
    <col min="12277" max="12277" width="14.44140625" style="30" customWidth="1"/>
    <col min="12278" max="12278" width="11.88671875" style="30" customWidth="1"/>
    <col min="12279" max="12279" width="14.109375" style="30" customWidth="1"/>
    <col min="12280" max="12280" width="13.88671875" style="30" customWidth="1"/>
    <col min="12281" max="12282" width="12.77734375" style="30" customWidth="1"/>
    <col min="12283" max="12283" width="13.5546875" style="30" customWidth="1"/>
    <col min="12284" max="12284" width="15.33203125" style="30" customWidth="1"/>
    <col min="12285" max="12285" width="12.77734375" style="30" customWidth="1"/>
    <col min="12286" max="12286" width="13.88671875" style="30" customWidth="1"/>
    <col min="12287" max="12287" width="1.88671875" style="30" customWidth="1"/>
    <col min="12288" max="12288" width="13" style="30" customWidth="1"/>
    <col min="12289" max="12528" width="8.88671875" style="30"/>
    <col min="12529" max="12529" width="6" style="30" customWidth="1"/>
    <col min="12530" max="12530" width="1.44140625" style="30" customWidth="1"/>
    <col min="12531" max="12531" width="39.109375" style="30" customWidth="1"/>
    <col min="12532" max="12532" width="12" style="30" customWidth="1"/>
    <col min="12533" max="12533" width="14.44140625" style="30" customWidth="1"/>
    <col min="12534" max="12534" width="11.88671875" style="30" customWidth="1"/>
    <col min="12535" max="12535" width="14.109375" style="30" customWidth="1"/>
    <col min="12536" max="12536" width="13.88671875" style="30" customWidth="1"/>
    <col min="12537" max="12538" width="12.77734375" style="30" customWidth="1"/>
    <col min="12539" max="12539" width="13.5546875" style="30" customWidth="1"/>
    <col min="12540" max="12540" width="15.33203125" style="30" customWidth="1"/>
    <col min="12541" max="12541" width="12.77734375" style="30" customWidth="1"/>
    <col min="12542" max="12542" width="13.88671875" style="30" customWidth="1"/>
    <col min="12543" max="12543" width="1.88671875" style="30" customWidth="1"/>
    <col min="12544" max="12544" width="13" style="30" customWidth="1"/>
    <col min="12545" max="12784" width="8.88671875" style="30"/>
    <col min="12785" max="12785" width="6" style="30" customWidth="1"/>
    <col min="12786" max="12786" width="1.44140625" style="30" customWidth="1"/>
    <col min="12787" max="12787" width="39.109375" style="30" customWidth="1"/>
    <col min="12788" max="12788" width="12" style="30" customWidth="1"/>
    <col min="12789" max="12789" width="14.44140625" style="30" customWidth="1"/>
    <col min="12790" max="12790" width="11.88671875" style="30" customWidth="1"/>
    <col min="12791" max="12791" width="14.109375" style="30" customWidth="1"/>
    <col min="12792" max="12792" width="13.88671875" style="30" customWidth="1"/>
    <col min="12793" max="12794" width="12.77734375" style="30" customWidth="1"/>
    <col min="12795" max="12795" width="13.5546875" style="30" customWidth="1"/>
    <col min="12796" max="12796" width="15.33203125" style="30" customWidth="1"/>
    <col min="12797" max="12797" width="12.77734375" style="30" customWidth="1"/>
    <col min="12798" max="12798" width="13.88671875" style="30" customWidth="1"/>
    <col min="12799" max="12799" width="1.88671875" style="30" customWidth="1"/>
    <col min="12800" max="12800" width="13" style="30" customWidth="1"/>
    <col min="12801" max="13040" width="8.88671875" style="30"/>
    <col min="13041" max="13041" width="6" style="30" customWidth="1"/>
    <col min="13042" max="13042" width="1.44140625" style="30" customWidth="1"/>
    <col min="13043" max="13043" width="39.109375" style="30" customWidth="1"/>
    <col min="13044" max="13044" width="12" style="30" customWidth="1"/>
    <col min="13045" max="13045" width="14.44140625" style="30" customWidth="1"/>
    <col min="13046" max="13046" width="11.88671875" style="30" customWidth="1"/>
    <col min="13047" max="13047" width="14.109375" style="30" customWidth="1"/>
    <col min="13048" max="13048" width="13.88671875" style="30" customWidth="1"/>
    <col min="13049" max="13050" width="12.77734375" style="30" customWidth="1"/>
    <col min="13051" max="13051" width="13.5546875" style="30" customWidth="1"/>
    <col min="13052" max="13052" width="15.33203125" style="30" customWidth="1"/>
    <col min="13053" max="13053" width="12.77734375" style="30" customWidth="1"/>
    <col min="13054" max="13054" width="13.88671875" style="30" customWidth="1"/>
    <col min="13055" max="13055" width="1.88671875" style="30" customWidth="1"/>
    <col min="13056" max="13056" width="13" style="30" customWidth="1"/>
    <col min="13057" max="13296" width="8.88671875" style="30"/>
    <col min="13297" max="13297" width="6" style="30" customWidth="1"/>
    <col min="13298" max="13298" width="1.44140625" style="30" customWidth="1"/>
    <col min="13299" max="13299" width="39.109375" style="30" customWidth="1"/>
    <col min="13300" max="13300" width="12" style="30" customWidth="1"/>
    <col min="13301" max="13301" width="14.44140625" style="30" customWidth="1"/>
    <col min="13302" max="13302" width="11.88671875" style="30" customWidth="1"/>
    <col min="13303" max="13303" width="14.109375" style="30" customWidth="1"/>
    <col min="13304" max="13304" width="13.88671875" style="30" customWidth="1"/>
    <col min="13305" max="13306" width="12.77734375" style="30" customWidth="1"/>
    <col min="13307" max="13307" width="13.5546875" style="30" customWidth="1"/>
    <col min="13308" max="13308" width="15.33203125" style="30" customWidth="1"/>
    <col min="13309" max="13309" width="12.77734375" style="30" customWidth="1"/>
    <col min="13310" max="13310" width="13.88671875" style="30" customWidth="1"/>
    <col min="13311" max="13311" width="1.88671875" style="30" customWidth="1"/>
    <col min="13312" max="13312" width="13" style="30" customWidth="1"/>
    <col min="13313" max="13552" width="8.88671875" style="30"/>
    <col min="13553" max="13553" width="6" style="30" customWidth="1"/>
    <col min="13554" max="13554" width="1.44140625" style="30" customWidth="1"/>
    <col min="13555" max="13555" width="39.109375" style="30" customWidth="1"/>
    <col min="13556" max="13556" width="12" style="30" customWidth="1"/>
    <col min="13557" max="13557" width="14.44140625" style="30" customWidth="1"/>
    <col min="13558" max="13558" width="11.88671875" style="30" customWidth="1"/>
    <col min="13559" max="13559" width="14.109375" style="30" customWidth="1"/>
    <col min="13560" max="13560" width="13.88671875" style="30" customWidth="1"/>
    <col min="13561" max="13562" width="12.77734375" style="30" customWidth="1"/>
    <col min="13563" max="13563" width="13.5546875" style="30" customWidth="1"/>
    <col min="13564" max="13564" width="15.33203125" style="30" customWidth="1"/>
    <col min="13565" max="13565" width="12.77734375" style="30" customWidth="1"/>
    <col min="13566" max="13566" width="13.88671875" style="30" customWidth="1"/>
    <col min="13567" max="13567" width="1.88671875" style="30" customWidth="1"/>
    <col min="13568" max="13568" width="13" style="30" customWidth="1"/>
    <col min="13569" max="13808" width="8.88671875" style="30"/>
    <col min="13809" max="13809" width="6" style="30" customWidth="1"/>
    <col min="13810" max="13810" width="1.44140625" style="30" customWidth="1"/>
    <col min="13811" max="13811" width="39.109375" style="30" customWidth="1"/>
    <col min="13812" max="13812" width="12" style="30" customWidth="1"/>
    <col min="13813" max="13813" width="14.44140625" style="30" customWidth="1"/>
    <col min="13814" max="13814" width="11.88671875" style="30" customWidth="1"/>
    <col min="13815" max="13815" width="14.109375" style="30" customWidth="1"/>
    <col min="13816" max="13816" width="13.88671875" style="30" customWidth="1"/>
    <col min="13817" max="13818" width="12.77734375" style="30" customWidth="1"/>
    <col min="13819" max="13819" width="13.5546875" style="30" customWidth="1"/>
    <col min="13820" max="13820" width="15.33203125" style="30" customWidth="1"/>
    <col min="13821" max="13821" width="12.77734375" style="30" customWidth="1"/>
    <col min="13822" max="13822" width="13.88671875" style="30" customWidth="1"/>
    <col min="13823" max="13823" width="1.88671875" style="30" customWidth="1"/>
    <col min="13824" max="13824" width="13" style="30" customWidth="1"/>
    <col min="13825" max="14064" width="8.88671875" style="30"/>
    <col min="14065" max="14065" width="6" style="30" customWidth="1"/>
    <col min="14066" max="14066" width="1.44140625" style="30" customWidth="1"/>
    <col min="14067" max="14067" width="39.109375" style="30" customWidth="1"/>
    <col min="14068" max="14068" width="12" style="30" customWidth="1"/>
    <col min="14069" max="14069" width="14.44140625" style="30" customWidth="1"/>
    <col min="14070" max="14070" width="11.88671875" style="30" customWidth="1"/>
    <col min="14071" max="14071" width="14.109375" style="30" customWidth="1"/>
    <col min="14072" max="14072" width="13.88671875" style="30" customWidth="1"/>
    <col min="14073" max="14074" width="12.77734375" style="30" customWidth="1"/>
    <col min="14075" max="14075" width="13.5546875" style="30" customWidth="1"/>
    <col min="14076" max="14076" width="15.33203125" style="30" customWidth="1"/>
    <col min="14077" max="14077" width="12.77734375" style="30" customWidth="1"/>
    <col min="14078" max="14078" width="13.88671875" style="30" customWidth="1"/>
    <col min="14079" max="14079" width="1.88671875" style="30" customWidth="1"/>
    <col min="14080" max="14080" width="13" style="30" customWidth="1"/>
    <col min="14081" max="14320" width="8.88671875" style="30"/>
    <col min="14321" max="14321" width="6" style="30" customWidth="1"/>
    <col min="14322" max="14322" width="1.44140625" style="30" customWidth="1"/>
    <col min="14323" max="14323" width="39.109375" style="30" customWidth="1"/>
    <col min="14324" max="14324" width="12" style="30" customWidth="1"/>
    <col min="14325" max="14325" width="14.44140625" style="30" customWidth="1"/>
    <col min="14326" max="14326" width="11.88671875" style="30" customWidth="1"/>
    <col min="14327" max="14327" width="14.109375" style="30" customWidth="1"/>
    <col min="14328" max="14328" width="13.88671875" style="30" customWidth="1"/>
    <col min="14329" max="14330" width="12.77734375" style="30" customWidth="1"/>
    <col min="14331" max="14331" width="13.5546875" style="30" customWidth="1"/>
    <col min="14332" max="14332" width="15.33203125" style="30" customWidth="1"/>
    <col min="14333" max="14333" width="12.77734375" style="30" customWidth="1"/>
    <col min="14334" max="14334" width="13.88671875" style="30" customWidth="1"/>
    <col min="14335" max="14335" width="1.88671875" style="30" customWidth="1"/>
    <col min="14336" max="14336" width="13" style="30" customWidth="1"/>
    <col min="14337" max="14576" width="8.88671875" style="30"/>
    <col min="14577" max="14577" width="6" style="30" customWidth="1"/>
    <col min="14578" max="14578" width="1.44140625" style="30" customWidth="1"/>
    <col min="14579" max="14579" width="39.109375" style="30" customWidth="1"/>
    <col min="14580" max="14580" width="12" style="30" customWidth="1"/>
    <col min="14581" max="14581" width="14.44140625" style="30" customWidth="1"/>
    <col min="14582" max="14582" width="11.88671875" style="30" customWidth="1"/>
    <col min="14583" max="14583" width="14.109375" style="30" customWidth="1"/>
    <col min="14584" max="14584" width="13.88671875" style="30" customWidth="1"/>
    <col min="14585" max="14586" width="12.77734375" style="30" customWidth="1"/>
    <col min="14587" max="14587" width="13.5546875" style="30" customWidth="1"/>
    <col min="14588" max="14588" width="15.33203125" style="30" customWidth="1"/>
    <col min="14589" max="14589" width="12.77734375" style="30" customWidth="1"/>
    <col min="14590" max="14590" width="13.88671875" style="30" customWidth="1"/>
    <col min="14591" max="14591" width="1.88671875" style="30" customWidth="1"/>
    <col min="14592" max="14592" width="13" style="30" customWidth="1"/>
    <col min="14593" max="14832" width="8.88671875" style="30"/>
    <col min="14833" max="14833" width="6" style="30" customWidth="1"/>
    <col min="14834" max="14834" width="1.44140625" style="30" customWidth="1"/>
    <col min="14835" max="14835" width="39.109375" style="30" customWidth="1"/>
    <col min="14836" max="14836" width="12" style="30" customWidth="1"/>
    <col min="14837" max="14837" width="14.44140625" style="30" customWidth="1"/>
    <col min="14838" max="14838" width="11.88671875" style="30" customWidth="1"/>
    <col min="14839" max="14839" width="14.109375" style="30" customWidth="1"/>
    <col min="14840" max="14840" width="13.88671875" style="30" customWidth="1"/>
    <col min="14841" max="14842" width="12.77734375" style="30" customWidth="1"/>
    <col min="14843" max="14843" width="13.5546875" style="30" customWidth="1"/>
    <col min="14844" max="14844" width="15.33203125" style="30" customWidth="1"/>
    <col min="14845" max="14845" width="12.77734375" style="30" customWidth="1"/>
    <col min="14846" max="14846" width="13.88671875" style="30" customWidth="1"/>
    <col min="14847" max="14847" width="1.88671875" style="30" customWidth="1"/>
    <col min="14848" max="14848" width="13" style="30" customWidth="1"/>
    <col min="14849" max="15088" width="8.88671875" style="30"/>
    <col min="15089" max="15089" width="6" style="30" customWidth="1"/>
    <col min="15090" max="15090" width="1.44140625" style="30" customWidth="1"/>
    <col min="15091" max="15091" width="39.109375" style="30" customWidth="1"/>
    <col min="15092" max="15092" width="12" style="30" customWidth="1"/>
    <col min="15093" max="15093" width="14.44140625" style="30" customWidth="1"/>
    <col min="15094" max="15094" width="11.88671875" style="30" customWidth="1"/>
    <col min="15095" max="15095" width="14.109375" style="30" customWidth="1"/>
    <col min="15096" max="15096" width="13.88671875" style="30" customWidth="1"/>
    <col min="15097" max="15098" width="12.77734375" style="30" customWidth="1"/>
    <col min="15099" max="15099" width="13.5546875" style="30" customWidth="1"/>
    <col min="15100" max="15100" width="15.33203125" style="30" customWidth="1"/>
    <col min="15101" max="15101" width="12.77734375" style="30" customWidth="1"/>
    <col min="15102" max="15102" width="13.88671875" style="30" customWidth="1"/>
    <col min="15103" max="15103" width="1.88671875" style="30" customWidth="1"/>
    <col min="15104" max="15104" width="13" style="30" customWidth="1"/>
    <col min="15105" max="15344" width="8.88671875" style="30"/>
    <col min="15345" max="15345" width="6" style="30" customWidth="1"/>
    <col min="15346" max="15346" width="1.44140625" style="30" customWidth="1"/>
    <col min="15347" max="15347" width="39.109375" style="30" customWidth="1"/>
    <col min="15348" max="15348" width="12" style="30" customWidth="1"/>
    <col min="15349" max="15349" width="14.44140625" style="30" customWidth="1"/>
    <col min="15350" max="15350" width="11.88671875" style="30" customWidth="1"/>
    <col min="15351" max="15351" width="14.109375" style="30" customWidth="1"/>
    <col min="15352" max="15352" width="13.88671875" style="30" customWidth="1"/>
    <col min="15353" max="15354" width="12.77734375" style="30" customWidth="1"/>
    <col min="15355" max="15355" width="13.5546875" style="30" customWidth="1"/>
    <col min="15356" max="15356" width="15.33203125" style="30" customWidth="1"/>
    <col min="15357" max="15357" width="12.77734375" style="30" customWidth="1"/>
    <col min="15358" max="15358" width="13.88671875" style="30" customWidth="1"/>
    <col min="15359" max="15359" width="1.88671875" style="30" customWidth="1"/>
    <col min="15360" max="15360" width="13" style="30" customWidth="1"/>
    <col min="15361" max="15600" width="8.88671875" style="30"/>
    <col min="15601" max="15601" width="6" style="30" customWidth="1"/>
    <col min="15602" max="15602" width="1.44140625" style="30" customWidth="1"/>
    <col min="15603" max="15603" width="39.109375" style="30" customWidth="1"/>
    <col min="15604" max="15604" width="12" style="30" customWidth="1"/>
    <col min="15605" max="15605" width="14.44140625" style="30" customWidth="1"/>
    <col min="15606" max="15606" width="11.88671875" style="30" customWidth="1"/>
    <col min="15607" max="15607" width="14.109375" style="30" customWidth="1"/>
    <col min="15608" max="15608" width="13.88671875" style="30" customWidth="1"/>
    <col min="15609" max="15610" width="12.77734375" style="30" customWidth="1"/>
    <col min="15611" max="15611" width="13.5546875" style="30" customWidth="1"/>
    <col min="15612" max="15612" width="15.33203125" style="30" customWidth="1"/>
    <col min="15613" max="15613" width="12.77734375" style="30" customWidth="1"/>
    <col min="15614" max="15614" width="13.88671875" style="30" customWidth="1"/>
    <col min="15615" max="15615" width="1.88671875" style="30" customWidth="1"/>
    <col min="15616" max="15616" width="13" style="30" customWidth="1"/>
    <col min="15617" max="15856" width="8.88671875" style="30"/>
    <col min="15857" max="15857" width="6" style="30" customWidth="1"/>
    <col min="15858" max="15858" width="1.44140625" style="30" customWidth="1"/>
    <col min="15859" max="15859" width="39.109375" style="30" customWidth="1"/>
    <col min="15860" max="15860" width="12" style="30" customWidth="1"/>
    <col min="15861" max="15861" width="14.44140625" style="30" customWidth="1"/>
    <col min="15862" max="15862" width="11.88671875" style="30" customWidth="1"/>
    <col min="15863" max="15863" width="14.109375" style="30" customWidth="1"/>
    <col min="15864" max="15864" width="13.88671875" style="30" customWidth="1"/>
    <col min="15865" max="15866" width="12.77734375" style="30" customWidth="1"/>
    <col min="15867" max="15867" width="13.5546875" style="30" customWidth="1"/>
    <col min="15868" max="15868" width="15.33203125" style="30" customWidth="1"/>
    <col min="15869" max="15869" width="12.77734375" style="30" customWidth="1"/>
    <col min="15870" max="15870" width="13.88671875" style="30" customWidth="1"/>
    <col min="15871" max="15871" width="1.88671875" style="30" customWidth="1"/>
    <col min="15872" max="15872" width="13" style="30" customWidth="1"/>
    <col min="15873" max="16112" width="8.88671875" style="30"/>
    <col min="16113" max="16113" width="6" style="30" customWidth="1"/>
    <col min="16114" max="16114" width="1.44140625" style="30" customWidth="1"/>
    <col min="16115" max="16115" width="39.109375" style="30" customWidth="1"/>
    <col min="16116" max="16116" width="12" style="30" customWidth="1"/>
    <col min="16117" max="16117" width="14.44140625" style="30" customWidth="1"/>
    <col min="16118" max="16118" width="11.88671875" style="30" customWidth="1"/>
    <col min="16119" max="16119" width="14.109375" style="30" customWidth="1"/>
    <col min="16120" max="16120" width="13.88671875" style="30" customWidth="1"/>
    <col min="16121" max="16122" width="12.77734375" style="30" customWidth="1"/>
    <col min="16123" max="16123" width="13.5546875" style="30" customWidth="1"/>
    <col min="16124" max="16124" width="15.33203125" style="30" customWidth="1"/>
    <col min="16125" max="16125" width="12.77734375" style="30" customWidth="1"/>
    <col min="16126" max="16126" width="13.88671875" style="30" customWidth="1"/>
    <col min="16127" max="16127" width="1.88671875" style="30" customWidth="1"/>
    <col min="16128" max="16128" width="13" style="30" customWidth="1"/>
    <col min="16129" max="16368" width="8.88671875" style="30"/>
    <col min="16369" max="16384" width="8.88671875" style="30" customWidth="1"/>
  </cols>
  <sheetData>
    <row r="1" spans="1:49">
      <c r="I1" s="3" t="str">
        <f>EKPC!J1</f>
        <v>Attachment H-24A</v>
      </c>
    </row>
    <row r="2" spans="1:49">
      <c r="I2" s="3" t="s">
        <v>271</v>
      </c>
    </row>
    <row r="3" spans="1:49">
      <c r="I3" s="167" t="s">
        <v>151</v>
      </c>
    </row>
    <row r="4" spans="1:49">
      <c r="I4" s="31" t="str">
        <f>EKPC!J7</f>
        <v>For the 12 months ended 12/31/2015</v>
      </c>
    </row>
    <row r="5" spans="1:49">
      <c r="C5" s="14"/>
    </row>
    <row r="6" spans="1:49">
      <c r="A6" s="84" t="s">
        <v>212</v>
      </c>
      <c r="B6" s="94"/>
      <c r="C6" s="94"/>
      <c r="D6" s="84"/>
      <c r="E6" s="84"/>
      <c r="F6" s="84"/>
      <c r="G6" s="94"/>
      <c r="H6" s="84"/>
      <c r="I6" s="84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33"/>
      <c r="AK6" s="33"/>
      <c r="AL6" s="33"/>
      <c r="AM6" s="33"/>
      <c r="AN6" s="33"/>
      <c r="AO6" s="33"/>
      <c r="AP6" s="33"/>
      <c r="AQ6" s="33"/>
      <c r="AR6" s="33"/>
      <c r="AS6" s="33"/>
      <c r="AT6" s="33"/>
      <c r="AU6" s="33"/>
      <c r="AV6" s="33"/>
      <c r="AW6" s="33"/>
    </row>
    <row r="7" spans="1:49">
      <c r="A7" s="85" t="str">
        <f>CONCATENATE("Utilizing ",EKPC!J1)</f>
        <v>Utilizing Attachment H-24A</v>
      </c>
      <c r="B7" s="94"/>
      <c r="C7" s="94"/>
      <c r="D7" s="84"/>
      <c r="E7" s="84"/>
      <c r="F7" s="84"/>
      <c r="G7" s="94"/>
      <c r="H7" s="84"/>
      <c r="I7" s="84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  <c r="W7" s="33"/>
      <c r="X7" s="33"/>
      <c r="Y7" s="33"/>
      <c r="Z7" s="33"/>
      <c r="AA7" s="33"/>
      <c r="AB7" s="33"/>
      <c r="AC7" s="33"/>
      <c r="AD7" s="33"/>
      <c r="AE7" s="33"/>
      <c r="AF7" s="33"/>
      <c r="AG7" s="33"/>
      <c r="AH7" s="33"/>
      <c r="AI7" s="33"/>
      <c r="AJ7" s="33"/>
      <c r="AK7" s="33"/>
      <c r="AL7" s="33"/>
      <c r="AM7" s="33"/>
      <c r="AN7" s="33"/>
      <c r="AO7" s="33"/>
      <c r="AP7" s="33"/>
      <c r="AQ7" s="33"/>
      <c r="AR7" s="33"/>
      <c r="AS7" s="33"/>
      <c r="AT7" s="33"/>
      <c r="AU7" s="33"/>
      <c r="AV7" s="33"/>
      <c r="AW7" s="33"/>
    </row>
    <row r="8" spans="1:49">
      <c r="A8" s="86"/>
      <c r="B8" s="94"/>
      <c r="C8" s="94"/>
      <c r="D8" s="86"/>
      <c r="E8" s="86"/>
      <c r="F8" s="86"/>
      <c r="G8" s="94"/>
      <c r="H8" s="86"/>
      <c r="I8" s="86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3"/>
      <c r="AV8" s="33"/>
      <c r="AW8" s="33"/>
    </row>
    <row r="9" spans="1:49">
      <c r="A9" s="776" t="str">
        <f>EKPC!A11</f>
        <v>East Kentucky Power Cooperative, Inc.</v>
      </c>
      <c r="B9" s="776"/>
      <c r="C9" s="776"/>
      <c r="D9" s="776"/>
      <c r="E9" s="776"/>
      <c r="F9" s="776"/>
      <c r="G9" s="776"/>
      <c r="H9" s="776"/>
      <c r="I9" s="776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3"/>
      <c r="AO9" s="33"/>
      <c r="AP9" s="33"/>
      <c r="AQ9" s="33"/>
      <c r="AR9" s="33"/>
      <c r="AS9" s="33"/>
      <c r="AT9" s="33"/>
      <c r="AU9" s="33"/>
      <c r="AV9" s="33"/>
      <c r="AW9" s="33"/>
    </row>
    <row r="10" spans="1:49">
      <c r="A10" s="86" t="s">
        <v>247</v>
      </c>
      <c r="B10" s="94"/>
      <c r="C10" s="94"/>
      <c r="D10" s="86"/>
      <c r="E10" s="86"/>
      <c r="F10" s="86"/>
      <c r="G10" s="94"/>
      <c r="H10" s="96"/>
      <c r="I10" s="86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  <c r="AF10" s="33"/>
      <c r="AG10" s="33"/>
      <c r="AH10" s="33"/>
      <c r="AI10" s="33"/>
      <c r="AJ10" s="33"/>
      <c r="AK10" s="33"/>
      <c r="AL10" s="33"/>
      <c r="AM10" s="33"/>
      <c r="AN10" s="33"/>
      <c r="AO10" s="33"/>
      <c r="AP10" s="33"/>
      <c r="AQ10" s="33"/>
      <c r="AR10" s="33"/>
      <c r="AS10" s="33"/>
      <c r="AT10" s="33"/>
      <c r="AU10" s="33"/>
      <c r="AV10" s="33"/>
      <c r="AW10" s="33"/>
    </row>
    <row r="11" spans="1:49">
      <c r="A11" s="166"/>
      <c r="B11" s="94"/>
      <c r="C11" s="86"/>
      <c r="D11" s="86"/>
      <c r="E11" s="86"/>
      <c r="F11" s="86"/>
      <c r="G11" s="96"/>
      <c r="H11" s="86"/>
      <c r="I11" s="86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F11" s="33"/>
      <c r="AG11" s="33"/>
      <c r="AH11" s="33"/>
      <c r="AI11" s="33"/>
      <c r="AJ11" s="33"/>
      <c r="AK11" s="33"/>
      <c r="AL11" s="33"/>
      <c r="AM11" s="33"/>
      <c r="AN11" s="33"/>
      <c r="AO11" s="33"/>
      <c r="AP11" s="33"/>
      <c r="AQ11" s="33"/>
      <c r="AR11" s="33"/>
      <c r="AS11" s="33"/>
      <c r="AT11" s="33"/>
      <c r="AU11" s="33"/>
      <c r="AV11" s="33"/>
      <c r="AW11" s="33"/>
    </row>
    <row r="12" spans="1:49">
      <c r="A12" s="86" t="str">
        <f>CONCATENATE("To be completed in conjunction with ",EKPC!J1)</f>
        <v>To be completed in conjunction with Attachment H-24A</v>
      </c>
      <c r="B12" s="94"/>
      <c r="C12" s="94"/>
      <c r="D12" s="86"/>
      <c r="E12" s="86"/>
      <c r="F12" s="86"/>
      <c r="G12" s="96"/>
      <c r="H12" s="86"/>
      <c r="I12" s="86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33"/>
      <c r="AJ12" s="33"/>
      <c r="AK12" s="33"/>
      <c r="AL12" s="33"/>
      <c r="AM12" s="33"/>
      <c r="AN12" s="33"/>
      <c r="AO12" s="33"/>
      <c r="AP12" s="33"/>
      <c r="AQ12" s="33"/>
      <c r="AR12" s="33"/>
      <c r="AS12" s="33"/>
      <c r="AT12" s="33"/>
      <c r="AU12" s="33"/>
      <c r="AV12" s="33"/>
      <c r="AW12" s="33"/>
    </row>
    <row r="13" spans="1:49">
      <c r="A13" s="34"/>
      <c r="C13" s="12"/>
      <c r="D13" s="12"/>
      <c r="E13" s="12"/>
      <c r="F13" s="12"/>
      <c r="G13" s="35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  <c r="AL13" s="33"/>
      <c r="AM13" s="33"/>
      <c r="AN13" s="33"/>
      <c r="AO13" s="33"/>
      <c r="AP13" s="33"/>
      <c r="AQ13" s="33"/>
      <c r="AR13" s="33"/>
      <c r="AS13" s="33"/>
      <c r="AT13" s="33"/>
      <c r="AU13" s="33"/>
      <c r="AV13" s="33"/>
      <c r="AW13" s="33"/>
    </row>
    <row r="14" spans="1:49">
      <c r="C14" s="11" t="s">
        <v>16</v>
      </c>
      <c r="D14" s="11"/>
      <c r="E14" s="11" t="s">
        <v>17</v>
      </c>
      <c r="F14" s="11"/>
      <c r="G14" s="11" t="s">
        <v>18</v>
      </c>
      <c r="I14" s="36" t="s">
        <v>19</v>
      </c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3"/>
      <c r="AL14" s="33"/>
      <c r="AM14" s="33"/>
      <c r="AN14" s="33"/>
      <c r="AO14" s="33"/>
      <c r="AP14" s="33"/>
      <c r="AQ14" s="33"/>
      <c r="AR14" s="33"/>
      <c r="AS14" s="33"/>
      <c r="AT14" s="33"/>
      <c r="AU14" s="33"/>
      <c r="AV14" s="33"/>
      <c r="AW14" s="33"/>
    </row>
    <row r="15" spans="1:49">
      <c r="C15" s="10"/>
      <c r="D15" s="10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</row>
    <row r="16" spans="1:49">
      <c r="A16" s="142" t="s">
        <v>6</v>
      </c>
      <c r="B16" s="33"/>
      <c r="C16" s="10"/>
      <c r="D16" s="10"/>
      <c r="E16" s="43" t="str">
        <f>I1</f>
        <v>Attachment H-24A</v>
      </c>
      <c r="F16" s="43"/>
      <c r="G16" s="13"/>
      <c r="H16" s="33"/>
      <c r="I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3"/>
    </row>
    <row r="17" spans="1:49">
      <c r="A17" s="162" t="s">
        <v>8</v>
      </c>
      <c r="B17" s="163"/>
      <c r="C17" s="164"/>
      <c r="D17" s="164"/>
      <c r="E17" s="165" t="s">
        <v>23</v>
      </c>
      <c r="F17" s="165"/>
      <c r="G17" s="162" t="s">
        <v>22</v>
      </c>
      <c r="H17" s="163"/>
      <c r="I17" s="162" t="s">
        <v>11</v>
      </c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</row>
    <row r="18" spans="1:49" ht="15.75">
      <c r="A18" s="41"/>
      <c r="C18" s="10" t="s">
        <v>268</v>
      </c>
      <c r="D18" s="10"/>
      <c r="E18" s="13"/>
      <c r="F18" s="13"/>
      <c r="G18" s="13"/>
      <c r="I18" s="1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33"/>
      <c r="AS18" s="33"/>
      <c r="AT18" s="33"/>
      <c r="AU18" s="33"/>
      <c r="AV18" s="33"/>
      <c r="AW18" s="33"/>
    </row>
    <row r="19" spans="1:49" ht="15.75">
      <c r="A19" s="42">
        <v>1</v>
      </c>
      <c r="C19" s="10" t="s">
        <v>171</v>
      </c>
      <c r="D19" s="10"/>
      <c r="E19" s="43" t="str">
        <f>CONCATENATE(EKPC!J1,", p 2, line 2 col 5 (Note A)")</f>
        <v>Attachment H-24A, p 2, line 2 col 5 (Note A)</v>
      </c>
      <c r="F19" s="43"/>
      <c r="G19" s="422">
        <f>EKPC!J76</f>
        <v>580328466</v>
      </c>
      <c r="J19" s="545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33"/>
      <c r="AM19" s="33"/>
      <c r="AN19" s="33"/>
      <c r="AO19" s="33"/>
      <c r="AP19" s="33"/>
      <c r="AQ19" s="33"/>
      <c r="AR19" s="33"/>
      <c r="AS19" s="33"/>
      <c r="AT19" s="33"/>
      <c r="AU19" s="33"/>
      <c r="AV19" s="33"/>
      <c r="AW19" s="33"/>
    </row>
    <row r="20" spans="1:49">
      <c r="A20" s="42">
        <v>2</v>
      </c>
      <c r="C20" s="10" t="s">
        <v>172</v>
      </c>
      <c r="D20" s="10"/>
      <c r="E20" s="388" t="str">
        <f>CONCATENATE(EKPC!J1,", p 2, line 14 col 5 (Note B)")</f>
        <v>Attachment H-24A, p 2, line 14 col 5 (Note B)</v>
      </c>
      <c r="F20" s="43"/>
      <c r="G20" s="422">
        <f>EKPC!J92</f>
        <v>407835165</v>
      </c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  <c r="AQ20" s="33"/>
      <c r="AR20" s="33"/>
      <c r="AS20" s="33"/>
      <c r="AT20" s="33"/>
      <c r="AU20" s="33"/>
      <c r="AV20" s="33"/>
      <c r="AW20" s="33"/>
    </row>
    <row r="21" spans="1:49">
      <c r="A21" s="42"/>
      <c r="E21" s="43"/>
      <c r="F21" s="4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</row>
    <row r="22" spans="1:49">
      <c r="A22" s="42"/>
      <c r="C22" s="10" t="s">
        <v>152</v>
      </c>
      <c r="D22" s="10"/>
      <c r="E22" s="43"/>
      <c r="F22" s="43"/>
      <c r="G22" s="13"/>
      <c r="I22" s="1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</row>
    <row r="23" spans="1:49">
      <c r="A23" s="42">
        <v>3</v>
      </c>
      <c r="C23" s="10" t="s">
        <v>173</v>
      </c>
      <c r="D23" s="10"/>
      <c r="E23" s="43" t="str">
        <f>CONCATENATE(EKPC!J1,", p 3, line 8 col 5")</f>
        <v>Attachment H-24A, p 3, line 8 col 5</v>
      </c>
      <c r="F23" s="43"/>
      <c r="G23" s="422">
        <f>EKPC!J145</f>
        <v>33167847.951666668</v>
      </c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</row>
    <row r="24" spans="1:49">
      <c r="A24" s="42">
        <v>4</v>
      </c>
      <c r="C24" s="10" t="s">
        <v>174</v>
      </c>
      <c r="D24" s="10"/>
      <c r="E24" s="43" t="s">
        <v>175</v>
      </c>
      <c r="F24" s="43"/>
      <c r="G24" s="44">
        <f>IF(G23=0,0,G23/G19)</f>
        <v>5.7153577490832011E-2</v>
      </c>
      <c r="I24" s="45">
        <f>G24</f>
        <v>5.7153577490832011E-2</v>
      </c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</row>
    <row r="25" spans="1:49">
      <c r="A25" s="42"/>
      <c r="E25" s="43"/>
      <c r="F25" s="4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3"/>
      <c r="AT25" s="33"/>
      <c r="AU25" s="33"/>
      <c r="AV25" s="33"/>
      <c r="AW25" s="33"/>
    </row>
    <row r="26" spans="1:49">
      <c r="A26" s="42"/>
      <c r="C26" s="10" t="s">
        <v>216</v>
      </c>
      <c r="D26" s="10"/>
      <c r="E26" s="15"/>
      <c r="F26" s="4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33"/>
      <c r="AL26" s="33"/>
      <c r="AM26" s="33"/>
      <c r="AN26" s="33"/>
      <c r="AO26" s="33"/>
      <c r="AP26" s="33"/>
      <c r="AQ26" s="33"/>
      <c r="AR26" s="33"/>
      <c r="AS26" s="33"/>
      <c r="AT26" s="33"/>
      <c r="AU26" s="33"/>
      <c r="AV26" s="33"/>
      <c r="AW26" s="33"/>
    </row>
    <row r="27" spans="1:49" ht="15.75">
      <c r="A27" s="53" t="s">
        <v>176</v>
      </c>
      <c r="C27" s="10" t="s">
        <v>217</v>
      </c>
      <c r="D27" s="10"/>
      <c r="E27" s="43" t="str">
        <f>CONCATENATE(EKPC!J1,", p 3, lines 10 &amp; 11, col 5 (Note H)")</f>
        <v>Attachment H-24A, p 3, lines 10 &amp; 11, col 5 (Note H)</v>
      </c>
      <c r="F27" s="43"/>
      <c r="G27" s="422">
        <f>EKPC!J149+EKPC!J150</f>
        <v>1078402</v>
      </c>
      <c r="J27" s="545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  <c r="AM27" s="33"/>
      <c r="AN27" s="33"/>
      <c r="AO27" s="33"/>
      <c r="AP27" s="33"/>
      <c r="AQ27" s="33"/>
      <c r="AR27" s="33"/>
      <c r="AS27" s="33"/>
      <c r="AT27" s="33"/>
      <c r="AU27" s="33"/>
      <c r="AV27" s="33"/>
      <c r="AW27" s="33"/>
    </row>
    <row r="28" spans="1:49">
      <c r="A28" s="53" t="s">
        <v>177</v>
      </c>
      <c r="C28" s="10" t="s">
        <v>218</v>
      </c>
      <c r="D28" s="10"/>
      <c r="E28" s="43" t="s">
        <v>179</v>
      </c>
      <c r="F28" s="43"/>
      <c r="G28" s="44">
        <f>IF(G27=0,0,G27/G19)</f>
        <v>1.8582614212138268E-3</v>
      </c>
      <c r="I28" s="45">
        <f>G28</f>
        <v>1.8582614212138268E-3</v>
      </c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33"/>
      <c r="AT28" s="33"/>
      <c r="AU28" s="33"/>
      <c r="AV28" s="33"/>
      <c r="AW28" s="33"/>
    </row>
    <row r="29" spans="1:49">
      <c r="A29" s="42"/>
      <c r="E29" s="43"/>
      <c r="F29" s="4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</row>
    <row r="30" spans="1:49">
      <c r="A30" s="48"/>
      <c r="C30" s="10" t="s">
        <v>155</v>
      </c>
      <c r="D30" s="10"/>
      <c r="E30" s="15"/>
      <c r="F30" s="15"/>
      <c r="G30" s="13"/>
      <c r="I30" s="1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</row>
    <row r="31" spans="1:49">
      <c r="A31" s="48" t="s">
        <v>180</v>
      </c>
      <c r="C31" s="10" t="s">
        <v>157</v>
      </c>
      <c r="D31" s="10"/>
      <c r="E31" s="43" t="str">
        <f>CONCATENATE(EKPC!J1,", p 3, line 20 col 5")</f>
        <v>Attachment H-24A, p 3, line 20 col 5</v>
      </c>
      <c r="F31" s="43"/>
      <c r="G31" s="422">
        <f>EKPC!J162</f>
        <v>0</v>
      </c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33"/>
      <c r="AQ31" s="33"/>
      <c r="AR31" s="33"/>
      <c r="AS31" s="33"/>
      <c r="AT31" s="33"/>
      <c r="AU31" s="33"/>
      <c r="AV31" s="33"/>
      <c r="AW31" s="33"/>
    </row>
    <row r="32" spans="1:49">
      <c r="A32" s="48" t="s">
        <v>182</v>
      </c>
      <c r="C32" s="10" t="s">
        <v>178</v>
      </c>
      <c r="D32" s="10"/>
      <c r="E32" s="43" t="s">
        <v>179</v>
      </c>
      <c r="F32" s="43"/>
      <c r="G32" s="44">
        <f>IF(G31=0,0,G31/G19)</f>
        <v>0</v>
      </c>
      <c r="I32" s="45">
        <f>G32</f>
        <v>0</v>
      </c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3"/>
      <c r="AI32" s="33"/>
      <c r="AJ32" s="33"/>
      <c r="AK32" s="33"/>
      <c r="AL32" s="33"/>
      <c r="AM32" s="33"/>
      <c r="AN32" s="33"/>
      <c r="AO32" s="33"/>
      <c r="AP32" s="33"/>
      <c r="AQ32" s="33"/>
      <c r="AR32" s="33"/>
      <c r="AS32" s="33"/>
      <c r="AT32" s="33"/>
      <c r="AU32" s="33"/>
      <c r="AV32" s="33"/>
      <c r="AW32" s="33"/>
    </row>
    <row r="33" spans="1:49">
      <c r="A33" s="48"/>
      <c r="C33" s="10"/>
      <c r="D33" s="10"/>
      <c r="E33" s="43"/>
      <c r="F33" s="43"/>
      <c r="G33" s="13"/>
      <c r="I33" s="1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3"/>
      <c r="AI33" s="33"/>
      <c r="AJ33" s="33"/>
      <c r="AK33" s="33"/>
      <c r="AL33" s="33"/>
      <c r="AM33" s="33"/>
      <c r="AN33" s="33"/>
      <c r="AO33" s="33"/>
      <c r="AP33" s="33"/>
      <c r="AQ33" s="33"/>
      <c r="AR33" s="33"/>
      <c r="AS33" s="33"/>
      <c r="AT33" s="33"/>
      <c r="AU33" s="33"/>
      <c r="AV33" s="33"/>
      <c r="AW33" s="33"/>
    </row>
    <row r="34" spans="1:49" ht="15.75">
      <c r="A34" s="49" t="s">
        <v>153</v>
      </c>
      <c r="B34" s="50"/>
      <c r="C34" s="40" t="s">
        <v>181</v>
      </c>
      <c r="D34" s="40"/>
      <c r="E34" s="39" t="s">
        <v>300</v>
      </c>
      <c r="F34" s="39"/>
      <c r="G34" s="51"/>
      <c r="I34" s="52">
        <f>I24+I28+I32</f>
        <v>5.9011838912045839E-2</v>
      </c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33"/>
      <c r="AM34" s="33"/>
      <c r="AN34" s="33"/>
      <c r="AO34" s="33"/>
      <c r="AP34" s="33"/>
      <c r="AQ34" s="33"/>
      <c r="AR34" s="33"/>
      <c r="AS34" s="33"/>
      <c r="AT34" s="33"/>
      <c r="AU34" s="33"/>
      <c r="AV34" s="33"/>
      <c r="AW34" s="33"/>
    </row>
    <row r="35" spans="1:49">
      <c r="A35" s="141"/>
      <c r="C35" s="10"/>
      <c r="D35" s="10"/>
      <c r="E35" s="43"/>
      <c r="F35" s="43"/>
      <c r="G35" s="13"/>
      <c r="I35" s="1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J35" s="33"/>
      <c r="AK35" s="33"/>
      <c r="AL35" s="33"/>
      <c r="AM35" s="33"/>
      <c r="AN35" s="33"/>
      <c r="AO35" s="33"/>
      <c r="AP35" s="33"/>
      <c r="AQ35" s="33"/>
      <c r="AR35" s="33"/>
      <c r="AS35" s="33"/>
      <c r="AT35" s="33"/>
      <c r="AU35" s="33"/>
      <c r="AV35" s="33"/>
      <c r="AW35" s="33"/>
    </row>
    <row r="36" spans="1:49">
      <c r="A36" s="53"/>
      <c r="B36" s="54"/>
      <c r="C36" s="13" t="s">
        <v>159</v>
      </c>
      <c r="D36" s="13"/>
      <c r="E36" s="43"/>
      <c r="F36" s="43"/>
      <c r="G36" s="13"/>
      <c r="I36" s="1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33"/>
      <c r="AQ36" s="33"/>
      <c r="AR36" s="33"/>
      <c r="AS36" s="33"/>
      <c r="AT36" s="33"/>
      <c r="AU36" s="33"/>
      <c r="AV36" s="33"/>
      <c r="AW36" s="33"/>
    </row>
    <row r="37" spans="1:49">
      <c r="A37" s="48" t="s">
        <v>154</v>
      </c>
      <c r="B37" s="54"/>
      <c r="C37" s="13" t="s">
        <v>121</v>
      </c>
      <c r="D37" s="13"/>
      <c r="E37" s="43" t="str">
        <f>CONCATENATE(EKPC!J1,", p 3, line 27 col 5")</f>
        <v>Attachment H-24A, p 3, line 27 col 5</v>
      </c>
      <c r="F37" s="43"/>
      <c r="G37" s="422">
        <v>0</v>
      </c>
      <c r="I37" s="1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33"/>
      <c r="AJ37" s="33"/>
      <c r="AK37" s="33"/>
      <c r="AL37" s="33"/>
      <c r="AM37" s="33"/>
      <c r="AN37" s="33"/>
      <c r="AO37" s="33"/>
      <c r="AP37" s="33"/>
      <c r="AQ37" s="33"/>
      <c r="AR37" s="33"/>
      <c r="AS37" s="33"/>
      <c r="AT37" s="33"/>
      <c r="AU37" s="33"/>
      <c r="AV37" s="33"/>
      <c r="AW37" s="33"/>
    </row>
    <row r="38" spans="1:49">
      <c r="A38" s="48" t="s">
        <v>156</v>
      </c>
      <c r="B38" s="54"/>
      <c r="C38" s="13" t="s">
        <v>183</v>
      </c>
      <c r="D38" s="13"/>
      <c r="E38" s="43" t="s">
        <v>184</v>
      </c>
      <c r="F38" s="43"/>
      <c r="G38" s="44">
        <f>IF(G37=0,0,G37/G20)</f>
        <v>0</v>
      </c>
      <c r="I38" s="45">
        <f>G38</f>
        <v>0</v>
      </c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  <c r="AF38" s="33"/>
      <c r="AG38" s="33"/>
      <c r="AH38" s="33"/>
      <c r="AI38" s="33"/>
      <c r="AJ38" s="33"/>
      <c r="AK38" s="33"/>
      <c r="AL38" s="33"/>
      <c r="AM38" s="33"/>
      <c r="AN38" s="33"/>
      <c r="AO38" s="33"/>
      <c r="AP38" s="33"/>
      <c r="AQ38" s="33"/>
      <c r="AR38" s="33"/>
      <c r="AS38" s="33"/>
      <c r="AT38" s="33"/>
      <c r="AU38" s="33"/>
      <c r="AV38" s="33"/>
      <c r="AW38" s="33"/>
    </row>
    <row r="39" spans="1:49">
      <c r="A39" s="48"/>
      <c r="C39" s="13"/>
      <c r="D39" s="13"/>
      <c r="E39" s="43"/>
      <c r="F39" s="43"/>
      <c r="G39" s="13"/>
      <c r="I39" s="1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  <c r="AF39" s="33"/>
      <c r="AG39" s="33"/>
      <c r="AH39" s="33"/>
      <c r="AI39" s="33"/>
      <c r="AJ39" s="33"/>
      <c r="AK39" s="33"/>
      <c r="AL39" s="33"/>
      <c r="AM39" s="33"/>
      <c r="AN39" s="33"/>
      <c r="AO39" s="33"/>
      <c r="AP39" s="33"/>
      <c r="AQ39" s="33"/>
      <c r="AR39" s="33"/>
      <c r="AS39" s="33"/>
      <c r="AT39" s="33"/>
      <c r="AU39" s="33"/>
      <c r="AV39" s="33"/>
      <c r="AW39" s="33"/>
    </row>
    <row r="40" spans="1:49">
      <c r="A40" s="48"/>
      <c r="C40" s="10" t="s">
        <v>60</v>
      </c>
      <c r="D40" s="10"/>
      <c r="E40" s="55"/>
      <c r="F40" s="55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33"/>
      <c r="AK40" s="33"/>
      <c r="AL40" s="33"/>
      <c r="AM40" s="33"/>
      <c r="AN40" s="33"/>
      <c r="AO40" s="33"/>
      <c r="AP40" s="33"/>
      <c r="AQ40" s="33"/>
      <c r="AR40" s="33"/>
      <c r="AS40" s="33"/>
      <c r="AT40" s="33"/>
      <c r="AU40" s="33"/>
      <c r="AV40" s="33"/>
      <c r="AW40" s="33"/>
    </row>
    <row r="41" spans="1:49">
      <c r="A41" s="48" t="s">
        <v>158</v>
      </c>
      <c r="C41" s="10" t="s">
        <v>160</v>
      </c>
      <c r="D41" s="10"/>
      <c r="E41" s="43" t="str">
        <f>CONCATENATE(EKPC!J1,", p 3, line 28 col 5")</f>
        <v>Attachment H-24A, p 3, line 28 col 5</v>
      </c>
      <c r="F41" s="43"/>
      <c r="G41" s="422">
        <f>EKPC!J176</f>
        <v>29363457.642931785</v>
      </c>
      <c r="I41" s="1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33"/>
      <c r="AJ41" s="33"/>
      <c r="AK41" s="33"/>
      <c r="AL41" s="33"/>
      <c r="AM41" s="33"/>
      <c r="AN41" s="33"/>
      <c r="AO41" s="33"/>
      <c r="AP41" s="33"/>
      <c r="AQ41" s="33"/>
      <c r="AR41" s="33"/>
      <c r="AS41" s="33"/>
      <c r="AT41" s="33"/>
      <c r="AU41" s="33"/>
      <c r="AV41" s="33"/>
      <c r="AW41" s="33"/>
    </row>
    <row r="42" spans="1:49">
      <c r="A42" s="48" t="s">
        <v>219</v>
      </c>
      <c r="B42" s="54"/>
      <c r="C42" s="13" t="s">
        <v>185</v>
      </c>
      <c r="D42" s="13"/>
      <c r="E42" s="43" t="s">
        <v>186</v>
      </c>
      <c r="F42" s="43"/>
      <c r="G42" s="56">
        <f>IF(G41=0,0,G41/G20)</f>
        <v>7.1998346790257253E-2</v>
      </c>
      <c r="I42" s="45">
        <f>G42</f>
        <v>7.1998346790257253E-2</v>
      </c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33"/>
      <c r="AJ42" s="33"/>
      <c r="AK42" s="33"/>
      <c r="AL42" s="33"/>
      <c r="AM42" s="33"/>
      <c r="AN42" s="33"/>
      <c r="AO42" s="33"/>
      <c r="AP42" s="33"/>
      <c r="AQ42" s="33"/>
      <c r="AR42" s="33"/>
      <c r="AS42" s="33"/>
      <c r="AT42" s="33"/>
      <c r="AU42" s="33"/>
      <c r="AV42" s="33"/>
      <c r="AW42" s="33"/>
    </row>
    <row r="43" spans="1:49">
      <c r="A43" s="48"/>
      <c r="C43" s="10"/>
      <c r="D43" s="10"/>
      <c r="E43" s="43"/>
      <c r="F43" s="43"/>
      <c r="G43" s="13"/>
      <c r="I43" s="1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33"/>
      <c r="AJ43" s="33"/>
      <c r="AK43" s="33"/>
      <c r="AL43" s="33"/>
      <c r="AM43" s="33"/>
      <c r="AN43" s="33"/>
      <c r="AO43" s="33"/>
      <c r="AP43" s="33"/>
      <c r="AQ43" s="33"/>
      <c r="AR43" s="33"/>
      <c r="AS43" s="33"/>
      <c r="AT43" s="33"/>
      <c r="AU43" s="33"/>
      <c r="AV43" s="33"/>
      <c r="AW43" s="33"/>
    </row>
    <row r="44" spans="1:49" ht="15.75">
      <c r="A44" s="49" t="s">
        <v>220</v>
      </c>
      <c r="B44" s="50"/>
      <c r="C44" s="40" t="s">
        <v>187</v>
      </c>
      <c r="D44" s="40"/>
      <c r="E44" s="39" t="s">
        <v>270</v>
      </c>
      <c r="F44" s="39"/>
      <c r="G44" s="51"/>
      <c r="I44" s="52">
        <f>I38+I42</f>
        <v>7.1998346790257253E-2</v>
      </c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33"/>
      <c r="AA44" s="33"/>
      <c r="AB44" s="33"/>
      <c r="AC44" s="33"/>
      <c r="AD44" s="33"/>
      <c r="AE44" s="33"/>
      <c r="AF44" s="33"/>
      <c r="AG44" s="33"/>
      <c r="AH44" s="33"/>
      <c r="AI44" s="33"/>
      <c r="AJ44" s="33"/>
      <c r="AK44" s="33"/>
      <c r="AL44" s="33"/>
      <c r="AM44" s="33"/>
      <c r="AN44" s="33"/>
      <c r="AO44" s="33"/>
      <c r="AP44" s="33"/>
      <c r="AQ44" s="33"/>
      <c r="AR44" s="33"/>
      <c r="AS44" s="33"/>
      <c r="AT44" s="33"/>
      <c r="AU44" s="33"/>
      <c r="AV44" s="33"/>
      <c r="AW44" s="33"/>
    </row>
    <row r="45" spans="1:49"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3"/>
      <c r="W45" s="33"/>
      <c r="X45" s="33"/>
      <c r="Y45" s="33"/>
      <c r="Z45" s="33"/>
      <c r="AA45" s="33"/>
      <c r="AB45" s="33"/>
      <c r="AC45" s="33"/>
      <c r="AD45" s="33"/>
      <c r="AE45" s="33"/>
      <c r="AF45" s="33"/>
      <c r="AG45" s="33"/>
      <c r="AH45" s="33"/>
      <c r="AI45" s="33"/>
      <c r="AJ45" s="33"/>
      <c r="AK45" s="33"/>
      <c r="AL45" s="33"/>
      <c r="AM45" s="33"/>
      <c r="AN45" s="33"/>
      <c r="AO45" s="33"/>
      <c r="AP45" s="33"/>
      <c r="AQ45" s="33"/>
      <c r="AR45" s="33"/>
      <c r="AS45" s="33"/>
      <c r="AT45" s="33"/>
      <c r="AU45" s="33"/>
      <c r="AV45" s="33"/>
      <c r="AW45" s="33"/>
    </row>
    <row r="46" spans="1:49">
      <c r="A46" s="558" t="s">
        <v>93</v>
      </c>
      <c r="B46" s="471"/>
      <c r="C46" s="471"/>
      <c r="D46" s="471"/>
      <c r="E46" s="471"/>
      <c r="F46" s="471"/>
      <c r="G46" s="471"/>
      <c r="H46" s="471"/>
      <c r="I46" s="471"/>
      <c r="J46" s="73"/>
      <c r="K46" s="73"/>
      <c r="L46" s="73"/>
      <c r="M46" s="73"/>
      <c r="N46" s="73"/>
      <c r="O46" s="33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33"/>
      <c r="AG46" s="33"/>
      <c r="AH46" s="33"/>
      <c r="AI46" s="33"/>
      <c r="AJ46" s="33"/>
      <c r="AK46" s="33"/>
      <c r="AL46" s="33"/>
      <c r="AM46" s="33"/>
      <c r="AN46" s="33"/>
      <c r="AO46" s="33"/>
      <c r="AP46" s="33"/>
      <c r="AQ46" s="33"/>
      <c r="AR46" s="33"/>
      <c r="AS46" s="33"/>
      <c r="AT46" s="33"/>
      <c r="AU46" s="33"/>
      <c r="AV46" s="33"/>
      <c r="AW46" s="33"/>
    </row>
    <row r="47" spans="1:49" ht="30.75" customHeight="1">
      <c r="A47" s="557" t="s">
        <v>95</v>
      </c>
      <c r="B47" s="568"/>
      <c r="C47" s="777" t="str">
        <f>CONCATENATE("Gross Transmission Plant is that identified on page 2 line 2 of ",EKPC!J1," and includes any sub lines 2a or 2b etc. and is inclusive of any CWIP included in rate base when authorized by FERC order.")</f>
        <v>Gross Transmission Plant is that identified on page 2 line 2 of Attachment H-24A and includes any sub lines 2a or 2b etc. and is inclusive of any CWIP included in rate base when authorized by FERC order.</v>
      </c>
      <c r="D47" s="777"/>
      <c r="E47" s="777"/>
      <c r="F47" s="777"/>
      <c r="G47" s="777"/>
      <c r="H47" s="777"/>
      <c r="I47" s="777"/>
      <c r="J47" s="519"/>
      <c r="K47" s="511"/>
      <c r="L47" s="511"/>
      <c r="M47" s="511"/>
      <c r="N47" s="511"/>
    </row>
    <row r="48" spans="1:49" ht="30" customHeight="1">
      <c r="A48" s="557" t="s">
        <v>96</v>
      </c>
      <c r="B48" s="568"/>
      <c r="C48" s="772" t="str">
        <f>CONCATENATE("Net Transmission Plant is that identified on page 2 line 14 of ",EKPC!J1," and includes any sub lines 14a or 14b etc. and is inclusive of any CWIP included in rate base when authorized by FERC order.")</f>
        <v>Net Transmission Plant is that identified on page 2 line 14 of Attachment H-24A and includes any sub lines 14a or 14b etc. and is inclusive of any CWIP included in rate base when authorized by FERC order.</v>
      </c>
      <c r="D48" s="772"/>
      <c r="E48" s="772"/>
      <c r="F48" s="772"/>
      <c r="G48" s="772"/>
      <c r="H48" s="772"/>
      <c r="I48" s="772"/>
      <c r="J48" s="519"/>
      <c r="K48" s="511"/>
      <c r="L48" s="511"/>
      <c r="M48" s="511"/>
      <c r="N48" s="511"/>
    </row>
    <row r="49" spans="1:49" ht="29.25" customHeight="1">
      <c r="A49" s="557" t="s">
        <v>97</v>
      </c>
      <c r="B49" s="568"/>
      <c r="C49" s="772" t="s">
        <v>208</v>
      </c>
      <c r="D49" s="772"/>
      <c r="E49" s="772"/>
      <c r="F49" s="772"/>
      <c r="G49" s="772"/>
      <c r="H49" s="772"/>
      <c r="I49" s="772"/>
      <c r="J49" s="520"/>
      <c r="K49" s="512"/>
      <c r="L49" s="512"/>
      <c r="M49" s="512"/>
      <c r="N49" s="512"/>
    </row>
    <row r="50" spans="1:49">
      <c r="A50" s="557" t="s">
        <v>98</v>
      </c>
      <c r="B50" s="568"/>
      <c r="C50" s="772" t="s">
        <v>209</v>
      </c>
      <c r="D50" s="772"/>
      <c r="E50" s="772"/>
      <c r="F50" s="772"/>
      <c r="G50" s="772"/>
      <c r="H50" s="772"/>
      <c r="I50" s="772"/>
      <c r="J50" s="520"/>
      <c r="K50" s="512"/>
      <c r="L50" s="512"/>
      <c r="M50" s="512"/>
      <c r="N50" s="512"/>
      <c r="O50" s="9"/>
      <c r="P50" s="9"/>
      <c r="Q50" s="13"/>
      <c r="R50" s="9"/>
      <c r="S50" s="9"/>
      <c r="T50" s="9"/>
      <c r="U50" s="9"/>
      <c r="W50" s="13"/>
      <c r="Y50" s="37"/>
      <c r="Z50" s="32"/>
      <c r="AA50" s="37"/>
      <c r="AB50" s="38"/>
      <c r="AC50" s="33"/>
      <c r="AD50" s="33"/>
      <c r="AE50" s="33"/>
      <c r="AF50" s="33"/>
      <c r="AG50" s="33"/>
      <c r="AH50" s="33"/>
      <c r="AI50" s="33"/>
      <c r="AJ50" s="33"/>
      <c r="AK50" s="33"/>
      <c r="AL50" s="33"/>
      <c r="AM50" s="33"/>
      <c r="AN50" s="33"/>
      <c r="AO50" s="33"/>
      <c r="AP50" s="33"/>
      <c r="AQ50" s="33"/>
      <c r="AR50" s="33"/>
      <c r="AS50" s="33"/>
      <c r="AT50" s="33"/>
      <c r="AU50" s="33"/>
      <c r="AV50" s="33"/>
      <c r="AW50" s="33"/>
    </row>
    <row r="51" spans="1:49">
      <c r="A51" s="557" t="s">
        <v>99</v>
      </c>
      <c r="B51" s="568"/>
      <c r="C51" s="772" t="s">
        <v>569</v>
      </c>
      <c r="D51" s="772"/>
      <c r="E51" s="772"/>
      <c r="F51" s="772"/>
      <c r="G51" s="772"/>
      <c r="H51" s="772"/>
      <c r="I51" s="772"/>
      <c r="J51" s="519"/>
      <c r="K51" s="623"/>
      <c r="L51" s="623"/>
      <c r="M51" s="623"/>
      <c r="N51" s="623"/>
      <c r="O51" s="9"/>
      <c r="P51" s="9"/>
      <c r="Q51" s="13"/>
      <c r="R51" s="9"/>
      <c r="S51" s="9"/>
      <c r="T51" s="9"/>
      <c r="U51" s="9"/>
      <c r="V51" s="9"/>
      <c r="W51" s="13"/>
      <c r="X51" s="3" t="s">
        <v>566</v>
      </c>
      <c r="Y51" s="37"/>
      <c r="Z51" s="32"/>
      <c r="AA51" s="37"/>
      <c r="AB51" s="38"/>
      <c r="AC51" s="33"/>
      <c r="AD51" s="33"/>
      <c r="AE51" s="33"/>
      <c r="AF51" s="33"/>
      <c r="AG51" s="33"/>
      <c r="AH51" s="33"/>
      <c r="AI51" s="33"/>
      <c r="AJ51" s="33"/>
      <c r="AK51" s="33"/>
      <c r="AL51" s="33"/>
      <c r="AM51" s="33"/>
      <c r="AN51" s="33"/>
      <c r="AO51" s="33"/>
      <c r="AP51" s="33"/>
      <c r="AQ51" s="33"/>
      <c r="AR51" s="33"/>
      <c r="AS51" s="33"/>
      <c r="AT51" s="33"/>
      <c r="AU51" s="33"/>
      <c r="AV51" s="33"/>
      <c r="AW51" s="33"/>
    </row>
    <row r="52" spans="1:49">
      <c r="A52" s="557" t="s">
        <v>100</v>
      </c>
      <c r="B52" s="568"/>
      <c r="C52" s="772" t="s">
        <v>210</v>
      </c>
      <c r="D52" s="772"/>
      <c r="E52" s="772"/>
      <c r="F52" s="772"/>
      <c r="G52" s="772"/>
      <c r="H52" s="772"/>
      <c r="I52" s="772"/>
      <c r="J52" s="519"/>
      <c r="K52" s="623"/>
      <c r="L52" s="623"/>
      <c r="M52" s="623"/>
      <c r="N52" s="623"/>
      <c r="O52" s="87"/>
      <c r="P52" s="87"/>
      <c r="Q52" s="87"/>
      <c r="R52" s="87"/>
      <c r="S52" s="87"/>
      <c r="T52" s="87"/>
      <c r="U52" s="87"/>
      <c r="V52" s="87"/>
      <c r="W52" s="85"/>
      <c r="X52" s="3" t="s">
        <v>271</v>
      </c>
      <c r="Y52" s="37"/>
      <c r="Z52" s="32"/>
      <c r="AA52" s="37"/>
      <c r="AB52" s="38"/>
      <c r="AC52" s="33"/>
      <c r="AD52" s="33"/>
      <c r="AE52" s="33"/>
      <c r="AF52" s="33"/>
      <c r="AG52" s="33"/>
      <c r="AH52" s="33"/>
      <c r="AI52" s="33"/>
      <c r="AJ52" s="33"/>
      <c r="AK52" s="33"/>
      <c r="AL52" s="33"/>
      <c r="AM52" s="33"/>
      <c r="AN52" s="33"/>
      <c r="AO52" s="33"/>
      <c r="AP52" s="33"/>
      <c r="AQ52" s="33"/>
      <c r="AR52" s="33"/>
      <c r="AS52" s="33"/>
      <c r="AT52" s="33"/>
      <c r="AU52" s="33"/>
      <c r="AV52" s="33"/>
      <c r="AW52" s="33"/>
    </row>
    <row r="53" spans="1:49">
      <c r="A53" s="557" t="s">
        <v>101</v>
      </c>
      <c r="B53" s="568"/>
      <c r="C53" s="772" t="s">
        <v>572</v>
      </c>
      <c r="D53" s="772"/>
      <c r="E53" s="772"/>
      <c r="F53" s="772"/>
      <c r="G53" s="772"/>
      <c r="H53" s="772"/>
      <c r="I53" s="772"/>
      <c r="J53" s="519"/>
      <c r="K53" s="623"/>
      <c r="L53" s="623"/>
      <c r="M53" s="623"/>
      <c r="N53" s="623"/>
      <c r="O53" s="87"/>
      <c r="P53" s="87"/>
      <c r="Q53" s="87"/>
      <c r="R53" s="87"/>
      <c r="S53" s="87"/>
      <c r="T53" s="87"/>
      <c r="U53" s="87"/>
      <c r="V53" s="85"/>
      <c r="W53" s="85"/>
      <c r="X53" s="59" t="s">
        <v>161</v>
      </c>
      <c r="Y53" s="37"/>
      <c r="Z53" s="32"/>
      <c r="AA53" s="37"/>
      <c r="AB53" s="38"/>
      <c r="AC53" s="33"/>
      <c r="AD53" s="33"/>
      <c r="AE53" s="33"/>
      <c r="AF53" s="33"/>
      <c r="AG53" s="33"/>
      <c r="AH53" s="33"/>
      <c r="AI53" s="33"/>
      <c r="AJ53" s="33"/>
      <c r="AK53" s="33"/>
      <c r="AL53" s="33"/>
      <c r="AM53" s="33"/>
      <c r="AN53" s="33"/>
      <c r="AO53" s="33"/>
      <c r="AP53" s="33"/>
      <c r="AQ53" s="33"/>
      <c r="AR53" s="33"/>
      <c r="AS53" s="33"/>
      <c r="AT53" s="33"/>
      <c r="AU53" s="33"/>
      <c r="AV53" s="33"/>
      <c r="AW53" s="33"/>
    </row>
    <row r="54" spans="1:49" ht="30.75" customHeight="1">
      <c r="A54" s="557" t="s">
        <v>102</v>
      </c>
      <c r="B54" s="568"/>
      <c r="C54" s="772" t="str">
        <f>CONCATENATE("The Total General and Common Depreciation Expense excludes any depreciation expense directly associated with a project and thereby included in ",EKPC!J1," Appendix B, page 2, column 9.")</f>
        <v>The Total General and Common Depreciation Expense excludes any depreciation expense directly associated with a project and thereby included in Attachment H-24A Appendix B, page 2, column 9.</v>
      </c>
      <c r="D54" s="772"/>
      <c r="E54" s="772"/>
      <c r="F54" s="772"/>
      <c r="G54" s="772"/>
      <c r="H54" s="772"/>
      <c r="I54" s="772"/>
      <c r="J54" s="518"/>
      <c r="K54" s="623"/>
      <c r="L54" s="623"/>
      <c r="M54" s="623"/>
      <c r="N54" s="623"/>
      <c r="O54" s="9"/>
      <c r="P54" s="9"/>
      <c r="Q54" s="9"/>
      <c r="R54" s="87"/>
      <c r="S54" s="9"/>
      <c r="T54" s="9"/>
      <c r="U54" s="9"/>
      <c r="V54" s="9"/>
      <c r="W54" s="13"/>
      <c r="X54" s="59" t="str">
        <f>I4</f>
        <v>For the 12 months ended 12/31/2015</v>
      </c>
      <c r="Y54" s="37"/>
      <c r="Z54" s="32"/>
      <c r="AA54" s="37"/>
      <c r="AB54" s="38"/>
      <c r="AC54" s="33"/>
      <c r="AD54" s="33"/>
      <c r="AE54" s="33"/>
      <c r="AF54" s="33"/>
      <c r="AG54" s="33"/>
      <c r="AH54" s="33"/>
      <c r="AI54" s="33"/>
      <c r="AJ54" s="33"/>
      <c r="AK54" s="33"/>
      <c r="AL54" s="33"/>
      <c r="AM54" s="33"/>
      <c r="AN54" s="33"/>
      <c r="AO54" s="33"/>
      <c r="AP54" s="33"/>
      <c r="AQ54" s="33"/>
      <c r="AR54" s="33"/>
      <c r="AS54" s="33"/>
      <c r="AT54" s="33"/>
      <c r="AU54" s="33"/>
      <c r="AV54" s="33"/>
      <c r="AW54" s="33"/>
    </row>
    <row r="55" spans="1:49">
      <c r="K55" s="87" t="str">
        <f>A9</f>
        <v>East Kentucky Power Cooperative, Inc.</v>
      </c>
      <c r="L55" s="87"/>
      <c r="M55" s="87"/>
      <c r="N55" s="87"/>
      <c r="O55" s="87"/>
      <c r="P55" s="87"/>
      <c r="Q55" s="87"/>
      <c r="R55" s="87"/>
      <c r="S55" s="87"/>
      <c r="T55" s="87"/>
      <c r="U55" s="87"/>
      <c r="V55" s="87"/>
      <c r="W55" s="85"/>
      <c r="X55" s="85"/>
      <c r="Y55" s="37"/>
      <c r="Z55" s="32"/>
      <c r="AA55" s="37"/>
      <c r="AB55" s="38"/>
      <c r="AC55" s="33"/>
      <c r="AD55" s="33"/>
      <c r="AE55" s="33"/>
      <c r="AF55" s="33"/>
      <c r="AG55" s="33"/>
      <c r="AH55" s="33"/>
      <c r="AI55" s="33"/>
      <c r="AJ55" s="33"/>
      <c r="AK55" s="33"/>
      <c r="AL55" s="33"/>
      <c r="AM55" s="33"/>
      <c r="AN55" s="33"/>
      <c r="AO55" s="33"/>
      <c r="AP55" s="33"/>
      <c r="AQ55" s="33"/>
      <c r="AR55" s="33"/>
      <c r="AS55" s="33"/>
      <c r="AT55" s="33"/>
      <c r="AU55" s="33"/>
      <c r="AV55" s="33"/>
      <c r="AW55" s="33"/>
    </row>
    <row r="56" spans="1:49">
      <c r="K56" s="87" t="str">
        <f>A10</f>
        <v>RTEP - Transmission Enhancement Charges</v>
      </c>
      <c r="L56" s="87"/>
      <c r="M56" s="87"/>
      <c r="N56" s="87"/>
      <c r="O56" s="86"/>
      <c r="P56" s="86"/>
      <c r="Q56" s="86"/>
      <c r="R56" s="86"/>
      <c r="S56" s="86"/>
      <c r="T56" s="86"/>
      <c r="U56" s="86"/>
      <c r="V56" s="86"/>
      <c r="W56" s="86"/>
      <c r="X56" s="86"/>
      <c r="Y56" s="37"/>
      <c r="Z56" s="32"/>
      <c r="AA56" s="37"/>
      <c r="AB56" s="38"/>
      <c r="AC56" s="33"/>
      <c r="AD56" s="33"/>
      <c r="AE56" s="33"/>
      <c r="AF56" s="33"/>
      <c r="AG56" s="33"/>
      <c r="AH56" s="33"/>
      <c r="AI56" s="33"/>
      <c r="AJ56" s="33"/>
      <c r="AK56" s="33"/>
      <c r="AL56" s="33"/>
      <c r="AM56" s="33"/>
      <c r="AN56" s="33"/>
      <c r="AO56" s="33"/>
      <c r="AP56" s="33"/>
      <c r="AQ56" s="33"/>
      <c r="AR56" s="33"/>
      <c r="AS56" s="33"/>
      <c r="AT56" s="33"/>
      <c r="AU56" s="33"/>
      <c r="AV56" s="33"/>
      <c r="AW56" s="33"/>
    </row>
    <row r="57" spans="1:49">
      <c r="K57" s="142"/>
      <c r="L57" s="9"/>
      <c r="M57" s="9"/>
      <c r="N57" s="9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37"/>
      <c r="Z57" s="32"/>
      <c r="AA57" s="37"/>
      <c r="AB57" s="38"/>
      <c r="AC57" s="33"/>
      <c r="AD57" s="33"/>
      <c r="AE57" s="33"/>
      <c r="AF57" s="33"/>
      <c r="AG57" s="33"/>
      <c r="AH57" s="33"/>
      <c r="AI57" s="33"/>
      <c r="AJ57" s="33"/>
      <c r="AK57" s="33"/>
      <c r="AL57" s="33"/>
      <c r="AM57" s="33"/>
      <c r="AN57" s="33"/>
      <c r="AO57" s="33"/>
      <c r="AP57" s="33"/>
      <c r="AQ57" s="33"/>
      <c r="AR57" s="33"/>
      <c r="AS57" s="33"/>
      <c r="AT57" s="33"/>
      <c r="AU57" s="33"/>
      <c r="AV57" s="33"/>
      <c r="AW57" s="33"/>
    </row>
    <row r="58" spans="1:49" ht="15.75">
      <c r="K58" s="95" t="s">
        <v>228</v>
      </c>
      <c r="L58" s="87"/>
      <c r="M58" s="87"/>
      <c r="N58" s="87"/>
      <c r="O58" s="87"/>
      <c r="P58" s="95"/>
      <c r="Q58" s="87"/>
      <c r="R58" s="86"/>
      <c r="S58" s="86"/>
      <c r="T58" s="86"/>
      <c r="U58" s="86"/>
      <c r="V58" s="86"/>
      <c r="W58" s="85"/>
      <c r="X58" s="85"/>
      <c r="Y58" s="37"/>
      <c r="Z58" s="32"/>
      <c r="AA58" s="37"/>
      <c r="AB58" s="38"/>
      <c r="AC58" s="33"/>
      <c r="AD58" s="33"/>
      <c r="AE58" s="33"/>
      <c r="AF58" s="33"/>
      <c r="AG58" s="33"/>
      <c r="AH58" s="33"/>
      <c r="AI58" s="33"/>
      <c r="AJ58" s="33"/>
      <c r="AK58" s="33"/>
      <c r="AL58" s="33"/>
      <c r="AM58" s="33"/>
      <c r="AN58" s="33"/>
      <c r="AO58" s="33"/>
      <c r="AP58" s="33"/>
      <c r="AQ58" s="33"/>
      <c r="AR58" s="33"/>
      <c r="AS58" s="33"/>
      <c r="AT58" s="33"/>
      <c r="AU58" s="33"/>
      <c r="AV58" s="33"/>
      <c r="AW58" s="33"/>
    </row>
    <row r="59" spans="1:49" ht="15.75">
      <c r="K59" s="142"/>
      <c r="L59" s="9"/>
      <c r="M59" s="9"/>
      <c r="N59" s="9"/>
      <c r="O59" s="40"/>
      <c r="P59" s="40"/>
      <c r="Q59" s="9"/>
      <c r="R59" s="12"/>
      <c r="S59" s="12"/>
      <c r="T59" s="12"/>
      <c r="U59" s="12"/>
      <c r="V59" s="12"/>
      <c r="W59" s="13"/>
      <c r="X59" s="13"/>
      <c r="Y59" s="37"/>
      <c r="Z59" s="32"/>
      <c r="AA59" s="37"/>
      <c r="AB59" s="38"/>
      <c r="AC59" s="33"/>
      <c r="AD59" s="33"/>
      <c r="AE59" s="33"/>
      <c r="AF59" s="33"/>
      <c r="AG59" s="33"/>
      <c r="AH59" s="33"/>
      <c r="AI59" s="33"/>
      <c r="AJ59" s="33"/>
      <c r="AK59" s="33"/>
      <c r="AL59" s="33"/>
      <c r="AM59" s="33"/>
      <c r="AN59" s="33"/>
      <c r="AO59" s="33"/>
      <c r="AP59" s="33"/>
      <c r="AQ59" s="33"/>
      <c r="AR59" s="33"/>
      <c r="AS59" s="33"/>
      <c r="AT59" s="33"/>
      <c r="AU59" s="33"/>
      <c r="AV59" s="33"/>
      <c r="AW59" s="33"/>
    </row>
    <row r="60" spans="1:49" ht="15.75">
      <c r="K60" s="142"/>
      <c r="L60" s="9"/>
      <c r="M60" s="60">
        <v>-1</v>
      </c>
      <c r="N60" s="60">
        <v>-2</v>
      </c>
      <c r="O60" s="60">
        <v>-3</v>
      </c>
      <c r="P60" s="60">
        <v>-4</v>
      </c>
      <c r="Q60" s="60">
        <v>-5</v>
      </c>
      <c r="R60" s="60">
        <v>-6</v>
      </c>
      <c r="S60" s="60">
        <v>-7</v>
      </c>
      <c r="T60" s="60">
        <v>-8</v>
      </c>
      <c r="U60" s="60">
        <v>-9</v>
      </c>
      <c r="V60" s="60">
        <v>-10</v>
      </c>
      <c r="W60" s="60">
        <v>-11</v>
      </c>
      <c r="X60" s="60">
        <v>-12</v>
      </c>
      <c r="Y60" s="37"/>
      <c r="Z60" s="32"/>
      <c r="AA60" s="37"/>
      <c r="AB60" s="38"/>
      <c r="AC60" s="33"/>
      <c r="AD60" s="33"/>
      <c r="AE60" s="33"/>
      <c r="AF60" s="33"/>
      <c r="AG60" s="33"/>
      <c r="AH60" s="33"/>
      <c r="AI60" s="33"/>
      <c r="AJ60" s="33"/>
      <c r="AK60" s="33"/>
      <c r="AL60" s="33"/>
      <c r="AM60" s="33"/>
      <c r="AN60" s="33"/>
      <c r="AO60" s="33"/>
      <c r="AP60" s="33"/>
      <c r="AQ60" s="33"/>
      <c r="AR60" s="33"/>
      <c r="AS60" s="33"/>
      <c r="AT60" s="33"/>
      <c r="AU60" s="33"/>
      <c r="AV60" s="33"/>
      <c r="AW60" s="33"/>
    </row>
    <row r="61" spans="1:49" ht="63">
      <c r="K61" s="624" t="s">
        <v>188</v>
      </c>
      <c r="L61" s="625"/>
      <c r="M61" s="625" t="s">
        <v>164</v>
      </c>
      <c r="N61" s="626" t="s">
        <v>269</v>
      </c>
      <c r="O61" s="61" t="s">
        <v>189</v>
      </c>
      <c r="P61" s="61" t="s">
        <v>181</v>
      </c>
      <c r="Q61" s="627" t="s">
        <v>190</v>
      </c>
      <c r="R61" s="61" t="s">
        <v>191</v>
      </c>
      <c r="S61" s="61" t="s">
        <v>187</v>
      </c>
      <c r="T61" s="627" t="s">
        <v>192</v>
      </c>
      <c r="U61" s="61" t="s">
        <v>193</v>
      </c>
      <c r="V61" s="62" t="s">
        <v>194</v>
      </c>
      <c r="W61" s="63" t="s">
        <v>195</v>
      </c>
      <c r="X61" s="62" t="s">
        <v>196</v>
      </c>
      <c r="Y61" s="47"/>
      <c r="Z61" s="32"/>
      <c r="AA61" s="37"/>
      <c r="AB61" s="38"/>
      <c r="AC61" s="33"/>
      <c r="AD61" s="33"/>
      <c r="AE61" s="33"/>
      <c r="AF61" s="33"/>
      <c r="AG61" s="33"/>
      <c r="AH61" s="33"/>
      <c r="AI61" s="33"/>
      <c r="AJ61" s="33"/>
      <c r="AK61" s="33"/>
      <c r="AL61" s="33"/>
      <c r="AM61" s="33"/>
      <c r="AN61" s="33"/>
      <c r="AO61" s="33"/>
      <c r="AP61" s="33"/>
      <c r="AQ61" s="33"/>
      <c r="AR61" s="33"/>
      <c r="AS61" s="33"/>
      <c r="AT61" s="33"/>
      <c r="AU61" s="33"/>
      <c r="AV61" s="33"/>
      <c r="AW61" s="33"/>
    </row>
    <row r="62" spans="1:49" ht="46.5" customHeight="1">
      <c r="K62" s="64"/>
      <c r="L62" s="65"/>
      <c r="M62" s="65"/>
      <c r="N62" s="65"/>
      <c r="O62" s="66" t="s">
        <v>14</v>
      </c>
      <c r="P62" s="66" t="s">
        <v>197</v>
      </c>
      <c r="Q62" s="67" t="s">
        <v>198</v>
      </c>
      <c r="R62" s="66" t="s">
        <v>15</v>
      </c>
      <c r="S62" s="66" t="s">
        <v>199</v>
      </c>
      <c r="T62" s="67" t="s">
        <v>200</v>
      </c>
      <c r="U62" s="66" t="s">
        <v>201</v>
      </c>
      <c r="V62" s="67" t="s">
        <v>202</v>
      </c>
      <c r="W62" s="68" t="s">
        <v>162</v>
      </c>
      <c r="X62" s="69" t="s">
        <v>203</v>
      </c>
      <c r="Y62" s="37"/>
      <c r="Z62" s="32"/>
      <c r="AA62" s="37"/>
      <c r="AB62" s="38"/>
      <c r="AC62" s="33"/>
      <c r="AD62" s="33"/>
      <c r="AE62" s="33"/>
      <c r="AF62" s="33"/>
      <c r="AG62" s="33"/>
      <c r="AH62" s="33"/>
      <c r="AI62" s="33"/>
      <c r="AJ62" s="33"/>
      <c r="AK62" s="33"/>
      <c r="AL62" s="33"/>
      <c r="AM62" s="33"/>
      <c r="AN62" s="33"/>
      <c r="AO62" s="33"/>
      <c r="AP62" s="33"/>
      <c r="AQ62" s="33"/>
      <c r="AR62" s="33"/>
      <c r="AS62" s="33"/>
      <c r="AT62" s="33"/>
      <c r="AU62" s="33"/>
      <c r="AV62" s="33"/>
      <c r="AW62" s="33"/>
    </row>
    <row r="63" spans="1:49">
      <c r="I63" s="738"/>
      <c r="K63" s="70"/>
      <c r="L63" s="12"/>
      <c r="M63" s="12"/>
      <c r="N63" s="12"/>
      <c r="O63" s="12"/>
      <c r="P63" s="12"/>
      <c r="Q63" s="71"/>
      <c r="R63" s="12"/>
      <c r="S63" s="12"/>
      <c r="T63" s="71"/>
      <c r="U63" s="12"/>
      <c r="V63" s="71"/>
      <c r="W63" s="13"/>
      <c r="X63" s="72"/>
      <c r="Y63" s="37"/>
      <c r="Z63" s="32"/>
      <c r="AA63" s="37"/>
      <c r="AB63" s="38"/>
      <c r="AC63" s="33"/>
      <c r="AD63" s="33"/>
      <c r="AE63" s="33"/>
      <c r="AF63" s="33"/>
      <c r="AG63" s="33"/>
      <c r="AH63" s="33"/>
      <c r="AI63" s="33"/>
      <c r="AJ63" s="33"/>
      <c r="AK63" s="33"/>
      <c r="AL63" s="33"/>
      <c r="AM63" s="33"/>
      <c r="AN63" s="33"/>
      <c r="AO63" s="33"/>
      <c r="AP63" s="33"/>
      <c r="AQ63" s="33"/>
      <c r="AR63" s="33"/>
      <c r="AS63" s="33"/>
      <c r="AT63" s="33"/>
      <c r="AU63" s="33"/>
      <c r="AV63" s="33"/>
      <c r="AW63" s="33"/>
    </row>
    <row r="64" spans="1:49">
      <c r="K64" s="629" t="s">
        <v>1</v>
      </c>
      <c r="L64" s="9"/>
      <c r="M64" s="9"/>
      <c r="N64" s="9"/>
      <c r="O64" s="701">
        <v>0</v>
      </c>
      <c r="P64" s="56">
        <f>$I$34</f>
        <v>5.9011838912045839E-2</v>
      </c>
      <c r="Q64" s="628">
        <f>O64*P64</f>
        <v>0</v>
      </c>
      <c r="R64" s="701">
        <v>0</v>
      </c>
      <c r="S64" s="56">
        <f>$I$44</f>
        <v>7.1998346790257253E-2</v>
      </c>
      <c r="T64" s="628">
        <f>R64*S64</f>
        <v>0</v>
      </c>
      <c r="U64" s="75">
        <v>0</v>
      </c>
      <c r="V64" s="628">
        <f>Q64+T64+U64</f>
        <v>0</v>
      </c>
      <c r="W64" s="701">
        <v>0</v>
      </c>
      <c r="X64" s="628">
        <f>V64+W64</f>
        <v>0</v>
      </c>
      <c r="Y64" s="73"/>
      <c r="Z64" s="73"/>
      <c r="AA64" s="73"/>
      <c r="AB64" s="73"/>
      <c r="AC64" s="73"/>
      <c r="AD64" s="73"/>
      <c r="AE64" s="73"/>
    </row>
    <row r="65" spans="11:31">
      <c r="K65" s="629" t="s">
        <v>204</v>
      </c>
      <c r="L65" s="9"/>
      <c r="M65" s="9"/>
      <c r="N65" s="9"/>
      <c r="O65" s="701">
        <v>0</v>
      </c>
      <c r="P65" s="56">
        <f>$I$34</f>
        <v>5.9011838912045839E-2</v>
      </c>
      <c r="Q65" s="628">
        <f>O65*P65</f>
        <v>0</v>
      </c>
      <c r="R65" s="701">
        <v>0</v>
      </c>
      <c r="S65" s="56">
        <f>$I$44</f>
        <v>7.1998346790257253E-2</v>
      </c>
      <c r="T65" s="628">
        <f>R65*S65</f>
        <v>0</v>
      </c>
      <c r="U65" s="75">
        <v>0</v>
      </c>
      <c r="V65" s="628">
        <f>Q65+T65+U65</f>
        <v>0</v>
      </c>
      <c r="W65" s="701">
        <v>0</v>
      </c>
      <c r="X65" s="628">
        <f>V65+W65</f>
        <v>0</v>
      </c>
      <c r="Y65" s="73"/>
      <c r="Z65" s="73"/>
      <c r="AA65" s="73"/>
      <c r="AB65" s="73"/>
      <c r="AC65" s="73"/>
      <c r="AD65" s="73"/>
      <c r="AE65" s="73"/>
    </row>
    <row r="66" spans="11:31">
      <c r="K66" s="629" t="s">
        <v>205</v>
      </c>
      <c r="L66" s="9"/>
      <c r="M66" s="9"/>
      <c r="N66" s="9"/>
      <c r="O66" s="701">
        <v>0</v>
      </c>
      <c r="P66" s="56">
        <f>$I$34</f>
        <v>5.9011838912045839E-2</v>
      </c>
      <c r="Q66" s="628">
        <f>O66*P66</f>
        <v>0</v>
      </c>
      <c r="R66" s="701">
        <v>0</v>
      </c>
      <c r="S66" s="56">
        <f>$I$44</f>
        <v>7.1998346790257253E-2</v>
      </c>
      <c r="T66" s="628">
        <f>R66*S66</f>
        <v>0</v>
      </c>
      <c r="U66" s="75">
        <v>0</v>
      </c>
      <c r="V66" s="628">
        <f>Q66+T66+U66</f>
        <v>0</v>
      </c>
      <c r="W66" s="701">
        <v>0</v>
      </c>
      <c r="X66" s="628">
        <f>V66+W66</f>
        <v>0</v>
      </c>
      <c r="Y66" s="73"/>
      <c r="Z66" s="73"/>
      <c r="AA66" s="73"/>
      <c r="AB66" s="73"/>
      <c r="AC66" s="73"/>
      <c r="AD66" s="73"/>
      <c r="AE66" s="73"/>
    </row>
    <row r="67" spans="11:31">
      <c r="K67" s="629"/>
      <c r="L67" s="9"/>
      <c r="M67" s="9"/>
      <c r="N67" s="9"/>
      <c r="O67" s="9"/>
      <c r="P67" s="9"/>
      <c r="Q67" s="628"/>
      <c r="R67" s="9"/>
      <c r="S67" s="9"/>
      <c r="T67" s="628"/>
      <c r="U67" s="9"/>
      <c r="V67" s="628"/>
      <c r="W67" s="9"/>
      <c r="X67" s="628"/>
      <c r="Y67" s="73"/>
      <c r="Z67" s="73"/>
      <c r="AA67" s="73"/>
      <c r="AB67" s="73"/>
      <c r="AC67" s="73"/>
      <c r="AD67" s="73"/>
      <c r="AE67" s="73"/>
    </row>
    <row r="68" spans="11:31">
      <c r="K68" s="629"/>
      <c r="L68" s="9"/>
      <c r="M68" s="9"/>
      <c r="N68" s="9"/>
      <c r="O68" s="9"/>
      <c r="P68" s="9"/>
      <c r="Q68" s="628"/>
      <c r="R68" s="9"/>
      <c r="S68" s="9"/>
      <c r="T68" s="628"/>
      <c r="U68" s="9"/>
      <c r="V68" s="628"/>
      <c r="W68" s="9"/>
      <c r="X68" s="628"/>
      <c r="Y68" s="73"/>
      <c r="Z68" s="73"/>
      <c r="AA68" s="73"/>
      <c r="AB68" s="73"/>
      <c r="AC68" s="73"/>
      <c r="AD68" s="73"/>
      <c r="AE68" s="73"/>
    </row>
    <row r="69" spans="11:31">
      <c r="K69" s="629"/>
      <c r="L69" s="9"/>
      <c r="M69" s="9"/>
      <c r="N69" s="9"/>
      <c r="O69" s="9"/>
      <c r="P69" s="9"/>
      <c r="Q69" s="628"/>
      <c r="R69" s="9"/>
      <c r="S69" s="9"/>
      <c r="T69" s="628"/>
      <c r="U69" s="9"/>
      <c r="V69" s="628"/>
      <c r="W69" s="9"/>
      <c r="X69" s="628"/>
      <c r="Y69" s="73"/>
      <c r="Z69" s="73"/>
      <c r="AA69" s="73"/>
      <c r="AB69" s="73"/>
      <c r="AC69" s="73"/>
      <c r="AD69" s="73"/>
      <c r="AE69" s="73"/>
    </row>
    <row r="70" spans="11:31">
      <c r="K70" s="629"/>
      <c r="L70" s="9"/>
      <c r="M70" s="9"/>
      <c r="N70" s="9"/>
      <c r="O70" s="9"/>
      <c r="P70" s="9"/>
      <c r="Q70" s="628"/>
      <c r="R70" s="9"/>
      <c r="S70" s="9"/>
      <c r="T70" s="628"/>
      <c r="U70" s="9"/>
      <c r="V70" s="628"/>
      <c r="W70" s="9"/>
      <c r="X70" s="628"/>
      <c r="Y70" s="73"/>
      <c r="Z70" s="73"/>
      <c r="AA70" s="73"/>
      <c r="AB70" s="73"/>
      <c r="AC70" s="73"/>
      <c r="AD70" s="73"/>
      <c r="AE70" s="73"/>
    </row>
    <row r="71" spans="11:31">
      <c r="K71" s="629"/>
      <c r="L71" s="9"/>
      <c r="M71" s="9"/>
      <c r="N71" s="9"/>
      <c r="O71" s="9"/>
      <c r="P71" s="9"/>
      <c r="Q71" s="628"/>
      <c r="R71" s="9"/>
      <c r="S71" s="9"/>
      <c r="T71" s="628"/>
      <c r="U71" s="9"/>
      <c r="V71" s="628"/>
      <c r="W71" s="9"/>
      <c r="X71" s="628"/>
      <c r="Y71" s="73"/>
      <c r="Z71" s="73"/>
      <c r="AA71" s="73"/>
      <c r="AB71" s="73"/>
      <c r="AC71" s="73"/>
      <c r="AD71" s="73"/>
      <c r="AE71" s="73"/>
    </row>
    <row r="72" spans="11:31">
      <c r="K72" s="629"/>
      <c r="L72" s="9"/>
      <c r="M72" s="7"/>
      <c r="N72" s="7"/>
      <c r="O72" s="7"/>
      <c r="P72" s="7"/>
      <c r="Q72" s="630"/>
      <c r="R72" s="7"/>
      <c r="S72" s="7"/>
      <c r="T72" s="630"/>
      <c r="U72" s="7"/>
      <c r="V72" s="630"/>
      <c r="W72" s="7"/>
      <c r="X72" s="630"/>
      <c r="Y72" s="73"/>
      <c r="Z72" s="73"/>
      <c r="AA72" s="73"/>
      <c r="AB72" s="73"/>
      <c r="AC72" s="73"/>
      <c r="AD72" s="73"/>
      <c r="AE72" s="73"/>
    </row>
    <row r="73" spans="11:31">
      <c r="K73" s="629"/>
      <c r="L73" s="9"/>
      <c r="M73" s="7"/>
      <c r="N73" s="7"/>
      <c r="O73" s="7"/>
      <c r="P73" s="7"/>
      <c r="Q73" s="630"/>
      <c r="R73" s="7"/>
      <c r="S73" s="7"/>
      <c r="T73" s="630"/>
      <c r="U73" s="7"/>
      <c r="V73" s="630"/>
      <c r="W73" s="7"/>
      <c r="X73" s="630"/>
      <c r="Y73" s="73"/>
      <c r="Z73" s="73"/>
      <c r="AA73" s="73"/>
      <c r="AB73" s="73"/>
      <c r="AC73" s="73"/>
      <c r="AD73" s="73"/>
      <c r="AE73" s="73"/>
    </row>
    <row r="74" spans="11:31">
      <c r="K74" s="629"/>
      <c r="L74" s="9"/>
      <c r="M74" s="7"/>
      <c r="N74" s="7"/>
      <c r="O74" s="7"/>
      <c r="P74" s="7"/>
      <c r="Q74" s="630"/>
      <c r="R74" s="7"/>
      <c r="S74" s="7"/>
      <c r="T74" s="630"/>
      <c r="U74" s="7"/>
      <c r="V74" s="630"/>
      <c r="W74" s="7"/>
      <c r="X74" s="630"/>
      <c r="Y74" s="73"/>
      <c r="Z74" s="73"/>
      <c r="AA74" s="73"/>
      <c r="AB74" s="73"/>
      <c r="AC74" s="73"/>
      <c r="AD74" s="73"/>
      <c r="AE74" s="73"/>
    </row>
    <row r="75" spans="11:31">
      <c r="K75" s="629"/>
      <c r="L75" s="9"/>
      <c r="M75" s="7"/>
      <c r="N75" s="7"/>
      <c r="O75" s="7"/>
      <c r="P75" s="7"/>
      <c r="Q75" s="630"/>
      <c r="R75" s="7"/>
      <c r="S75" s="7"/>
      <c r="T75" s="630"/>
      <c r="U75" s="7"/>
      <c r="V75" s="630"/>
      <c r="W75" s="7"/>
      <c r="X75" s="630"/>
      <c r="Y75" s="73"/>
      <c r="Z75" s="73"/>
      <c r="AA75" s="73"/>
      <c r="AB75" s="73"/>
      <c r="AC75" s="73"/>
      <c r="AD75" s="73"/>
      <c r="AE75" s="73"/>
    </row>
    <row r="76" spans="11:31">
      <c r="K76" s="629"/>
      <c r="L76" s="9"/>
      <c r="M76" s="7"/>
      <c r="N76" s="7"/>
      <c r="O76" s="7"/>
      <c r="P76" s="7"/>
      <c r="Q76" s="630"/>
      <c r="R76" s="7"/>
      <c r="S76" s="7"/>
      <c r="T76" s="630"/>
      <c r="U76" s="7"/>
      <c r="V76" s="630"/>
      <c r="W76" s="7"/>
      <c r="X76" s="630"/>
      <c r="Y76" s="73"/>
      <c r="Z76" s="73"/>
      <c r="AA76" s="73"/>
      <c r="AB76" s="73"/>
      <c r="AC76" s="73"/>
      <c r="AD76" s="73"/>
      <c r="AE76" s="73"/>
    </row>
    <row r="77" spans="11:31">
      <c r="K77" s="629"/>
      <c r="L77" s="9"/>
      <c r="M77" s="7"/>
      <c r="N77" s="7"/>
      <c r="O77" s="7"/>
      <c r="P77" s="7"/>
      <c r="Q77" s="630"/>
      <c r="R77" s="7"/>
      <c r="S77" s="7"/>
      <c r="T77" s="630"/>
      <c r="U77" s="7"/>
      <c r="V77" s="630"/>
      <c r="W77" s="7"/>
      <c r="X77" s="630"/>
      <c r="Y77" s="73"/>
      <c r="Z77" s="73"/>
      <c r="AA77" s="73"/>
      <c r="AB77" s="73"/>
      <c r="AC77" s="73"/>
      <c r="AD77" s="73"/>
      <c r="AE77" s="73"/>
    </row>
    <row r="78" spans="11:31">
      <c r="K78" s="629"/>
      <c r="L78" s="9"/>
      <c r="M78" s="7"/>
      <c r="N78" s="7"/>
      <c r="O78" s="7"/>
      <c r="P78" s="7"/>
      <c r="Q78" s="630"/>
      <c r="R78" s="7"/>
      <c r="S78" s="7"/>
      <c r="T78" s="630"/>
      <c r="U78" s="7"/>
      <c r="V78" s="630"/>
      <c r="W78" s="7"/>
      <c r="X78" s="630"/>
      <c r="Y78" s="73"/>
      <c r="Z78" s="73"/>
      <c r="AA78" s="73"/>
      <c r="AB78" s="73"/>
      <c r="AC78" s="73"/>
      <c r="AD78" s="73"/>
      <c r="AE78" s="73"/>
    </row>
    <row r="79" spans="11:31">
      <c r="K79" s="629"/>
      <c r="L79" s="9"/>
      <c r="M79" s="7"/>
      <c r="N79" s="7"/>
      <c r="O79" s="7"/>
      <c r="P79" s="7"/>
      <c r="Q79" s="630"/>
      <c r="R79" s="7"/>
      <c r="S79" s="7"/>
      <c r="T79" s="630"/>
      <c r="U79" s="7"/>
      <c r="V79" s="630"/>
      <c r="W79" s="7"/>
      <c r="X79" s="630"/>
      <c r="Y79" s="73"/>
      <c r="Z79" s="73"/>
      <c r="AA79" s="73"/>
      <c r="AB79" s="73"/>
      <c r="AC79" s="73"/>
      <c r="AD79" s="73"/>
      <c r="AE79" s="73"/>
    </row>
    <row r="80" spans="11:31">
      <c r="K80" s="629"/>
      <c r="L80" s="9"/>
      <c r="M80" s="7"/>
      <c r="N80" s="7"/>
      <c r="O80" s="7"/>
      <c r="P80" s="7"/>
      <c r="Q80" s="630"/>
      <c r="R80" s="7"/>
      <c r="S80" s="7"/>
      <c r="T80" s="630"/>
      <c r="U80" s="7"/>
      <c r="V80" s="630"/>
      <c r="W80" s="7"/>
      <c r="X80" s="630"/>
      <c r="Y80" s="73"/>
      <c r="Z80" s="73"/>
      <c r="AA80" s="73"/>
      <c r="AB80" s="73"/>
      <c r="AC80" s="73"/>
      <c r="AD80" s="73"/>
      <c r="AE80" s="73"/>
    </row>
    <row r="81" spans="11:31">
      <c r="K81" s="629"/>
      <c r="L81" s="9"/>
      <c r="M81" s="7"/>
      <c r="N81" s="7"/>
      <c r="O81" s="7"/>
      <c r="P81" s="7"/>
      <c r="Q81" s="630"/>
      <c r="R81" s="7"/>
      <c r="S81" s="7"/>
      <c r="T81" s="630"/>
      <c r="U81" s="7"/>
      <c r="V81" s="630"/>
      <c r="W81" s="7"/>
      <c r="X81" s="630"/>
      <c r="Y81" s="73"/>
      <c r="Z81" s="73"/>
      <c r="AA81" s="73"/>
      <c r="AB81" s="73"/>
      <c r="AC81" s="73"/>
      <c r="AD81" s="73"/>
      <c r="AE81" s="73"/>
    </row>
    <row r="82" spans="11:31">
      <c r="K82" s="629"/>
      <c r="L82" s="9"/>
      <c r="M82" s="7"/>
      <c r="N82" s="7"/>
      <c r="O82" s="7"/>
      <c r="P82" s="7"/>
      <c r="Q82" s="630"/>
      <c r="R82" s="7"/>
      <c r="S82" s="7"/>
      <c r="T82" s="630"/>
      <c r="U82" s="7"/>
      <c r="V82" s="630"/>
      <c r="W82" s="7"/>
      <c r="X82" s="630"/>
      <c r="Y82" s="73"/>
      <c r="Z82" s="73"/>
      <c r="AA82" s="73"/>
      <c r="AB82" s="73"/>
      <c r="AC82" s="73"/>
      <c r="AD82" s="73"/>
      <c r="AE82" s="73"/>
    </row>
    <row r="83" spans="11:31">
      <c r="K83" s="631"/>
      <c r="L83" s="632"/>
      <c r="M83" s="633"/>
      <c r="N83" s="633"/>
      <c r="O83" s="633"/>
      <c r="P83" s="633"/>
      <c r="Q83" s="634"/>
      <c r="R83" s="633"/>
      <c r="S83" s="633"/>
      <c r="T83" s="634"/>
      <c r="U83" s="633"/>
      <c r="V83" s="634"/>
      <c r="W83" s="633"/>
      <c r="X83" s="634"/>
      <c r="Y83" s="73"/>
      <c r="Z83" s="73"/>
      <c r="AA83" s="73"/>
      <c r="AB83" s="73"/>
      <c r="AC83" s="73"/>
      <c r="AD83" s="73"/>
      <c r="AE83" s="73"/>
    </row>
    <row r="84" spans="11:31">
      <c r="K84" s="36" t="s">
        <v>206</v>
      </c>
      <c r="L84" s="635"/>
      <c r="M84" s="10" t="s">
        <v>207</v>
      </c>
      <c r="N84" s="10"/>
      <c r="O84" s="15"/>
      <c r="P84" s="15"/>
      <c r="Q84" s="13"/>
      <c r="R84" s="13"/>
      <c r="S84" s="13"/>
      <c r="T84" s="13"/>
      <c r="U84" s="13"/>
      <c r="V84" s="75">
        <f>SUM(V64:V83)</f>
        <v>0</v>
      </c>
      <c r="W84" s="75">
        <f>SUM(W64:W83)</f>
        <v>0</v>
      </c>
      <c r="X84" s="75">
        <f>SUM(X64:X83)</f>
        <v>0</v>
      </c>
      <c r="Y84" s="73"/>
      <c r="Z84" s="73"/>
      <c r="AA84" s="73"/>
      <c r="AB84" s="73"/>
      <c r="AC84" s="73"/>
      <c r="AD84" s="73"/>
      <c r="AE84" s="73"/>
    </row>
    <row r="85" spans="11:31"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3"/>
      <c r="Z85" s="73"/>
      <c r="AA85" s="73"/>
      <c r="AB85" s="73"/>
      <c r="AC85" s="73"/>
      <c r="AD85" s="73"/>
      <c r="AE85" s="73"/>
    </row>
    <row r="86" spans="11:31">
      <c r="K86" s="74">
        <v>3</v>
      </c>
      <c r="L86" s="7"/>
      <c r="M86" s="9" t="str">
        <f>CONCATENATE("RTEP Transmission Enhancement Charges for ",EKPC!J1,", Page 1, Line 5c")</f>
        <v>RTEP Transmission Enhancement Charges for Attachment H-24A, Page 1, Line 5c</v>
      </c>
      <c r="N86" s="7"/>
      <c r="O86" s="7"/>
      <c r="P86" s="7"/>
      <c r="Q86" s="7"/>
      <c r="R86" s="7"/>
      <c r="S86" s="7"/>
      <c r="T86" s="7"/>
      <c r="U86" s="7"/>
      <c r="V86" s="75"/>
      <c r="W86" s="7"/>
      <c r="X86" s="75">
        <f>X84</f>
        <v>0</v>
      </c>
      <c r="Y86" s="73"/>
      <c r="Z86" s="73"/>
      <c r="AA86" s="73"/>
      <c r="AB86" s="73"/>
      <c r="AC86" s="73"/>
      <c r="AD86" s="73"/>
      <c r="AE86" s="73"/>
    </row>
    <row r="87" spans="11:31"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3"/>
      <c r="Z87" s="73"/>
      <c r="AA87" s="73"/>
      <c r="AB87" s="73"/>
      <c r="AC87" s="73"/>
      <c r="AD87" s="73"/>
      <c r="AE87" s="73"/>
    </row>
    <row r="88" spans="11:31"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3"/>
      <c r="Z88" s="73"/>
      <c r="AA88" s="73"/>
      <c r="AB88" s="73"/>
      <c r="AC88" s="73"/>
      <c r="AD88" s="73"/>
      <c r="AE88" s="73"/>
    </row>
    <row r="89" spans="11:31">
      <c r="K89" s="9" t="s">
        <v>93</v>
      </c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3"/>
      <c r="Z89" s="73"/>
      <c r="AA89" s="73"/>
      <c r="AB89" s="73"/>
      <c r="AC89" s="73"/>
      <c r="AD89" s="73"/>
      <c r="AE89" s="73"/>
    </row>
    <row r="90" spans="11:31" ht="15.75" thickBot="1">
      <c r="K90" s="76" t="s">
        <v>94</v>
      </c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3"/>
      <c r="Z90" s="73"/>
      <c r="AA90" s="73"/>
      <c r="AB90" s="73"/>
      <c r="AC90" s="73"/>
      <c r="AD90" s="73"/>
      <c r="AE90" s="73"/>
    </row>
    <row r="91" spans="11:31">
      <c r="K91" s="15" t="s">
        <v>95</v>
      </c>
      <c r="L91" s="9"/>
      <c r="M91" s="774" t="str">
        <f>CONCATENATE("Gross Transmission Plant is that identified on page 2 line 2 of ",EKPC!J1," and includes any sub lines 2a or 2b etc. and is inclusive of any CWIP included in rate base when authorized by FERC order.")</f>
        <v>Gross Transmission Plant is that identified on page 2 line 2 of Attachment H-24A and includes any sub lines 2a or 2b etc. and is inclusive of any CWIP included in rate base when authorized by FERC order.</v>
      </c>
      <c r="N91" s="773"/>
      <c r="O91" s="773"/>
      <c r="P91" s="773"/>
      <c r="Q91" s="773"/>
      <c r="R91" s="773"/>
      <c r="S91" s="773"/>
      <c r="T91" s="773"/>
      <c r="U91" s="773"/>
      <c r="V91" s="773"/>
      <c r="W91" s="773"/>
      <c r="X91" s="773"/>
      <c r="Y91" s="73"/>
      <c r="Z91" s="73"/>
      <c r="AA91" s="73"/>
      <c r="AB91" s="73"/>
      <c r="AC91" s="73"/>
      <c r="AD91" s="73"/>
      <c r="AE91" s="73"/>
    </row>
    <row r="92" spans="11:31">
      <c r="K92" s="15" t="s">
        <v>96</v>
      </c>
      <c r="L92" s="9"/>
      <c r="M92" s="773" t="str">
        <f>CONCATENATE("Net Transmission Plant is that identified on page 2 line 14 of ",EKPC!J1," and includes any sub lines 14a or 14b etc. and is inclusive of any CWIP included in rate base when authorized by FERC order.")</f>
        <v>Net Transmission Plant is that identified on page 2 line 14 of Attachment H-24A and includes any sub lines 14a or 14b etc. and is inclusive of any CWIP included in rate base when authorized by FERC order.</v>
      </c>
      <c r="N92" s="773"/>
      <c r="O92" s="773"/>
      <c r="P92" s="773"/>
      <c r="Q92" s="773"/>
      <c r="R92" s="773"/>
      <c r="S92" s="773"/>
      <c r="T92" s="773"/>
      <c r="U92" s="773"/>
      <c r="V92" s="773"/>
      <c r="W92" s="773"/>
      <c r="X92" s="773"/>
      <c r="Y92" s="73"/>
      <c r="Z92" s="73"/>
      <c r="AA92" s="73"/>
      <c r="AB92" s="73"/>
      <c r="AC92" s="73"/>
      <c r="AD92" s="73"/>
      <c r="AE92" s="73"/>
    </row>
    <row r="93" spans="11:31" ht="27.75" customHeight="1">
      <c r="K93" s="636" t="s">
        <v>97</v>
      </c>
      <c r="L93" s="9"/>
      <c r="M93" s="775" t="s">
        <v>208</v>
      </c>
      <c r="N93" s="775"/>
      <c r="O93" s="775"/>
      <c r="P93" s="775"/>
      <c r="Q93" s="775"/>
      <c r="R93" s="775"/>
      <c r="S93" s="775"/>
      <c r="T93" s="775"/>
      <c r="U93" s="775"/>
      <c r="V93" s="775"/>
      <c r="W93" s="775"/>
      <c r="X93" s="775"/>
      <c r="Y93" s="73"/>
      <c r="Z93" s="73"/>
      <c r="AA93" s="73"/>
      <c r="AB93" s="73"/>
      <c r="AC93" s="73"/>
      <c r="AD93" s="73"/>
      <c r="AE93" s="73"/>
    </row>
    <row r="94" spans="11:31">
      <c r="K94" s="636" t="s">
        <v>98</v>
      </c>
      <c r="L94" s="9"/>
      <c r="M94" s="775" t="s">
        <v>209</v>
      </c>
      <c r="N94" s="775"/>
      <c r="O94" s="775"/>
      <c r="P94" s="775"/>
      <c r="Q94" s="775"/>
      <c r="R94" s="775"/>
      <c r="S94" s="775"/>
      <c r="T94" s="775"/>
      <c r="U94" s="775"/>
      <c r="V94" s="775"/>
      <c r="W94" s="775"/>
      <c r="X94" s="775"/>
      <c r="Y94" s="73"/>
      <c r="Z94" s="73"/>
      <c r="AA94" s="73"/>
      <c r="AB94" s="73"/>
      <c r="AC94" s="73"/>
      <c r="AD94" s="73"/>
      <c r="AE94" s="73"/>
    </row>
    <row r="95" spans="11:31">
      <c r="K95" s="15" t="s">
        <v>99</v>
      </c>
      <c r="L95" s="9"/>
      <c r="M95" s="773" t="s">
        <v>569</v>
      </c>
      <c r="N95" s="773"/>
      <c r="O95" s="773"/>
      <c r="P95" s="773"/>
      <c r="Q95" s="773"/>
      <c r="R95" s="773"/>
      <c r="S95" s="773"/>
      <c r="T95" s="773"/>
      <c r="U95" s="773"/>
      <c r="V95" s="773"/>
      <c r="W95" s="773"/>
      <c r="X95" s="773"/>
      <c r="Y95" s="73"/>
      <c r="Z95" s="73"/>
      <c r="AA95" s="73"/>
      <c r="AB95" s="73"/>
      <c r="AC95" s="73"/>
      <c r="AD95" s="73"/>
      <c r="AE95" s="73"/>
    </row>
    <row r="96" spans="11:31">
      <c r="K96" s="15" t="s">
        <v>100</v>
      </c>
      <c r="L96" s="9"/>
      <c r="M96" s="773" t="s">
        <v>210</v>
      </c>
      <c r="N96" s="773"/>
      <c r="O96" s="773"/>
      <c r="P96" s="773"/>
      <c r="Q96" s="773"/>
      <c r="R96" s="773"/>
      <c r="S96" s="773"/>
      <c r="T96" s="773"/>
      <c r="U96" s="773"/>
      <c r="V96" s="773"/>
      <c r="W96" s="773"/>
      <c r="X96" s="773"/>
      <c r="Y96" s="73"/>
      <c r="Z96" s="73"/>
      <c r="AA96" s="73"/>
      <c r="AB96" s="73"/>
      <c r="AC96" s="73"/>
      <c r="AD96" s="73"/>
      <c r="AE96" s="73"/>
    </row>
    <row r="97" spans="3:31">
      <c r="K97" s="15" t="s">
        <v>101</v>
      </c>
      <c r="L97" s="9"/>
      <c r="M97" s="773" t="s">
        <v>211</v>
      </c>
      <c r="N97" s="773"/>
      <c r="O97" s="773"/>
      <c r="P97" s="773"/>
      <c r="Q97" s="773"/>
      <c r="R97" s="773"/>
      <c r="S97" s="773"/>
      <c r="T97" s="773"/>
      <c r="U97" s="773"/>
      <c r="V97" s="773"/>
      <c r="W97" s="773"/>
      <c r="X97" s="773"/>
      <c r="Y97" s="73"/>
      <c r="Z97" s="73"/>
      <c r="AA97" s="73"/>
      <c r="AB97" s="73"/>
      <c r="AC97" s="73"/>
      <c r="AD97" s="73"/>
      <c r="AE97" s="73"/>
    </row>
    <row r="98" spans="3:31">
      <c r="K98" s="15" t="s">
        <v>102</v>
      </c>
      <c r="L98" s="9"/>
      <c r="M98" s="773" t="s">
        <v>267</v>
      </c>
      <c r="N98" s="773"/>
      <c r="O98" s="773"/>
      <c r="P98" s="773"/>
      <c r="Q98" s="773"/>
      <c r="R98" s="773"/>
      <c r="S98" s="773"/>
      <c r="T98" s="773"/>
      <c r="U98" s="773"/>
      <c r="V98" s="773"/>
      <c r="W98" s="773"/>
      <c r="X98" s="773"/>
      <c r="Y98" s="73"/>
      <c r="Z98" s="73"/>
      <c r="AA98" s="73"/>
      <c r="AB98" s="73"/>
      <c r="AC98" s="73"/>
      <c r="AD98" s="73"/>
      <c r="AE98" s="73"/>
    </row>
    <row r="99" spans="3:31" ht="15.75">
      <c r="K99" s="57"/>
      <c r="L99" s="77"/>
      <c r="M99" s="78"/>
      <c r="N99" s="53"/>
      <c r="O99" s="15"/>
      <c r="P99" s="15"/>
      <c r="Q99" s="13"/>
      <c r="R99" s="9"/>
      <c r="S99" s="9"/>
      <c r="T99" s="44"/>
      <c r="U99" s="9"/>
      <c r="W99" s="13"/>
      <c r="X99" s="58"/>
      <c r="Y99" s="73"/>
      <c r="Z99" s="73"/>
      <c r="AA99" s="73"/>
      <c r="AB99" s="73"/>
      <c r="AC99" s="73"/>
      <c r="AD99" s="73"/>
      <c r="AE99" s="73"/>
    </row>
    <row r="100" spans="3:31" ht="15.75">
      <c r="K100" s="57"/>
      <c r="L100" s="77"/>
      <c r="M100" s="78"/>
      <c r="N100" s="53"/>
      <c r="O100" s="15"/>
      <c r="P100" s="15"/>
      <c r="Q100" s="13"/>
      <c r="R100" s="9"/>
      <c r="S100" s="9"/>
      <c r="T100" s="44"/>
      <c r="U100" s="9"/>
      <c r="W100" s="13"/>
      <c r="X100" s="46"/>
      <c r="Y100" s="73"/>
      <c r="Z100" s="73"/>
      <c r="AA100" s="73"/>
      <c r="AB100" s="73"/>
      <c r="AC100" s="73"/>
      <c r="AD100" s="73"/>
      <c r="AE100" s="73"/>
    </row>
    <row r="101" spans="3:31">
      <c r="M101" s="73"/>
      <c r="N101" s="73"/>
      <c r="O101" s="73"/>
      <c r="P101" s="73"/>
      <c r="Q101" s="73"/>
      <c r="R101" s="73"/>
      <c r="S101" s="73"/>
      <c r="T101" s="73"/>
      <c r="U101" s="73"/>
      <c r="V101" s="73"/>
      <c r="W101" s="73"/>
      <c r="X101" s="73"/>
      <c r="Y101" s="73"/>
      <c r="Z101" s="73"/>
      <c r="AA101" s="73"/>
      <c r="AB101" s="73"/>
      <c r="AC101" s="73"/>
      <c r="AD101" s="73"/>
      <c r="AE101" s="73"/>
    </row>
    <row r="102" spans="3:31">
      <c r="M102" s="73"/>
      <c r="N102" s="73"/>
      <c r="O102" s="73"/>
      <c r="P102" s="73"/>
      <c r="Q102" s="73"/>
      <c r="R102" s="73"/>
      <c r="S102" s="73"/>
      <c r="T102" s="73"/>
      <c r="U102" s="73"/>
      <c r="V102" s="73"/>
      <c r="W102" s="73"/>
      <c r="X102" s="73"/>
      <c r="Y102" s="73"/>
      <c r="Z102" s="73"/>
      <c r="AA102" s="73"/>
      <c r="AB102" s="73"/>
      <c r="AC102" s="73"/>
      <c r="AD102" s="73"/>
      <c r="AE102" s="73"/>
    </row>
    <row r="103" spans="3:31">
      <c r="M103" s="73"/>
      <c r="N103" s="73"/>
      <c r="O103" s="73"/>
      <c r="P103" s="73"/>
      <c r="Q103" s="73"/>
      <c r="R103" s="73"/>
      <c r="S103" s="73"/>
      <c r="T103" s="73"/>
      <c r="U103" s="73"/>
      <c r="V103" s="73"/>
      <c r="W103" s="73"/>
      <c r="X103" s="73"/>
      <c r="Y103" s="73"/>
      <c r="Z103" s="73"/>
      <c r="AA103" s="73"/>
      <c r="AB103" s="73"/>
      <c r="AC103" s="73"/>
      <c r="AD103" s="73"/>
      <c r="AE103" s="73"/>
    </row>
    <row r="104" spans="3:31">
      <c r="M104" s="73"/>
      <c r="N104" s="73"/>
      <c r="O104" s="73"/>
      <c r="P104" s="73"/>
      <c r="Q104" s="73"/>
      <c r="R104" s="73"/>
      <c r="S104" s="73"/>
      <c r="T104" s="73"/>
      <c r="U104" s="73"/>
      <c r="V104" s="73"/>
      <c r="W104" s="73"/>
      <c r="X104" s="73"/>
      <c r="Y104" s="73"/>
      <c r="Z104" s="73"/>
      <c r="AA104" s="73"/>
      <c r="AB104" s="73"/>
      <c r="AC104" s="73"/>
      <c r="AD104" s="73"/>
      <c r="AE104" s="73"/>
    </row>
    <row r="105" spans="3:31">
      <c r="M105" s="73"/>
      <c r="N105" s="73"/>
      <c r="O105" s="73"/>
      <c r="P105" s="73"/>
      <c r="Q105" s="73"/>
      <c r="R105" s="73"/>
      <c r="S105" s="73"/>
      <c r="T105" s="73"/>
      <c r="U105" s="73"/>
      <c r="V105" s="73"/>
      <c r="W105" s="73"/>
      <c r="X105" s="73"/>
      <c r="Y105" s="73"/>
      <c r="Z105" s="73"/>
      <c r="AA105" s="73"/>
      <c r="AB105" s="73"/>
      <c r="AC105" s="73"/>
      <c r="AD105" s="73"/>
      <c r="AE105" s="73"/>
    </row>
    <row r="106" spans="3:31">
      <c r="C106" s="73"/>
      <c r="D106" s="73"/>
      <c r="E106" s="73"/>
      <c r="F106" s="73"/>
      <c r="G106" s="73"/>
      <c r="H106" s="73"/>
      <c r="I106" s="73"/>
      <c r="J106" s="73"/>
    </row>
    <row r="107" spans="3:31">
      <c r="C107" s="73"/>
      <c r="D107" s="73"/>
      <c r="E107" s="73"/>
      <c r="F107" s="73"/>
      <c r="G107" s="73"/>
      <c r="H107" s="73"/>
      <c r="I107" s="73"/>
      <c r="J107" s="73"/>
    </row>
    <row r="108" spans="3:31">
      <c r="C108" s="73"/>
      <c r="D108" s="73"/>
      <c r="E108" s="73"/>
      <c r="F108" s="73"/>
      <c r="G108" s="73"/>
      <c r="H108" s="73"/>
      <c r="I108" s="73"/>
      <c r="J108" s="73"/>
    </row>
    <row r="109" spans="3:31">
      <c r="C109" s="73"/>
      <c r="D109" s="73"/>
      <c r="E109" s="73"/>
      <c r="F109" s="73"/>
      <c r="G109" s="73"/>
      <c r="H109" s="73"/>
      <c r="I109" s="73"/>
      <c r="J109" s="73"/>
    </row>
    <row r="110" spans="3:31">
      <c r="C110" s="73"/>
      <c r="D110" s="73"/>
      <c r="E110" s="73"/>
      <c r="F110" s="73"/>
      <c r="G110" s="73"/>
      <c r="H110" s="73"/>
      <c r="I110" s="73"/>
      <c r="J110" s="73"/>
    </row>
    <row r="111" spans="3:31">
      <c r="C111" s="73"/>
      <c r="D111" s="73"/>
      <c r="E111" s="73"/>
      <c r="F111" s="73"/>
      <c r="G111" s="73"/>
      <c r="H111" s="73"/>
      <c r="I111" s="73"/>
      <c r="J111" s="73"/>
    </row>
    <row r="112" spans="3:31">
      <c r="C112" s="73"/>
      <c r="D112" s="73"/>
      <c r="E112" s="73"/>
      <c r="F112" s="73"/>
      <c r="G112" s="73"/>
      <c r="H112" s="73"/>
      <c r="I112" s="73"/>
      <c r="J112" s="73"/>
    </row>
    <row r="113" spans="3:10">
      <c r="C113" s="73"/>
      <c r="D113" s="73"/>
      <c r="E113" s="73"/>
      <c r="F113" s="73"/>
      <c r="G113" s="73"/>
      <c r="H113" s="73"/>
      <c r="I113" s="73"/>
      <c r="J113" s="73"/>
    </row>
    <row r="114" spans="3:10">
      <c r="C114" s="73"/>
      <c r="D114" s="73"/>
      <c r="E114" s="73"/>
      <c r="F114" s="73"/>
      <c r="G114" s="73"/>
      <c r="H114" s="73"/>
      <c r="I114" s="73"/>
      <c r="J114" s="73"/>
    </row>
    <row r="115" spans="3:10">
      <c r="C115" s="73"/>
      <c r="D115" s="73"/>
      <c r="E115" s="73"/>
      <c r="F115" s="73"/>
      <c r="G115" s="73"/>
      <c r="H115" s="73"/>
      <c r="I115" s="73"/>
      <c r="J115" s="73"/>
    </row>
    <row r="116" spans="3:10">
      <c r="C116" s="73"/>
      <c r="D116" s="73"/>
      <c r="E116" s="73"/>
      <c r="F116" s="73"/>
      <c r="G116" s="73"/>
      <c r="H116" s="73"/>
      <c r="I116" s="73"/>
      <c r="J116" s="73"/>
    </row>
    <row r="117" spans="3:10">
      <c r="C117" s="73"/>
      <c r="D117" s="73"/>
      <c r="E117" s="73"/>
      <c r="F117" s="73"/>
      <c r="G117" s="73"/>
      <c r="H117" s="73"/>
      <c r="I117" s="73"/>
      <c r="J117" s="73"/>
    </row>
    <row r="118" spans="3:10">
      <c r="C118" s="73"/>
      <c r="D118" s="73"/>
      <c r="E118" s="73"/>
      <c r="F118" s="73"/>
      <c r="G118" s="73"/>
      <c r="H118" s="73"/>
      <c r="I118" s="73"/>
      <c r="J118" s="73"/>
    </row>
    <row r="119" spans="3:10">
      <c r="C119" s="73"/>
      <c r="D119" s="73"/>
      <c r="E119" s="73"/>
      <c r="F119" s="73"/>
      <c r="G119" s="73"/>
      <c r="H119" s="73"/>
      <c r="I119" s="73"/>
      <c r="J119" s="73"/>
    </row>
    <row r="120" spans="3:10">
      <c r="C120" s="73"/>
      <c r="D120" s="73"/>
      <c r="E120" s="73"/>
      <c r="F120" s="73"/>
      <c r="G120" s="73"/>
      <c r="H120" s="73"/>
      <c r="I120" s="73"/>
      <c r="J120" s="73"/>
    </row>
    <row r="121" spans="3:10">
      <c r="C121" s="73"/>
      <c r="D121" s="73"/>
      <c r="E121" s="73"/>
      <c r="F121" s="73"/>
      <c r="G121" s="73"/>
      <c r="H121" s="73"/>
      <c r="I121" s="73"/>
      <c r="J121" s="73"/>
    </row>
    <row r="122" spans="3:10">
      <c r="C122" s="73"/>
      <c r="D122" s="73"/>
      <c r="E122" s="73"/>
      <c r="F122" s="73"/>
      <c r="G122" s="73"/>
      <c r="H122" s="73"/>
      <c r="I122" s="73"/>
      <c r="J122" s="73"/>
    </row>
    <row r="123" spans="3:10">
      <c r="C123" s="73"/>
      <c r="D123" s="73"/>
      <c r="E123" s="73"/>
      <c r="F123" s="73"/>
      <c r="G123" s="73"/>
      <c r="H123" s="73"/>
      <c r="I123" s="73"/>
      <c r="J123" s="73"/>
    </row>
    <row r="124" spans="3:10">
      <c r="C124" s="73"/>
      <c r="D124" s="73"/>
      <c r="E124" s="73"/>
      <c r="F124" s="73"/>
      <c r="G124" s="73"/>
      <c r="H124" s="73"/>
      <c r="I124" s="73"/>
      <c r="J124" s="73"/>
    </row>
    <row r="125" spans="3:10">
      <c r="C125" s="73"/>
      <c r="D125" s="73"/>
      <c r="E125" s="73"/>
      <c r="F125" s="73"/>
      <c r="G125" s="73"/>
      <c r="H125" s="73"/>
      <c r="I125" s="73"/>
      <c r="J125" s="73"/>
    </row>
    <row r="126" spans="3:10">
      <c r="C126" s="73"/>
      <c r="D126" s="73"/>
      <c r="E126" s="73"/>
      <c r="F126" s="73"/>
      <c r="G126" s="73"/>
      <c r="H126" s="73"/>
      <c r="I126" s="73"/>
      <c r="J126" s="73"/>
    </row>
    <row r="127" spans="3:10">
      <c r="C127" s="73"/>
      <c r="D127" s="73"/>
      <c r="E127" s="73"/>
      <c r="F127" s="73"/>
      <c r="G127" s="73"/>
      <c r="H127" s="73"/>
      <c r="I127" s="73"/>
      <c r="J127" s="73"/>
    </row>
    <row r="128" spans="3:10">
      <c r="C128" s="73"/>
      <c r="D128" s="73"/>
      <c r="E128" s="73"/>
      <c r="F128" s="73"/>
      <c r="G128" s="73"/>
      <c r="H128" s="73"/>
      <c r="I128" s="73"/>
      <c r="J128" s="73"/>
    </row>
    <row r="129" spans="3:10">
      <c r="C129" s="73"/>
      <c r="D129" s="73"/>
      <c r="E129" s="73"/>
      <c r="F129" s="73"/>
      <c r="G129" s="73"/>
      <c r="H129" s="73"/>
      <c r="I129" s="73"/>
      <c r="J129" s="73"/>
    </row>
    <row r="130" spans="3:10">
      <c r="C130" s="73"/>
      <c r="D130" s="73"/>
      <c r="E130" s="73"/>
      <c r="F130" s="73"/>
      <c r="G130" s="73"/>
      <c r="H130" s="73"/>
      <c r="I130" s="73"/>
      <c r="J130" s="73"/>
    </row>
    <row r="131" spans="3:10">
      <c r="C131" s="73"/>
      <c r="D131" s="73"/>
      <c r="E131" s="73"/>
      <c r="F131" s="73"/>
      <c r="G131" s="73"/>
      <c r="H131" s="73"/>
      <c r="I131" s="73"/>
      <c r="J131" s="73"/>
    </row>
    <row r="132" spans="3:10">
      <c r="C132" s="73"/>
      <c r="D132" s="73"/>
      <c r="E132" s="73"/>
      <c r="F132" s="73"/>
      <c r="G132" s="73"/>
      <c r="H132" s="73"/>
      <c r="I132" s="73"/>
      <c r="J132" s="73"/>
    </row>
    <row r="133" spans="3:10">
      <c r="C133" s="73"/>
      <c r="D133" s="73"/>
      <c r="E133" s="73"/>
      <c r="F133" s="73"/>
      <c r="G133" s="73"/>
      <c r="H133" s="73"/>
      <c r="I133" s="73"/>
      <c r="J133" s="73"/>
    </row>
    <row r="134" spans="3:10">
      <c r="C134" s="73"/>
      <c r="D134" s="73"/>
      <c r="E134" s="73"/>
      <c r="F134" s="73"/>
      <c r="G134" s="73"/>
      <c r="H134" s="73"/>
      <c r="I134" s="73"/>
      <c r="J134" s="73"/>
    </row>
    <row r="135" spans="3:10">
      <c r="C135" s="73"/>
      <c r="D135" s="73"/>
      <c r="E135" s="73"/>
      <c r="F135" s="73"/>
      <c r="G135" s="73"/>
      <c r="H135" s="73"/>
      <c r="I135" s="73"/>
      <c r="J135" s="73"/>
    </row>
    <row r="136" spans="3:10">
      <c r="C136" s="73"/>
      <c r="D136" s="73"/>
      <c r="E136" s="73"/>
      <c r="F136" s="73"/>
      <c r="G136" s="73"/>
      <c r="H136" s="73"/>
      <c r="I136" s="73"/>
      <c r="J136" s="73"/>
    </row>
    <row r="137" spans="3:10">
      <c r="C137" s="73"/>
      <c r="D137" s="73"/>
      <c r="E137" s="73"/>
      <c r="F137" s="73"/>
      <c r="G137" s="73"/>
      <c r="H137" s="73"/>
      <c r="I137" s="73"/>
      <c r="J137" s="73"/>
    </row>
    <row r="138" spans="3:10">
      <c r="C138" s="73"/>
      <c r="D138" s="73"/>
      <c r="E138" s="73"/>
      <c r="F138" s="73"/>
      <c r="G138" s="73"/>
      <c r="H138" s="73"/>
      <c r="I138" s="73"/>
      <c r="J138" s="73"/>
    </row>
    <row r="139" spans="3:10">
      <c r="C139" s="73"/>
      <c r="D139" s="73"/>
      <c r="E139" s="73"/>
      <c r="F139" s="73"/>
      <c r="G139" s="73"/>
      <c r="H139" s="73"/>
      <c r="I139" s="73"/>
      <c r="J139" s="73"/>
    </row>
    <row r="140" spans="3:10">
      <c r="C140" s="73"/>
      <c r="D140" s="73"/>
      <c r="E140" s="73"/>
      <c r="F140" s="73"/>
      <c r="G140" s="73"/>
      <c r="H140" s="73"/>
      <c r="I140" s="73"/>
      <c r="J140" s="73"/>
    </row>
    <row r="141" spans="3:10">
      <c r="C141" s="73"/>
      <c r="D141" s="73"/>
      <c r="E141" s="73"/>
      <c r="F141" s="73"/>
      <c r="G141" s="73"/>
      <c r="H141" s="73"/>
      <c r="I141" s="73"/>
      <c r="J141" s="73"/>
    </row>
    <row r="142" spans="3:10">
      <c r="C142" s="73"/>
      <c r="D142" s="73"/>
      <c r="E142" s="73"/>
      <c r="F142" s="73"/>
      <c r="G142" s="73"/>
      <c r="H142" s="73"/>
      <c r="I142" s="73"/>
      <c r="J142" s="73"/>
    </row>
    <row r="143" spans="3:10">
      <c r="C143" s="73"/>
      <c r="D143" s="73"/>
      <c r="E143" s="73"/>
      <c r="F143" s="73"/>
      <c r="G143" s="73"/>
      <c r="H143" s="73"/>
      <c r="I143" s="73"/>
      <c r="J143" s="73"/>
    </row>
    <row r="144" spans="3:10">
      <c r="C144" s="73"/>
      <c r="D144" s="73"/>
      <c r="E144" s="73"/>
      <c r="F144" s="73"/>
      <c r="G144" s="73"/>
      <c r="H144" s="73"/>
      <c r="I144" s="73"/>
      <c r="J144" s="73"/>
    </row>
    <row r="145" spans="3:10">
      <c r="C145" s="73"/>
      <c r="D145" s="73"/>
      <c r="E145" s="73"/>
      <c r="F145" s="73"/>
      <c r="G145" s="73"/>
      <c r="H145" s="73"/>
      <c r="I145" s="73"/>
      <c r="J145" s="73"/>
    </row>
    <row r="146" spans="3:10">
      <c r="C146" s="73"/>
      <c r="D146" s="73"/>
      <c r="E146" s="73"/>
      <c r="F146" s="73"/>
      <c r="G146" s="73"/>
      <c r="H146" s="73"/>
      <c r="I146" s="73"/>
      <c r="J146" s="73"/>
    </row>
    <row r="147" spans="3:10">
      <c r="C147" s="73"/>
      <c r="D147" s="73"/>
      <c r="E147" s="73"/>
      <c r="F147" s="73"/>
      <c r="G147" s="73"/>
      <c r="H147" s="73"/>
      <c r="I147" s="73"/>
      <c r="J147" s="73"/>
    </row>
    <row r="148" spans="3:10">
      <c r="C148" s="73"/>
      <c r="D148" s="73"/>
      <c r="E148" s="73"/>
      <c r="F148" s="73"/>
      <c r="G148" s="73"/>
      <c r="H148" s="73"/>
      <c r="I148" s="73"/>
      <c r="J148" s="73"/>
    </row>
    <row r="149" spans="3:10">
      <c r="C149" s="73"/>
      <c r="D149" s="73"/>
      <c r="E149" s="73"/>
      <c r="F149" s="73"/>
      <c r="G149" s="73"/>
      <c r="H149" s="73"/>
      <c r="I149" s="73"/>
      <c r="J149" s="73"/>
    </row>
    <row r="150" spans="3:10">
      <c r="C150" s="73"/>
      <c r="D150" s="73"/>
      <c r="E150" s="73"/>
      <c r="F150" s="73"/>
      <c r="G150" s="73"/>
      <c r="H150" s="73"/>
      <c r="I150" s="73"/>
      <c r="J150" s="73"/>
    </row>
    <row r="151" spans="3:10">
      <c r="C151" s="73"/>
      <c r="D151" s="73"/>
      <c r="E151" s="73"/>
      <c r="F151" s="73"/>
      <c r="G151" s="73"/>
      <c r="H151" s="73"/>
      <c r="I151" s="73"/>
      <c r="J151" s="73"/>
    </row>
    <row r="152" spans="3:10">
      <c r="C152" s="73"/>
      <c r="D152" s="73"/>
      <c r="E152" s="73"/>
      <c r="F152" s="73"/>
      <c r="G152" s="73"/>
      <c r="H152" s="73"/>
      <c r="I152" s="73"/>
      <c r="J152" s="73"/>
    </row>
    <row r="153" spans="3:10">
      <c r="C153" s="73"/>
      <c r="D153" s="73"/>
      <c r="E153" s="73"/>
      <c r="F153" s="73"/>
      <c r="G153" s="73"/>
      <c r="H153" s="73"/>
      <c r="I153" s="73"/>
      <c r="J153" s="73"/>
    </row>
    <row r="154" spans="3:10">
      <c r="C154" s="73"/>
      <c r="D154" s="73"/>
      <c r="E154" s="73"/>
      <c r="F154" s="73"/>
      <c r="G154" s="73"/>
      <c r="H154" s="73"/>
      <c r="I154" s="73"/>
      <c r="J154" s="73"/>
    </row>
    <row r="155" spans="3:10">
      <c r="C155" s="73"/>
      <c r="D155" s="73"/>
      <c r="E155" s="73"/>
      <c r="F155" s="73"/>
      <c r="G155" s="73"/>
      <c r="H155" s="73"/>
      <c r="I155" s="73"/>
      <c r="J155" s="73"/>
    </row>
    <row r="156" spans="3:10">
      <c r="C156" s="73"/>
      <c r="D156" s="73"/>
      <c r="E156" s="73"/>
      <c r="F156" s="73"/>
      <c r="G156" s="73"/>
      <c r="H156" s="73"/>
      <c r="I156" s="73"/>
      <c r="J156" s="73"/>
    </row>
    <row r="157" spans="3:10">
      <c r="C157" s="73"/>
      <c r="D157" s="73"/>
      <c r="E157" s="73"/>
      <c r="F157" s="73"/>
      <c r="G157" s="73"/>
      <c r="H157" s="73"/>
      <c r="I157" s="73"/>
      <c r="J157" s="73"/>
    </row>
    <row r="158" spans="3:10">
      <c r="C158" s="73"/>
      <c r="D158" s="73"/>
      <c r="E158" s="73"/>
      <c r="F158" s="73"/>
      <c r="G158" s="73"/>
      <c r="H158" s="73"/>
      <c r="I158" s="73"/>
      <c r="J158" s="73"/>
    </row>
    <row r="159" spans="3:10">
      <c r="C159" s="73"/>
      <c r="D159" s="73"/>
      <c r="E159" s="73"/>
      <c r="F159" s="73"/>
      <c r="G159" s="73"/>
      <c r="H159" s="73"/>
      <c r="I159" s="73"/>
      <c r="J159" s="73"/>
    </row>
    <row r="160" spans="3:10">
      <c r="C160" s="73"/>
      <c r="D160" s="73"/>
      <c r="E160" s="73"/>
      <c r="F160" s="73"/>
      <c r="G160" s="73"/>
      <c r="H160" s="73"/>
      <c r="I160" s="73"/>
      <c r="J160" s="73"/>
    </row>
    <row r="161" spans="3:10">
      <c r="C161" s="73"/>
      <c r="D161" s="73"/>
      <c r="E161" s="73"/>
      <c r="F161" s="73"/>
      <c r="G161" s="73"/>
      <c r="H161" s="73"/>
      <c r="I161" s="73"/>
      <c r="J161" s="73"/>
    </row>
    <row r="162" spans="3:10">
      <c r="C162" s="73"/>
      <c r="D162" s="73"/>
      <c r="E162" s="73"/>
      <c r="F162" s="73"/>
      <c r="G162" s="73"/>
      <c r="H162" s="73"/>
      <c r="I162" s="73"/>
      <c r="J162" s="73"/>
    </row>
    <row r="163" spans="3:10">
      <c r="C163" s="73"/>
      <c r="D163" s="73"/>
      <c r="E163" s="73"/>
      <c r="F163" s="73"/>
      <c r="G163" s="73"/>
      <c r="H163" s="73"/>
      <c r="I163" s="73"/>
      <c r="J163" s="73"/>
    </row>
    <row r="164" spans="3:10">
      <c r="C164" s="73"/>
      <c r="D164" s="73"/>
      <c r="E164" s="73"/>
      <c r="F164" s="73"/>
      <c r="G164" s="73"/>
      <c r="H164" s="73"/>
      <c r="I164" s="73"/>
      <c r="J164" s="73"/>
    </row>
    <row r="165" spans="3:10">
      <c r="C165" s="73"/>
      <c r="D165" s="73"/>
      <c r="E165" s="73"/>
      <c r="F165" s="73"/>
      <c r="G165" s="73"/>
      <c r="H165" s="73"/>
      <c r="I165" s="73"/>
      <c r="J165" s="73"/>
    </row>
    <row r="166" spans="3:10">
      <c r="C166" s="73"/>
      <c r="D166" s="73"/>
      <c r="E166" s="73"/>
      <c r="F166" s="73"/>
      <c r="G166" s="73"/>
      <c r="H166" s="73"/>
      <c r="I166" s="73"/>
      <c r="J166" s="73"/>
    </row>
    <row r="167" spans="3:10">
      <c r="C167" s="73"/>
      <c r="D167" s="73"/>
      <c r="E167" s="73"/>
      <c r="F167" s="73"/>
      <c r="G167" s="73"/>
      <c r="H167" s="73"/>
      <c r="I167" s="73"/>
      <c r="J167" s="73"/>
    </row>
    <row r="168" spans="3:10">
      <c r="C168" s="73"/>
      <c r="D168" s="73"/>
      <c r="E168" s="73"/>
      <c r="F168" s="73"/>
      <c r="G168" s="73"/>
      <c r="H168" s="73"/>
      <c r="I168" s="73"/>
      <c r="J168" s="73"/>
    </row>
    <row r="169" spans="3:10">
      <c r="C169" s="73"/>
      <c r="D169" s="73"/>
      <c r="E169" s="73"/>
      <c r="F169" s="73"/>
      <c r="G169" s="73"/>
      <c r="H169" s="73"/>
      <c r="I169" s="73"/>
      <c r="J169" s="73"/>
    </row>
    <row r="170" spans="3:10">
      <c r="C170" s="73"/>
      <c r="D170" s="73"/>
      <c r="E170" s="73"/>
      <c r="F170" s="73"/>
      <c r="G170" s="73"/>
      <c r="H170" s="73"/>
      <c r="I170" s="73"/>
      <c r="J170" s="73"/>
    </row>
    <row r="171" spans="3:10">
      <c r="C171" s="73"/>
      <c r="D171" s="73"/>
      <c r="E171" s="73"/>
      <c r="F171" s="73"/>
      <c r="G171" s="73"/>
      <c r="H171" s="73"/>
      <c r="I171" s="73"/>
      <c r="J171" s="73"/>
    </row>
    <row r="172" spans="3:10">
      <c r="C172" s="73"/>
      <c r="D172" s="73"/>
      <c r="E172" s="73"/>
      <c r="F172" s="73"/>
      <c r="G172" s="73"/>
      <c r="H172" s="73"/>
      <c r="I172" s="73"/>
      <c r="J172" s="73"/>
    </row>
    <row r="173" spans="3:10">
      <c r="C173" s="73"/>
      <c r="D173" s="73"/>
      <c r="E173" s="73"/>
      <c r="F173" s="73"/>
      <c r="G173" s="73"/>
      <c r="H173" s="73"/>
      <c r="I173" s="73"/>
      <c r="J173" s="73"/>
    </row>
    <row r="174" spans="3:10">
      <c r="C174" s="73"/>
      <c r="D174" s="73"/>
      <c r="E174" s="73"/>
      <c r="F174" s="73"/>
      <c r="G174" s="73"/>
      <c r="H174" s="73"/>
      <c r="I174" s="73"/>
      <c r="J174" s="73"/>
    </row>
    <row r="175" spans="3:10">
      <c r="C175" s="73"/>
      <c r="D175" s="73"/>
      <c r="E175" s="73"/>
      <c r="F175" s="73"/>
      <c r="G175" s="73"/>
      <c r="H175" s="73"/>
      <c r="I175" s="73"/>
      <c r="J175" s="73"/>
    </row>
    <row r="176" spans="3:10">
      <c r="C176" s="73"/>
      <c r="D176" s="73"/>
      <c r="E176" s="73"/>
      <c r="F176" s="73"/>
      <c r="G176" s="73"/>
      <c r="H176" s="73"/>
      <c r="I176" s="73"/>
      <c r="J176" s="73"/>
    </row>
    <row r="177" spans="3:10">
      <c r="C177" s="73"/>
      <c r="D177" s="73"/>
      <c r="E177" s="73"/>
      <c r="F177" s="73"/>
      <c r="G177" s="73"/>
      <c r="H177" s="73"/>
      <c r="I177" s="73"/>
      <c r="J177" s="73"/>
    </row>
    <row r="178" spans="3:10">
      <c r="C178" s="73"/>
      <c r="D178" s="73"/>
      <c r="E178" s="73"/>
      <c r="F178" s="73"/>
      <c r="G178" s="73"/>
      <c r="H178" s="73"/>
      <c r="I178" s="73"/>
      <c r="J178" s="73"/>
    </row>
    <row r="179" spans="3:10">
      <c r="C179" s="73"/>
      <c r="D179" s="73"/>
      <c r="E179" s="73"/>
      <c r="F179" s="73"/>
      <c r="G179" s="73"/>
      <c r="H179" s="73"/>
      <c r="I179" s="73"/>
      <c r="J179" s="73"/>
    </row>
    <row r="180" spans="3:10">
      <c r="C180" s="73"/>
      <c r="D180" s="73"/>
      <c r="E180" s="73"/>
      <c r="F180" s="73"/>
      <c r="G180" s="73"/>
      <c r="H180" s="73"/>
      <c r="I180" s="73"/>
      <c r="J180" s="73"/>
    </row>
    <row r="181" spans="3:10">
      <c r="C181" s="73"/>
      <c r="D181" s="73"/>
      <c r="E181" s="73"/>
      <c r="F181" s="73"/>
      <c r="G181" s="73"/>
      <c r="H181" s="73"/>
      <c r="I181" s="73"/>
      <c r="J181" s="73"/>
    </row>
    <row r="182" spans="3:10">
      <c r="C182" s="73"/>
      <c r="D182" s="73"/>
      <c r="E182" s="73"/>
      <c r="F182" s="73"/>
      <c r="G182" s="73"/>
      <c r="H182" s="73"/>
      <c r="I182" s="73"/>
      <c r="J182" s="73"/>
    </row>
    <row r="183" spans="3:10">
      <c r="C183" s="73"/>
      <c r="D183" s="73"/>
      <c r="E183" s="73"/>
      <c r="F183" s="73"/>
      <c r="G183" s="73"/>
      <c r="H183" s="73"/>
      <c r="I183" s="73"/>
      <c r="J183" s="73"/>
    </row>
    <row r="184" spans="3:10">
      <c r="C184" s="73"/>
      <c r="D184" s="73"/>
      <c r="E184" s="73"/>
      <c r="F184" s="73"/>
      <c r="G184" s="73"/>
      <c r="H184" s="73"/>
      <c r="I184" s="73"/>
      <c r="J184" s="73"/>
    </row>
    <row r="185" spans="3:10">
      <c r="C185" s="73"/>
      <c r="D185" s="73"/>
      <c r="E185" s="73"/>
      <c r="F185" s="73"/>
      <c r="G185" s="73"/>
      <c r="H185" s="73"/>
      <c r="I185" s="73"/>
      <c r="J185" s="73"/>
    </row>
    <row r="186" spans="3:10">
      <c r="C186" s="73"/>
      <c r="D186" s="73"/>
      <c r="E186" s="73"/>
      <c r="F186" s="73"/>
      <c r="G186" s="73"/>
      <c r="H186" s="73"/>
      <c r="I186" s="73"/>
      <c r="J186" s="73"/>
    </row>
    <row r="187" spans="3:10">
      <c r="C187" s="73"/>
      <c r="D187" s="73"/>
      <c r="E187" s="73"/>
      <c r="F187" s="73"/>
      <c r="G187" s="73"/>
      <c r="H187" s="73"/>
      <c r="I187" s="73"/>
      <c r="J187" s="73"/>
    </row>
    <row r="188" spans="3:10">
      <c r="C188" s="73"/>
      <c r="D188" s="73"/>
      <c r="E188" s="73"/>
      <c r="F188" s="73"/>
      <c r="G188" s="73"/>
      <c r="H188" s="73"/>
      <c r="I188" s="73"/>
      <c r="J188" s="73"/>
    </row>
    <row r="189" spans="3:10">
      <c r="C189" s="73"/>
      <c r="D189" s="73"/>
      <c r="E189" s="73"/>
      <c r="F189" s="73"/>
      <c r="G189" s="73"/>
      <c r="H189" s="73"/>
      <c r="I189" s="73"/>
      <c r="J189" s="73"/>
    </row>
    <row r="190" spans="3:10">
      <c r="C190" s="73"/>
      <c r="D190" s="73"/>
      <c r="E190" s="73"/>
      <c r="F190" s="73"/>
      <c r="G190" s="73"/>
      <c r="H190" s="73"/>
      <c r="I190" s="73"/>
      <c r="J190" s="73"/>
    </row>
    <row r="191" spans="3:10">
      <c r="C191" s="73"/>
      <c r="D191" s="73"/>
      <c r="E191" s="73"/>
      <c r="F191" s="73"/>
      <c r="G191" s="73"/>
      <c r="H191" s="73"/>
      <c r="I191" s="73"/>
      <c r="J191" s="73"/>
    </row>
    <row r="192" spans="3:10">
      <c r="C192" s="73"/>
      <c r="D192" s="73"/>
      <c r="E192" s="73"/>
      <c r="F192" s="73"/>
      <c r="G192" s="73"/>
      <c r="H192" s="73"/>
      <c r="I192" s="73"/>
      <c r="J192" s="73"/>
    </row>
    <row r="193" spans="3:10">
      <c r="C193" s="73"/>
      <c r="D193" s="73"/>
      <c r="E193" s="73"/>
      <c r="F193" s="73"/>
      <c r="G193" s="73"/>
      <c r="H193" s="73"/>
      <c r="I193" s="73"/>
      <c r="J193" s="73"/>
    </row>
    <row r="194" spans="3:10">
      <c r="C194" s="73"/>
      <c r="D194" s="73"/>
      <c r="E194" s="73"/>
      <c r="F194" s="73"/>
      <c r="G194" s="73"/>
      <c r="H194" s="73"/>
      <c r="I194" s="73"/>
      <c r="J194" s="73"/>
    </row>
    <row r="195" spans="3:10">
      <c r="C195" s="73"/>
      <c r="D195" s="73"/>
      <c r="E195" s="73"/>
      <c r="F195" s="73"/>
      <c r="G195" s="73"/>
      <c r="H195" s="73"/>
      <c r="I195" s="73"/>
      <c r="J195" s="73"/>
    </row>
    <row r="196" spans="3:10">
      <c r="C196" s="73"/>
      <c r="D196" s="73"/>
      <c r="E196" s="73"/>
      <c r="F196" s="73"/>
      <c r="G196" s="73"/>
      <c r="H196" s="73"/>
      <c r="I196" s="73"/>
      <c r="J196" s="73"/>
    </row>
    <row r="197" spans="3:10">
      <c r="C197" s="73"/>
      <c r="D197" s="73"/>
      <c r="E197" s="73"/>
      <c r="F197" s="73"/>
      <c r="G197" s="73"/>
      <c r="H197" s="73"/>
      <c r="I197" s="73"/>
      <c r="J197" s="73"/>
    </row>
    <row r="198" spans="3:10">
      <c r="C198" s="73"/>
      <c r="D198" s="73"/>
      <c r="E198" s="73"/>
      <c r="F198" s="73"/>
      <c r="G198" s="73"/>
      <c r="H198" s="73"/>
      <c r="I198" s="73"/>
      <c r="J198" s="73"/>
    </row>
    <row r="199" spans="3:10">
      <c r="C199" s="73"/>
      <c r="D199" s="73"/>
      <c r="E199" s="73"/>
      <c r="F199" s="73"/>
      <c r="G199" s="73"/>
      <c r="H199" s="73"/>
      <c r="I199" s="73"/>
      <c r="J199" s="73"/>
    </row>
    <row r="200" spans="3:10">
      <c r="C200" s="73"/>
      <c r="D200" s="73"/>
      <c r="E200" s="73"/>
      <c r="F200" s="73"/>
      <c r="G200" s="73"/>
      <c r="H200" s="73"/>
      <c r="I200" s="73"/>
      <c r="J200" s="73"/>
    </row>
    <row r="201" spans="3:10">
      <c r="C201" s="73"/>
      <c r="D201" s="73"/>
      <c r="E201" s="73"/>
      <c r="F201" s="73"/>
      <c r="G201" s="73"/>
      <c r="H201" s="73"/>
      <c r="I201" s="73"/>
      <c r="J201" s="73"/>
    </row>
    <row r="202" spans="3:10">
      <c r="C202" s="73"/>
      <c r="D202" s="73"/>
      <c r="E202" s="73"/>
      <c r="F202" s="73"/>
      <c r="G202" s="73"/>
      <c r="H202" s="73"/>
      <c r="I202" s="73"/>
      <c r="J202" s="73"/>
    </row>
    <row r="203" spans="3:10">
      <c r="C203" s="73"/>
      <c r="D203" s="73"/>
      <c r="E203" s="73"/>
      <c r="F203" s="73"/>
      <c r="G203" s="73"/>
      <c r="H203" s="73"/>
      <c r="I203" s="73"/>
      <c r="J203" s="73"/>
    </row>
    <row r="204" spans="3:10">
      <c r="C204" s="73"/>
      <c r="D204" s="73"/>
      <c r="E204" s="73"/>
      <c r="F204" s="73"/>
      <c r="G204" s="73"/>
      <c r="H204" s="73"/>
      <c r="I204" s="73"/>
      <c r="J204" s="73"/>
    </row>
    <row r="205" spans="3:10">
      <c r="C205" s="73"/>
      <c r="D205" s="73"/>
      <c r="E205" s="73"/>
      <c r="F205" s="73"/>
      <c r="G205" s="73"/>
      <c r="H205" s="73"/>
      <c r="I205" s="73"/>
      <c r="J205" s="73"/>
    </row>
    <row r="206" spans="3:10">
      <c r="C206" s="73"/>
      <c r="D206" s="73"/>
      <c r="E206" s="73"/>
      <c r="F206" s="73"/>
      <c r="G206" s="73"/>
      <c r="H206" s="73"/>
      <c r="I206" s="73"/>
      <c r="J206" s="73"/>
    </row>
    <row r="207" spans="3:10">
      <c r="C207" s="73"/>
      <c r="D207" s="73"/>
      <c r="E207" s="73"/>
      <c r="F207" s="73"/>
      <c r="G207" s="73"/>
      <c r="H207" s="73"/>
      <c r="I207" s="73"/>
      <c r="J207" s="73"/>
    </row>
    <row r="208" spans="3:10">
      <c r="C208" s="73"/>
      <c r="D208" s="73"/>
      <c r="E208" s="73"/>
      <c r="F208" s="73"/>
      <c r="G208" s="73"/>
      <c r="H208" s="73"/>
      <c r="I208" s="73"/>
      <c r="J208" s="73"/>
    </row>
    <row r="209" spans="3:10">
      <c r="C209" s="73"/>
      <c r="D209" s="73"/>
      <c r="E209" s="73"/>
      <c r="F209" s="73"/>
      <c r="G209" s="73"/>
      <c r="H209" s="73"/>
      <c r="I209" s="73"/>
      <c r="J209" s="73"/>
    </row>
    <row r="210" spans="3:10">
      <c r="C210" s="73"/>
      <c r="D210" s="73"/>
      <c r="E210" s="73"/>
      <c r="F210" s="73"/>
      <c r="G210" s="73"/>
      <c r="H210" s="73"/>
      <c r="I210" s="73"/>
      <c r="J210" s="73"/>
    </row>
    <row r="211" spans="3:10">
      <c r="C211" s="73"/>
      <c r="D211" s="73"/>
      <c r="E211" s="73"/>
      <c r="F211" s="73"/>
      <c r="G211" s="73"/>
      <c r="H211" s="73"/>
      <c r="I211" s="73"/>
      <c r="J211" s="73"/>
    </row>
    <row r="212" spans="3:10">
      <c r="C212" s="73"/>
      <c r="D212" s="73"/>
      <c r="E212" s="73"/>
      <c r="F212" s="73"/>
      <c r="G212" s="73"/>
      <c r="H212" s="73"/>
      <c r="I212" s="73"/>
      <c r="J212" s="73"/>
    </row>
    <row r="213" spans="3:10">
      <c r="C213" s="73"/>
      <c r="D213" s="73"/>
      <c r="E213" s="73"/>
      <c r="F213" s="73"/>
      <c r="G213" s="73"/>
      <c r="H213" s="73"/>
      <c r="I213" s="73"/>
      <c r="J213" s="73"/>
    </row>
    <row r="214" spans="3:10">
      <c r="C214" s="73"/>
      <c r="D214" s="73"/>
      <c r="E214" s="73"/>
      <c r="F214" s="73"/>
      <c r="G214" s="73"/>
      <c r="H214" s="73"/>
      <c r="I214" s="73"/>
      <c r="J214" s="73"/>
    </row>
    <row r="215" spans="3:10">
      <c r="C215" s="73"/>
      <c r="D215" s="73"/>
      <c r="E215" s="73"/>
      <c r="F215" s="73"/>
      <c r="G215" s="73"/>
      <c r="H215" s="73"/>
      <c r="I215" s="73"/>
      <c r="J215" s="73"/>
    </row>
    <row r="216" spans="3:10">
      <c r="C216" s="73"/>
      <c r="D216" s="73"/>
      <c r="E216" s="73"/>
      <c r="F216" s="73"/>
      <c r="G216" s="73"/>
      <c r="H216" s="73"/>
      <c r="I216" s="73"/>
      <c r="J216" s="73"/>
    </row>
    <row r="217" spans="3:10">
      <c r="C217" s="73"/>
      <c r="D217" s="73"/>
      <c r="E217" s="73"/>
      <c r="F217" s="73"/>
      <c r="G217" s="73"/>
      <c r="H217" s="73"/>
      <c r="I217" s="73"/>
      <c r="J217" s="73"/>
    </row>
    <row r="218" spans="3:10">
      <c r="C218" s="73"/>
      <c r="D218" s="73"/>
      <c r="E218" s="73"/>
      <c r="F218" s="73"/>
      <c r="G218" s="73"/>
      <c r="H218" s="73"/>
      <c r="I218" s="73"/>
      <c r="J218" s="73"/>
    </row>
    <row r="219" spans="3:10">
      <c r="C219" s="73"/>
      <c r="D219" s="73"/>
      <c r="E219" s="73"/>
      <c r="F219" s="73"/>
      <c r="G219" s="73"/>
      <c r="H219" s="73"/>
      <c r="I219" s="73"/>
      <c r="J219" s="73"/>
    </row>
    <row r="220" spans="3:10">
      <c r="C220" s="73"/>
      <c r="D220" s="73"/>
      <c r="E220" s="73"/>
      <c r="F220" s="73"/>
      <c r="G220" s="73"/>
      <c r="H220" s="73"/>
      <c r="I220" s="73"/>
      <c r="J220" s="73"/>
    </row>
    <row r="221" spans="3:10">
      <c r="C221" s="73"/>
      <c r="D221" s="73"/>
      <c r="E221" s="73"/>
      <c r="F221" s="73"/>
      <c r="G221" s="73"/>
      <c r="H221" s="73"/>
      <c r="I221" s="73"/>
      <c r="J221" s="73"/>
    </row>
    <row r="222" spans="3:10">
      <c r="C222" s="73"/>
      <c r="D222" s="73"/>
      <c r="E222" s="73"/>
      <c r="F222" s="73"/>
      <c r="G222" s="73"/>
      <c r="H222" s="73"/>
      <c r="I222" s="73"/>
      <c r="J222" s="73"/>
    </row>
    <row r="223" spans="3:10">
      <c r="C223" s="73"/>
      <c r="D223" s="73"/>
      <c r="E223" s="73"/>
      <c r="F223" s="73"/>
      <c r="G223" s="73"/>
      <c r="H223" s="73"/>
      <c r="I223" s="73"/>
      <c r="J223" s="73"/>
    </row>
    <row r="224" spans="3:10">
      <c r="C224" s="73"/>
      <c r="D224" s="73"/>
      <c r="E224" s="73"/>
      <c r="F224" s="73"/>
      <c r="G224" s="73"/>
      <c r="H224" s="73"/>
      <c r="I224" s="73"/>
      <c r="J224" s="73"/>
    </row>
    <row r="225" spans="3:10">
      <c r="C225" s="73"/>
      <c r="D225" s="73"/>
      <c r="E225" s="73"/>
      <c r="F225" s="73"/>
      <c r="G225" s="73"/>
      <c r="H225" s="73"/>
      <c r="I225" s="73"/>
      <c r="J225" s="73"/>
    </row>
    <row r="226" spans="3:10">
      <c r="C226" s="73"/>
      <c r="D226" s="73"/>
      <c r="E226" s="73"/>
      <c r="F226" s="73"/>
      <c r="G226" s="73"/>
      <c r="H226" s="73"/>
      <c r="I226" s="73"/>
      <c r="J226" s="73"/>
    </row>
    <row r="227" spans="3:10">
      <c r="C227" s="73"/>
      <c r="D227" s="73"/>
      <c r="E227" s="73"/>
      <c r="F227" s="73"/>
      <c r="G227" s="73"/>
      <c r="H227" s="73"/>
      <c r="I227" s="73"/>
      <c r="J227" s="73"/>
    </row>
    <row r="228" spans="3:10">
      <c r="C228" s="73"/>
      <c r="D228" s="73"/>
      <c r="E228" s="73"/>
      <c r="F228" s="73"/>
      <c r="G228" s="73"/>
      <c r="H228" s="73"/>
      <c r="I228" s="73"/>
      <c r="J228" s="73"/>
    </row>
    <row r="229" spans="3:10">
      <c r="C229" s="73"/>
      <c r="D229" s="73"/>
      <c r="E229" s="73"/>
      <c r="F229" s="73"/>
      <c r="G229" s="73"/>
      <c r="H229" s="73"/>
      <c r="I229" s="73"/>
      <c r="J229" s="73"/>
    </row>
    <row r="230" spans="3:10">
      <c r="C230" s="73"/>
      <c r="D230" s="73"/>
      <c r="E230" s="73"/>
      <c r="F230" s="73"/>
      <c r="G230" s="73"/>
      <c r="H230" s="73"/>
      <c r="I230" s="73"/>
      <c r="J230" s="73"/>
    </row>
    <row r="231" spans="3:10">
      <c r="C231" s="73"/>
      <c r="D231" s="73"/>
      <c r="E231" s="73"/>
      <c r="F231" s="73"/>
      <c r="G231" s="73"/>
      <c r="H231" s="73"/>
      <c r="I231" s="73"/>
      <c r="J231" s="73"/>
    </row>
    <row r="232" spans="3:10">
      <c r="C232" s="73"/>
      <c r="D232" s="73"/>
      <c r="E232" s="73"/>
      <c r="F232" s="73"/>
      <c r="G232" s="73"/>
      <c r="H232" s="73"/>
      <c r="I232" s="73"/>
      <c r="J232" s="73"/>
    </row>
    <row r="233" spans="3:10">
      <c r="C233" s="73"/>
      <c r="D233" s="73"/>
      <c r="E233" s="73"/>
      <c r="F233" s="73"/>
      <c r="G233" s="73"/>
      <c r="H233" s="73"/>
      <c r="I233" s="73"/>
      <c r="J233" s="73"/>
    </row>
    <row r="234" spans="3:10">
      <c r="C234" s="73"/>
      <c r="D234" s="73"/>
      <c r="E234" s="73"/>
      <c r="F234" s="73"/>
      <c r="G234" s="73"/>
      <c r="H234" s="73"/>
      <c r="I234" s="73"/>
      <c r="J234" s="73"/>
    </row>
    <row r="235" spans="3:10">
      <c r="C235" s="73"/>
      <c r="D235" s="73"/>
      <c r="E235" s="73"/>
      <c r="F235" s="73"/>
      <c r="G235" s="73"/>
      <c r="H235" s="73"/>
      <c r="I235" s="73"/>
      <c r="J235" s="73"/>
    </row>
    <row r="236" spans="3:10">
      <c r="C236" s="73"/>
      <c r="D236" s="73"/>
      <c r="E236" s="73"/>
      <c r="F236" s="73"/>
      <c r="G236" s="73"/>
      <c r="H236" s="73"/>
      <c r="I236" s="73"/>
      <c r="J236" s="73"/>
    </row>
    <row r="237" spans="3:10">
      <c r="C237" s="73"/>
      <c r="D237" s="73"/>
      <c r="E237" s="73"/>
      <c r="F237" s="73"/>
      <c r="G237" s="73"/>
      <c r="H237" s="73"/>
      <c r="I237" s="73"/>
      <c r="J237" s="73"/>
    </row>
    <row r="238" spans="3:10">
      <c r="C238" s="73"/>
      <c r="D238" s="73"/>
      <c r="E238" s="73"/>
      <c r="F238" s="73"/>
      <c r="G238" s="73"/>
      <c r="H238" s="73"/>
      <c r="I238" s="73"/>
      <c r="J238" s="73"/>
    </row>
    <row r="239" spans="3:10">
      <c r="C239" s="73"/>
      <c r="D239" s="73"/>
      <c r="E239" s="73"/>
      <c r="F239" s="73"/>
      <c r="G239" s="73"/>
      <c r="H239" s="73"/>
      <c r="I239" s="73"/>
      <c r="J239" s="73"/>
    </row>
    <row r="240" spans="3:10">
      <c r="C240" s="73"/>
      <c r="D240" s="73"/>
      <c r="E240" s="73"/>
      <c r="F240" s="73"/>
      <c r="G240" s="73"/>
      <c r="H240" s="73"/>
      <c r="I240" s="73"/>
      <c r="J240" s="73"/>
    </row>
    <row r="241" spans="3:10">
      <c r="C241" s="73"/>
      <c r="D241" s="73"/>
      <c r="E241" s="73"/>
      <c r="F241" s="73"/>
      <c r="G241" s="73"/>
      <c r="H241" s="73"/>
      <c r="I241" s="73"/>
      <c r="J241" s="73"/>
    </row>
    <row r="242" spans="3:10">
      <c r="C242" s="73"/>
      <c r="D242" s="73"/>
      <c r="E242" s="73"/>
      <c r="F242" s="73"/>
      <c r="G242" s="73"/>
      <c r="H242" s="73"/>
      <c r="I242" s="73"/>
      <c r="J242" s="73"/>
    </row>
    <row r="243" spans="3:10">
      <c r="C243" s="73"/>
      <c r="D243" s="73"/>
      <c r="E243" s="73"/>
      <c r="F243" s="73"/>
      <c r="G243" s="73"/>
      <c r="H243" s="73"/>
      <c r="I243" s="73"/>
      <c r="J243" s="73"/>
    </row>
    <row r="244" spans="3:10">
      <c r="C244" s="73"/>
      <c r="D244" s="73"/>
      <c r="E244" s="73"/>
      <c r="F244" s="73"/>
      <c r="G244" s="73"/>
      <c r="H244" s="73"/>
      <c r="I244" s="73"/>
      <c r="J244" s="73"/>
    </row>
    <row r="245" spans="3:10">
      <c r="C245" s="73"/>
      <c r="D245" s="73"/>
      <c r="E245" s="73"/>
      <c r="F245" s="73"/>
      <c r="G245" s="73"/>
      <c r="H245" s="73"/>
      <c r="I245" s="73"/>
      <c r="J245" s="73"/>
    </row>
    <row r="246" spans="3:10">
      <c r="C246" s="73"/>
      <c r="D246" s="73"/>
      <c r="E246" s="73"/>
      <c r="F246" s="73"/>
      <c r="G246" s="73"/>
      <c r="H246" s="73"/>
      <c r="I246" s="73"/>
      <c r="J246" s="73"/>
    </row>
    <row r="247" spans="3:10">
      <c r="C247" s="73"/>
      <c r="D247" s="73"/>
      <c r="E247" s="73"/>
      <c r="F247" s="73"/>
      <c r="G247" s="73"/>
      <c r="H247" s="73"/>
      <c r="I247" s="73"/>
      <c r="J247" s="73"/>
    </row>
    <row r="248" spans="3:10">
      <c r="C248" s="73"/>
      <c r="D248" s="73"/>
      <c r="E248" s="73"/>
      <c r="F248" s="73"/>
      <c r="G248" s="73"/>
      <c r="H248" s="73"/>
      <c r="I248" s="73"/>
      <c r="J248" s="73"/>
    </row>
    <row r="249" spans="3:10">
      <c r="C249" s="73"/>
      <c r="D249" s="73"/>
      <c r="E249" s="73"/>
      <c r="F249" s="73"/>
      <c r="G249" s="73"/>
      <c r="H249" s="73"/>
      <c r="I249" s="73"/>
      <c r="J249" s="73"/>
    </row>
    <row r="250" spans="3:10">
      <c r="C250" s="73"/>
      <c r="D250" s="73"/>
      <c r="E250" s="73"/>
      <c r="F250" s="73"/>
      <c r="G250" s="73"/>
      <c r="H250" s="73"/>
      <c r="I250" s="73"/>
      <c r="J250" s="73"/>
    </row>
    <row r="251" spans="3:10">
      <c r="C251" s="73"/>
      <c r="D251" s="73"/>
      <c r="E251" s="73"/>
      <c r="F251" s="73"/>
      <c r="G251" s="73"/>
      <c r="H251" s="73"/>
      <c r="I251" s="73"/>
      <c r="J251" s="73"/>
    </row>
    <row r="252" spans="3:10">
      <c r="C252" s="73"/>
      <c r="D252" s="73"/>
      <c r="E252" s="73"/>
      <c r="F252" s="73"/>
      <c r="G252" s="73"/>
      <c r="H252" s="73"/>
      <c r="I252" s="73"/>
      <c r="J252" s="73"/>
    </row>
    <row r="253" spans="3:10">
      <c r="C253" s="73"/>
      <c r="D253" s="73"/>
      <c r="E253" s="73"/>
      <c r="F253" s="73"/>
      <c r="G253" s="73"/>
      <c r="H253" s="73"/>
      <c r="I253" s="73"/>
      <c r="J253" s="73"/>
    </row>
    <row r="254" spans="3:10">
      <c r="C254" s="73"/>
      <c r="D254" s="73"/>
      <c r="E254" s="73"/>
      <c r="F254" s="73"/>
      <c r="G254" s="73"/>
      <c r="H254" s="73"/>
      <c r="I254" s="73"/>
      <c r="J254" s="73"/>
    </row>
    <row r="255" spans="3:10">
      <c r="C255" s="73"/>
      <c r="D255" s="73"/>
      <c r="E255" s="73"/>
      <c r="F255" s="73"/>
      <c r="G255" s="73"/>
      <c r="H255" s="73"/>
      <c r="I255" s="73"/>
      <c r="J255" s="73"/>
    </row>
    <row r="256" spans="3:10">
      <c r="C256" s="73"/>
      <c r="D256" s="73"/>
      <c r="E256" s="73"/>
      <c r="F256" s="73"/>
      <c r="G256" s="73"/>
      <c r="H256" s="73"/>
      <c r="I256" s="73"/>
      <c r="J256" s="73"/>
    </row>
    <row r="257" spans="3:10">
      <c r="C257" s="73"/>
      <c r="D257" s="73"/>
      <c r="E257" s="73"/>
      <c r="F257" s="73"/>
      <c r="G257" s="73"/>
      <c r="H257" s="73"/>
      <c r="I257" s="73"/>
      <c r="J257" s="73"/>
    </row>
    <row r="258" spans="3:10">
      <c r="C258" s="73"/>
      <c r="D258" s="73"/>
      <c r="E258" s="73"/>
      <c r="F258" s="73"/>
      <c r="G258" s="73"/>
      <c r="H258" s="73"/>
      <c r="I258" s="73"/>
      <c r="J258" s="73"/>
    </row>
    <row r="259" spans="3:10">
      <c r="C259" s="73"/>
      <c r="D259" s="73"/>
      <c r="E259" s="73"/>
      <c r="F259" s="73"/>
      <c r="G259" s="73"/>
      <c r="H259" s="73"/>
      <c r="I259" s="73"/>
      <c r="J259" s="73"/>
    </row>
    <row r="260" spans="3:10">
      <c r="C260" s="73"/>
      <c r="D260" s="73"/>
      <c r="E260" s="73"/>
      <c r="F260" s="73"/>
      <c r="G260" s="73"/>
      <c r="H260" s="73"/>
      <c r="I260" s="73"/>
      <c r="J260" s="73"/>
    </row>
    <row r="261" spans="3:10">
      <c r="C261" s="73"/>
      <c r="D261" s="73"/>
      <c r="E261" s="73"/>
      <c r="F261" s="73"/>
      <c r="G261" s="73"/>
      <c r="H261" s="73"/>
      <c r="I261" s="73"/>
      <c r="J261" s="73"/>
    </row>
    <row r="262" spans="3:10">
      <c r="C262" s="73"/>
      <c r="D262" s="73"/>
      <c r="E262" s="73"/>
      <c r="F262" s="73"/>
      <c r="G262" s="73"/>
      <c r="H262" s="73"/>
      <c r="I262" s="73"/>
      <c r="J262" s="73"/>
    </row>
    <row r="263" spans="3:10">
      <c r="C263" s="73"/>
      <c r="D263" s="73"/>
      <c r="E263" s="73"/>
      <c r="F263" s="73"/>
      <c r="G263" s="73"/>
      <c r="H263" s="73"/>
      <c r="I263" s="73"/>
      <c r="J263" s="73"/>
    </row>
    <row r="264" spans="3:10">
      <c r="C264" s="73"/>
      <c r="D264" s="73"/>
      <c r="E264" s="73"/>
      <c r="F264" s="73"/>
      <c r="G264" s="73"/>
      <c r="H264" s="73"/>
      <c r="I264" s="73"/>
      <c r="J264" s="73"/>
    </row>
    <row r="265" spans="3:10">
      <c r="C265" s="73"/>
      <c r="D265" s="73"/>
      <c r="E265" s="73"/>
      <c r="F265" s="73"/>
      <c r="G265" s="73"/>
      <c r="H265" s="73"/>
      <c r="I265" s="73"/>
      <c r="J265" s="73"/>
    </row>
    <row r="266" spans="3:10">
      <c r="C266" s="73"/>
      <c r="D266" s="73"/>
      <c r="E266" s="73"/>
      <c r="F266" s="73"/>
      <c r="G266" s="73"/>
      <c r="H266" s="73"/>
      <c r="I266" s="73"/>
      <c r="J266" s="73"/>
    </row>
    <row r="267" spans="3:10">
      <c r="C267" s="73"/>
      <c r="D267" s="73"/>
      <c r="E267" s="73"/>
      <c r="F267" s="73"/>
      <c r="G267" s="73"/>
      <c r="H267" s="73"/>
      <c r="I267" s="73"/>
      <c r="J267" s="73"/>
    </row>
    <row r="268" spans="3:10">
      <c r="C268" s="73"/>
      <c r="D268" s="73"/>
      <c r="E268" s="73"/>
      <c r="F268" s="73"/>
      <c r="G268" s="73"/>
      <c r="H268" s="73"/>
      <c r="I268" s="73"/>
      <c r="J268" s="73"/>
    </row>
    <row r="269" spans="3:10">
      <c r="C269" s="73"/>
      <c r="D269" s="73"/>
      <c r="E269" s="73"/>
      <c r="F269" s="73"/>
      <c r="G269" s="73"/>
      <c r="H269" s="73"/>
      <c r="I269" s="73"/>
      <c r="J269" s="73"/>
    </row>
    <row r="270" spans="3:10">
      <c r="C270" s="73"/>
      <c r="D270" s="73"/>
      <c r="E270" s="73"/>
      <c r="F270" s="73"/>
      <c r="G270" s="73"/>
      <c r="H270" s="73"/>
      <c r="I270" s="73"/>
      <c r="J270" s="73"/>
    </row>
    <row r="271" spans="3:10">
      <c r="C271" s="73"/>
      <c r="D271" s="73"/>
      <c r="E271" s="73"/>
      <c r="F271" s="73"/>
      <c r="G271" s="73"/>
      <c r="H271" s="73"/>
      <c r="I271" s="73"/>
      <c r="J271" s="73"/>
    </row>
    <row r="272" spans="3:10">
      <c r="C272" s="73"/>
      <c r="D272" s="73"/>
      <c r="E272" s="73"/>
      <c r="F272" s="73"/>
      <c r="G272" s="73"/>
      <c r="H272" s="73"/>
      <c r="I272" s="73"/>
      <c r="J272" s="73"/>
    </row>
    <row r="273" spans="3:10">
      <c r="C273" s="73"/>
      <c r="D273" s="73"/>
      <c r="E273" s="73"/>
      <c r="F273" s="73"/>
      <c r="G273" s="73"/>
      <c r="H273" s="73"/>
      <c r="I273" s="73"/>
      <c r="J273" s="73"/>
    </row>
    <row r="274" spans="3:10">
      <c r="C274" s="73"/>
      <c r="D274" s="73"/>
      <c r="E274" s="73"/>
      <c r="F274" s="73"/>
      <c r="G274" s="73"/>
      <c r="H274" s="73"/>
      <c r="I274" s="73"/>
      <c r="J274" s="73"/>
    </row>
    <row r="275" spans="3:10">
      <c r="C275" s="73"/>
      <c r="D275" s="73"/>
      <c r="E275" s="73"/>
      <c r="F275" s="73"/>
      <c r="G275" s="73"/>
      <c r="H275" s="73"/>
      <c r="I275" s="73"/>
      <c r="J275" s="73"/>
    </row>
    <row r="276" spans="3:10">
      <c r="C276" s="73"/>
      <c r="D276" s="73"/>
      <c r="E276" s="73"/>
      <c r="F276" s="73"/>
      <c r="G276" s="73"/>
      <c r="H276" s="73"/>
      <c r="I276" s="73"/>
      <c r="J276" s="73"/>
    </row>
    <row r="277" spans="3:10">
      <c r="C277" s="73"/>
      <c r="D277" s="73"/>
      <c r="E277" s="73"/>
      <c r="F277" s="73"/>
      <c r="G277" s="73"/>
      <c r="H277" s="73"/>
      <c r="I277" s="73"/>
      <c r="J277" s="73"/>
    </row>
    <row r="278" spans="3:10">
      <c r="C278" s="73"/>
      <c r="D278" s="73"/>
      <c r="E278" s="73"/>
      <c r="F278" s="73"/>
      <c r="G278" s="73"/>
      <c r="H278" s="73"/>
      <c r="I278" s="73"/>
      <c r="J278" s="73"/>
    </row>
    <row r="279" spans="3:10">
      <c r="C279" s="73"/>
      <c r="D279" s="73"/>
      <c r="E279" s="73"/>
      <c r="F279" s="73"/>
      <c r="G279" s="73"/>
      <c r="H279" s="73"/>
      <c r="I279" s="73"/>
      <c r="J279" s="73"/>
    </row>
    <row r="280" spans="3:10">
      <c r="C280" s="73"/>
      <c r="D280" s="73"/>
      <c r="E280" s="73"/>
      <c r="F280" s="73"/>
      <c r="G280" s="73"/>
      <c r="H280" s="73"/>
      <c r="I280" s="73"/>
      <c r="J280" s="73"/>
    </row>
    <row r="281" spans="3:10">
      <c r="C281" s="73"/>
      <c r="D281" s="73"/>
      <c r="E281" s="73"/>
      <c r="F281" s="73"/>
      <c r="G281" s="73"/>
      <c r="H281" s="73"/>
      <c r="I281" s="73"/>
      <c r="J281" s="73"/>
    </row>
    <row r="282" spans="3:10">
      <c r="C282" s="73"/>
      <c r="D282" s="73"/>
      <c r="E282" s="73"/>
      <c r="F282" s="73"/>
      <c r="G282" s="73"/>
      <c r="H282" s="73"/>
      <c r="I282" s="73"/>
      <c r="J282" s="73"/>
    </row>
    <row r="283" spans="3:10">
      <c r="C283" s="73"/>
      <c r="D283" s="73"/>
      <c r="E283" s="73"/>
      <c r="F283" s="73"/>
      <c r="G283" s="73"/>
      <c r="H283" s="73"/>
      <c r="I283" s="73"/>
      <c r="J283" s="73"/>
    </row>
    <row r="284" spans="3:10">
      <c r="C284" s="73"/>
      <c r="D284" s="73"/>
      <c r="E284" s="73"/>
      <c r="F284" s="73"/>
      <c r="G284" s="73"/>
      <c r="H284" s="73"/>
      <c r="I284" s="73"/>
      <c r="J284" s="73"/>
    </row>
    <row r="285" spans="3:10">
      <c r="C285" s="73"/>
      <c r="D285" s="73"/>
      <c r="E285" s="73"/>
      <c r="F285" s="73"/>
      <c r="G285" s="73"/>
      <c r="H285" s="73"/>
      <c r="I285" s="73"/>
      <c r="J285" s="73"/>
    </row>
    <row r="286" spans="3:10">
      <c r="C286" s="73"/>
      <c r="D286" s="73"/>
      <c r="E286" s="73"/>
      <c r="F286" s="73"/>
      <c r="G286" s="73"/>
      <c r="H286" s="73"/>
      <c r="I286" s="73"/>
      <c r="J286" s="73"/>
    </row>
    <row r="287" spans="3:10">
      <c r="C287" s="73"/>
      <c r="D287" s="73"/>
      <c r="E287" s="73"/>
      <c r="F287" s="73"/>
      <c r="G287" s="73"/>
      <c r="H287" s="73"/>
      <c r="I287" s="73"/>
      <c r="J287" s="73"/>
    </row>
    <row r="288" spans="3:10">
      <c r="C288" s="73"/>
      <c r="D288" s="73"/>
      <c r="E288" s="73"/>
      <c r="F288" s="73"/>
      <c r="G288" s="73"/>
      <c r="H288" s="73"/>
      <c r="I288" s="73"/>
      <c r="J288" s="73"/>
    </row>
    <row r="289" spans="3:10">
      <c r="C289" s="73"/>
      <c r="D289" s="73"/>
      <c r="E289" s="73"/>
      <c r="F289" s="73"/>
      <c r="G289" s="73"/>
      <c r="H289" s="73"/>
      <c r="I289" s="73"/>
      <c r="J289" s="73"/>
    </row>
    <row r="290" spans="3:10">
      <c r="C290" s="73"/>
      <c r="D290" s="73"/>
      <c r="E290" s="73"/>
      <c r="F290" s="73"/>
      <c r="G290" s="73"/>
      <c r="H290" s="73"/>
      <c r="I290" s="73"/>
      <c r="J290" s="73"/>
    </row>
    <row r="291" spans="3:10">
      <c r="C291" s="73"/>
      <c r="D291" s="73"/>
      <c r="E291" s="73"/>
      <c r="F291" s="73"/>
      <c r="G291" s="73"/>
      <c r="H291" s="73"/>
      <c r="I291" s="73"/>
      <c r="J291" s="73"/>
    </row>
    <row r="292" spans="3:10">
      <c r="C292" s="73"/>
      <c r="D292" s="73"/>
      <c r="E292" s="73"/>
      <c r="F292" s="73"/>
      <c r="G292" s="73"/>
      <c r="H292" s="73"/>
      <c r="I292" s="73"/>
      <c r="J292" s="73"/>
    </row>
    <row r="293" spans="3:10">
      <c r="C293" s="73"/>
      <c r="D293" s="73"/>
      <c r="E293" s="73"/>
      <c r="F293" s="73"/>
      <c r="G293" s="73"/>
      <c r="H293" s="73"/>
      <c r="I293" s="73"/>
      <c r="J293" s="73"/>
    </row>
    <row r="294" spans="3:10">
      <c r="C294" s="73"/>
      <c r="D294" s="73"/>
      <c r="E294" s="73"/>
      <c r="F294" s="73"/>
      <c r="G294" s="73"/>
      <c r="H294" s="73"/>
      <c r="I294" s="73"/>
      <c r="J294" s="73"/>
    </row>
    <row r="295" spans="3:10">
      <c r="C295" s="73"/>
      <c r="D295" s="73"/>
      <c r="E295" s="73"/>
      <c r="F295" s="73"/>
      <c r="G295" s="73"/>
      <c r="H295" s="73"/>
      <c r="I295" s="73"/>
      <c r="J295" s="73"/>
    </row>
    <row r="296" spans="3:10">
      <c r="C296" s="73"/>
      <c r="D296" s="73"/>
      <c r="E296" s="73"/>
      <c r="F296" s="73"/>
      <c r="G296" s="73"/>
      <c r="H296" s="73"/>
      <c r="I296" s="73"/>
      <c r="J296" s="73"/>
    </row>
  </sheetData>
  <mergeCells count="17">
    <mergeCell ref="C50:I50"/>
    <mergeCell ref="C51:I51"/>
    <mergeCell ref="C52:I52"/>
    <mergeCell ref="C53:I53"/>
    <mergeCell ref="A9:I9"/>
    <mergeCell ref="C47:I47"/>
    <mergeCell ref="C48:I48"/>
    <mergeCell ref="C49:I49"/>
    <mergeCell ref="C54:I54"/>
    <mergeCell ref="M98:X98"/>
    <mergeCell ref="M97:X97"/>
    <mergeCell ref="M91:X91"/>
    <mergeCell ref="M92:X92"/>
    <mergeCell ref="M93:X93"/>
    <mergeCell ref="M94:X94"/>
    <mergeCell ref="M95:X95"/>
    <mergeCell ref="M96:X96"/>
  </mergeCells>
  <printOptions horizontalCentered="1"/>
  <pageMargins left="1" right="1" top="0.72" bottom="0.5" header="0.5" footer="0.5"/>
  <pageSetup scale="60" orientation="landscape" verticalDpi="300" r:id="rId1"/>
  <headerFooter alignWithMargins="0"/>
  <rowBreaks count="1" manualBreakCount="1">
    <brk id="46" min="10" max="2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2"/>
  <sheetViews>
    <sheetView view="pageBreakPreview" zoomScale="80" zoomScaleNormal="70" zoomScaleSheetLayoutView="80" workbookViewId="0">
      <selection activeCell="K54" sqref="K54"/>
    </sheetView>
  </sheetViews>
  <sheetFormatPr defaultRowHeight="15"/>
  <cols>
    <col min="1" max="1" width="4.88671875" customWidth="1"/>
    <col min="2" max="2" width="2.88671875" customWidth="1"/>
    <col min="3" max="3" width="79.21875" customWidth="1"/>
    <col min="4" max="4" width="1" customWidth="1"/>
    <col min="5" max="5" width="22.6640625" customWidth="1"/>
    <col min="6" max="6" width="1.33203125" customWidth="1"/>
    <col min="7" max="7" width="12.77734375" customWidth="1"/>
    <col min="8" max="8" width="23.88671875" bestFit="1" customWidth="1"/>
    <col min="9" max="9" width="9" bestFit="1" customWidth="1"/>
  </cols>
  <sheetData>
    <row r="1" spans="1:7">
      <c r="A1" s="30"/>
      <c r="B1" s="30"/>
      <c r="C1" s="30"/>
      <c r="D1" s="30"/>
      <c r="E1" s="3" t="str">
        <f>EKPC!J1</f>
        <v>Attachment H-24A</v>
      </c>
      <c r="G1" s="30"/>
    </row>
    <row r="2" spans="1:7">
      <c r="A2" s="30"/>
      <c r="B2" s="30"/>
      <c r="C2" s="30"/>
      <c r="D2" s="30"/>
      <c r="E2" s="3" t="s">
        <v>406</v>
      </c>
      <c r="G2" s="30"/>
    </row>
    <row r="3" spans="1:7">
      <c r="A3" s="30"/>
      <c r="B3" s="30"/>
      <c r="C3" s="30"/>
      <c r="D3" s="30"/>
      <c r="E3" s="167" t="s">
        <v>151</v>
      </c>
      <c r="G3" s="30"/>
    </row>
    <row r="4" spans="1:7">
      <c r="A4" s="30"/>
      <c r="B4" s="30"/>
      <c r="C4" s="30"/>
      <c r="D4" s="30"/>
      <c r="E4" s="31" t="str">
        <f>EKPC!J7</f>
        <v>For the 12 months ended 12/31/2015</v>
      </c>
      <c r="G4" s="30"/>
    </row>
    <row r="5" spans="1:7">
      <c r="A5" s="84" t="s">
        <v>212</v>
      </c>
      <c r="B5" s="94"/>
      <c r="C5" s="94"/>
      <c r="D5" s="84"/>
      <c r="E5" s="84"/>
      <c r="F5" s="84"/>
      <c r="G5" s="30"/>
    </row>
    <row r="6" spans="1:7">
      <c r="A6" s="85" t="str">
        <f>CONCATENATE("Utilizing ",EKPC!J1)</f>
        <v>Utilizing Attachment H-24A</v>
      </c>
      <c r="B6" s="94"/>
      <c r="C6" s="94"/>
      <c r="D6" s="84"/>
      <c r="E6" s="84"/>
      <c r="F6" s="84"/>
      <c r="G6" s="30"/>
    </row>
    <row r="7" spans="1:7">
      <c r="A7" s="86"/>
      <c r="B7" s="94"/>
      <c r="C7" s="94"/>
      <c r="D7" s="86"/>
      <c r="E7" s="738"/>
      <c r="F7" s="86"/>
      <c r="G7" s="30"/>
    </row>
    <row r="8" spans="1:7">
      <c r="A8" s="776" t="str">
        <f>EKPC!A11</f>
        <v>East Kentucky Power Cooperative, Inc.</v>
      </c>
      <c r="B8" s="776"/>
      <c r="C8" s="776"/>
      <c r="D8" s="776"/>
      <c r="E8" s="776"/>
      <c r="F8" s="776"/>
      <c r="G8" s="30"/>
    </row>
    <row r="9" spans="1:7">
      <c r="A9" s="508" t="s">
        <v>606</v>
      </c>
      <c r="B9" s="94"/>
      <c r="C9" s="94"/>
      <c r="D9" s="86"/>
      <c r="E9" s="86"/>
      <c r="F9" s="86"/>
      <c r="G9" s="30"/>
    </row>
    <row r="10" spans="1:7">
      <c r="A10" s="86" t="str">
        <f>CONCATENATE("To be completed in conjunction with ",EKPC!J1)</f>
        <v>To be completed in conjunction with Attachment H-24A</v>
      </c>
      <c r="B10" s="94"/>
      <c r="C10" s="94"/>
      <c r="D10" s="86"/>
      <c r="E10" s="86"/>
      <c r="F10" s="86"/>
      <c r="G10" s="30"/>
    </row>
    <row r="11" spans="1:7">
      <c r="A11" s="142" t="s">
        <v>6</v>
      </c>
      <c r="B11" s="9"/>
      <c r="C11" s="10"/>
      <c r="D11" s="10"/>
      <c r="E11" s="734"/>
      <c r="F11" s="12"/>
      <c r="G11" s="30"/>
    </row>
    <row r="12" spans="1:7">
      <c r="A12" s="162" t="s">
        <v>8</v>
      </c>
      <c r="B12" s="9"/>
      <c r="C12" s="11" t="s">
        <v>16</v>
      </c>
      <c r="D12" s="11"/>
      <c r="E12" s="11" t="s">
        <v>17</v>
      </c>
      <c r="F12" s="11"/>
      <c r="G12" s="30"/>
    </row>
    <row r="13" spans="1:7">
      <c r="A13" s="1"/>
      <c r="B13" s="1"/>
      <c r="C13" s="1"/>
      <c r="D13" s="1"/>
      <c r="E13" s="1"/>
      <c r="F13" s="30"/>
      <c r="G13" s="30"/>
    </row>
    <row r="14" spans="1:7" ht="15.75">
      <c r="A14" s="1"/>
      <c r="B14" s="1"/>
      <c r="C14" s="423" t="s">
        <v>410</v>
      </c>
      <c r="D14" s="1"/>
      <c r="E14" s="1"/>
      <c r="F14" s="387"/>
      <c r="G14" s="30"/>
    </row>
    <row r="15" spans="1:7">
      <c r="A15" s="1"/>
      <c r="B15" s="1"/>
      <c r="C15" s="1"/>
      <c r="D15" s="1"/>
      <c r="E15" s="1"/>
    </row>
    <row r="16" spans="1:7">
      <c r="A16" s="736">
        <f>1</f>
        <v>1</v>
      </c>
      <c r="B16" s="567"/>
      <c r="C16" s="604" t="str">
        <f>CONCATENATE(H68,I77," (1)")</f>
        <v>Actual Transmission Revenue Requirement for 12 Months Ended 12/31/2015 (1)</v>
      </c>
      <c r="D16" s="567"/>
      <c r="E16" s="747">
        <v>71564068.9381935</v>
      </c>
      <c r="F16" s="577"/>
    </row>
    <row r="17" spans="1:12" ht="33.75" customHeight="1">
      <c r="A17" s="637">
        <f t="shared" ref="A17:A24" si="0">+A16+1</f>
        <v>2</v>
      </c>
      <c r="B17" s="567"/>
      <c r="C17" s="604" t="str">
        <f>CONCATENATE(H70,I76,"  (2)")</f>
        <v>Include: True Up Under/(Over) Recovery Adjustment for EKPC Appendix H-24A: Adjustment for 12 mo. ended 12/31/2014  (2)</v>
      </c>
      <c r="D17" s="567"/>
      <c r="E17" s="747">
        <f>-1330579.23</f>
        <v>-1330579.23</v>
      </c>
      <c r="F17" s="577"/>
    </row>
    <row r="18" spans="1:12">
      <c r="A18" s="637">
        <f t="shared" si="0"/>
        <v>3</v>
      </c>
      <c r="B18" s="567"/>
      <c r="C18" s="604" t="str">
        <f>CONCATENATE("Transmission revenue requirements for the 12 months ended ",I77,"             (Line 1 + Line 2 )")</f>
        <v>Transmission revenue requirements for the 12 months ended 12/31/2015             (Line 1 + Line 2 )</v>
      </c>
      <c r="D18" s="567"/>
      <c r="E18" s="401">
        <f>E16+E17</f>
        <v>70233489.708193496</v>
      </c>
      <c r="F18" s="577"/>
    </row>
    <row r="19" spans="1:12">
      <c r="A19" s="637">
        <f t="shared" si="0"/>
        <v>4</v>
      </c>
      <c r="B19" s="567"/>
      <c r="C19" s="604" t="str">
        <f>CONCATENATE(H71,I77," (3)")</f>
        <v>Less: Actual Transmission Revenue Collected for 12 months Ended 12/31/2015 (3)</v>
      </c>
      <c r="D19" s="567"/>
      <c r="E19" s="638">
        <f>78633936.69+687542.46+149709.11</f>
        <v>79471188.25999999</v>
      </c>
      <c r="F19" s="577"/>
    </row>
    <row r="20" spans="1:12">
      <c r="A20" s="637">
        <f t="shared" si="0"/>
        <v>5</v>
      </c>
      <c r="B20" s="567"/>
      <c r="C20" s="604" t="s">
        <v>634</v>
      </c>
      <c r="D20" s="567"/>
      <c r="E20" s="401">
        <f>E18-E19</f>
        <v>-9237698.5518064946</v>
      </c>
      <c r="F20" s="577"/>
    </row>
    <row r="21" spans="1:12">
      <c r="A21" s="637">
        <f t="shared" si="0"/>
        <v>6</v>
      </c>
      <c r="B21" s="567"/>
      <c r="C21" s="604" t="s">
        <v>420</v>
      </c>
      <c r="D21" s="567"/>
      <c r="E21" s="537">
        <f>(0.2708%*15+0.2883%*3)/18</f>
        <v>2.7371666666666664E-3</v>
      </c>
      <c r="F21" s="577"/>
    </row>
    <row r="22" spans="1:12">
      <c r="A22" s="637">
        <f t="shared" si="0"/>
        <v>7</v>
      </c>
      <c r="B22" s="567"/>
      <c r="C22" s="604" t="s">
        <v>419</v>
      </c>
      <c r="D22" s="567"/>
      <c r="E22" s="748">
        <v>24</v>
      </c>
      <c r="F22" s="577"/>
    </row>
    <row r="23" spans="1:12">
      <c r="A23" s="637">
        <f t="shared" si="0"/>
        <v>8</v>
      </c>
      <c r="B23" s="567"/>
      <c r="C23" s="604" t="s">
        <v>631</v>
      </c>
      <c r="D23" s="567"/>
      <c r="E23" s="638">
        <f>E20*E21*E22</f>
        <v>-606842.89326527214</v>
      </c>
      <c r="F23" s="577"/>
    </row>
    <row r="24" spans="1:12" ht="15" customHeight="1" thickBot="1">
      <c r="A24" s="637">
        <f t="shared" si="0"/>
        <v>9</v>
      </c>
      <c r="B24" s="567"/>
      <c r="C24" s="604" t="s">
        <v>635</v>
      </c>
      <c r="D24" s="567"/>
      <c r="E24" s="639">
        <f>E20+E23</f>
        <v>-9844541.4450717662</v>
      </c>
      <c r="F24" s="577"/>
    </row>
    <row r="25" spans="1:12" ht="15.75" thickTop="1">
      <c r="A25" s="637"/>
      <c r="B25" s="567"/>
      <c r="C25" s="604"/>
      <c r="D25" s="567"/>
      <c r="E25" s="640"/>
      <c r="F25" s="577"/>
    </row>
    <row r="26" spans="1:12">
      <c r="A26" s="637"/>
      <c r="B26" s="780" t="s">
        <v>144</v>
      </c>
      <c r="C26" s="780"/>
      <c r="D26" s="632"/>
      <c r="E26" s="632"/>
      <c r="F26" s="577"/>
    </row>
    <row r="27" spans="1:12">
      <c r="A27" s="637"/>
      <c r="B27" s="613" t="s">
        <v>16</v>
      </c>
      <c r="C27" s="771" t="str">
        <f>CONCATENATE("Revenue requirement from Page 1 of 5, line 7 of ",EKPC!J1,"  for the referenced year.")</f>
        <v>Revenue requirement from Page 1 of 5, line 7 of Attachment H-24A  for the referenced year.</v>
      </c>
      <c r="D27" s="781"/>
      <c r="E27" s="781"/>
      <c r="F27" s="577"/>
    </row>
    <row r="28" spans="1:12" ht="15.75">
      <c r="A28" s="637"/>
      <c r="B28" s="404" t="s">
        <v>17</v>
      </c>
      <c r="C28" s="567" t="str">
        <f>CONCATENATE("EKPC ",EKPC!J1,", page 1 of 5, Line 6a for the referenced recovery year")</f>
        <v>EKPC Attachment H-24A, page 1 of 5, Line 6a for the referenced recovery year</v>
      </c>
      <c r="D28" s="567"/>
      <c r="E28" s="567"/>
      <c r="F28" s="577"/>
      <c r="L28" s="727"/>
    </row>
    <row r="29" spans="1:12">
      <c r="A29" s="637"/>
      <c r="B29" s="641" t="s">
        <v>18</v>
      </c>
      <c r="C29" s="771" t="str">
        <f>CONCATENATE("Revenue received under PJM Tariff Schedules 7 and 8 under ",EKPC!J1," for the referenced year.")</f>
        <v>Revenue received under PJM Tariff Schedules 7 and 8 under Attachment H-24A for the referenced year.</v>
      </c>
      <c r="D29" s="771"/>
      <c r="E29" s="771"/>
      <c r="F29" s="577"/>
    </row>
    <row r="30" spans="1:12">
      <c r="A30" s="637"/>
      <c r="B30" s="641" t="s">
        <v>19</v>
      </c>
      <c r="C30" s="567" t="s">
        <v>636</v>
      </c>
      <c r="D30" s="567"/>
      <c r="E30" s="567"/>
      <c r="F30" s="577"/>
    </row>
    <row r="31" spans="1:12">
      <c r="A31" s="637"/>
      <c r="B31" s="641" t="s">
        <v>20</v>
      </c>
      <c r="C31" s="604" t="str">
        <f>CONCATENATE("Goes to  ",EKPC!J1,", page 1 of 5, line 6a")</f>
        <v>Goes to  Attachment H-24A, page 1 of 5, line 6a</v>
      </c>
      <c r="D31" s="567"/>
      <c r="E31" s="567"/>
      <c r="F31" s="577"/>
    </row>
    <row r="32" spans="1:12">
      <c r="A32" s="30"/>
      <c r="B32" s="30"/>
      <c r="C32" s="30"/>
      <c r="D32" s="30"/>
      <c r="E32" s="585" t="str">
        <f>E1</f>
        <v>Attachment H-24A</v>
      </c>
      <c r="F32" s="577"/>
    </row>
    <row r="33" spans="1:6">
      <c r="A33" s="30"/>
      <c r="B33" s="30"/>
      <c r="C33" s="733"/>
      <c r="D33" s="30"/>
      <c r="E33" s="585" t="s">
        <v>406</v>
      </c>
      <c r="F33" s="577"/>
    </row>
    <row r="34" spans="1:6">
      <c r="A34" s="30"/>
      <c r="B34" s="30"/>
      <c r="C34" s="30"/>
      <c r="D34" s="30"/>
      <c r="E34" s="167" t="s">
        <v>161</v>
      </c>
      <c r="F34" s="577"/>
    </row>
    <row r="35" spans="1:6">
      <c r="A35" s="30"/>
      <c r="B35" s="30"/>
      <c r="C35" s="30"/>
      <c r="D35" s="30"/>
      <c r="E35" s="31" t="str">
        <f>E4</f>
        <v>For the 12 months ended 12/31/2015</v>
      </c>
      <c r="F35" s="577"/>
    </row>
    <row r="36" spans="1:6">
      <c r="A36" s="84" t="s">
        <v>212</v>
      </c>
      <c r="B36" s="94"/>
      <c r="C36" s="94"/>
      <c r="D36" s="84"/>
      <c r="E36" s="84"/>
      <c r="F36" s="84"/>
    </row>
    <row r="37" spans="1:6">
      <c r="A37" s="85" t="str">
        <f>CONCATENATE("Utilizing ",EKPC!J1)</f>
        <v>Utilizing Attachment H-24A</v>
      </c>
      <c r="B37" s="94"/>
      <c r="C37" s="94"/>
      <c r="D37" s="84"/>
      <c r="E37" s="84"/>
      <c r="F37" s="84"/>
    </row>
    <row r="38" spans="1:6">
      <c r="A38" s="86"/>
      <c r="B38" s="94"/>
      <c r="C38" s="94"/>
      <c r="D38" s="86"/>
      <c r="E38" s="86"/>
      <c r="F38" s="86"/>
    </row>
    <row r="39" spans="1:6">
      <c r="A39" s="776" t="str">
        <f>A8</f>
        <v>East Kentucky Power Cooperative, Inc.</v>
      </c>
      <c r="B39" s="776"/>
      <c r="C39" s="776"/>
      <c r="D39" s="776"/>
      <c r="E39" s="776"/>
      <c r="F39" s="776"/>
    </row>
    <row r="40" spans="1:6">
      <c r="A40" s="642" t="s">
        <v>607</v>
      </c>
      <c r="B40" s="94"/>
      <c r="C40" s="94"/>
      <c r="D40" s="86"/>
      <c r="E40" s="86"/>
      <c r="F40" s="86"/>
    </row>
    <row r="41" spans="1:6">
      <c r="A41" s="86" t="str">
        <f>CONCATENATE("To be completed in conjunction with ",EKPC!J1)</f>
        <v>To be completed in conjunction with Attachment H-24A</v>
      </c>
      <c r="B41" s="94"/>
      <c r="C41" s="94"/>
      <c r="D41" s="86"/>
      <c r="E41" s="86"/>
      <c r="F41" s="86"/>
    </row>
    <row r="42" spans="1:6">
      <c r="A42" s="142" t="s">
        <v>6</v>
      </c>
      <c r="B42" s="9"/>
      <c r="C42" s="10"/>
      <c r="D42" s="10"/>
      <c r="E42" s="9"/>
      <c r="F42" s="12"/>
    </row>
    <row r="43" spans="1:6">
      <c r="A43" s="162" t="s">
        <v>8</v>
      </c>
      <c r="B43" s="9"/>
      <c r="C43" s="11" t="s">
        <v>16</v>
      </c>
      <c r="D43" s="11"/>
      <c r="E43" s="11" t="s">
        <v>17</v>
      </c>
      <c r="F43" s="11"/>
    </row>
    <row r="44" spans="1:6">
      <c r="A44" s="567"/>
      <c r="B44" s="567"/>
      <c r="C44" s="567"/>
      <c r="D44" s="567"/>
      <c r="E44" s="567"/>
      <c r="F44" s="30"/>
    </row>
    <row r="45" spans="1:6" ht="15.75">
      <c r="A45" s="567"/>
      <c r="B45" s="567"/>
      <c r="C45" s="643" t="s">
        <v>411</v>
      </c>
      <c r="D45" s="567"/>
      <c r="E45" s="567"/>
      <c r="F45" s="577"/>
    </row>
    <row r="46" spans="1:6">
      <c r="A46" s="637">
        <f>+A24+1</f>
        <v>10</v>
      </c>
      <c r="B46" s="567"/>
      <c r="C46" s="644" t="str">
        <f>CONCATENATE(H68,I77," (6)")</f>
        <v>Actual Transmission Revenue Requirement for 12 Months Ended 12/31/2015 (6)</v>
      </c>
      <c r="D46" s="567"/>
      <c r="E46" s="638">
        <f>2822000</f>
        <v>2822000</v>
      </c>
      <c r="F46" s="577"/>
    </row>
    <row r="47" spans="1:6" ht="30">
      <c r="A47" s="637">
        <f t="shared" ref="A47:A54" si="1">+A46+1</f>
        <v>11</v>
      </c>
      <c r="B47" s="567"/>
      <c r="C47" s="604" t="str">
        <f>CONCATENATE(H72,I76,"  (7)")</f>
        <v>Include: True Up Under/(Over) Recovery Adjustment for EKPC Sch. 1A for for 12 mo. ended 12/31/2014  (7)</v>
      </c>
      <c r="D47" s="567"/>
      <c r="E47" s="749">
        <f>237098</f>
        <v>237098</v>
      </c>
      <c r="F47" s="577"/>
    </row>
    <row r="48" spans="1:6">
      <c r="A48" s="637">
        <f t="shared" si="1"/>
        <v>12</v>
      </c>
      <c r="B48" s="567"/>
      <c r="C48" s="735" t="s">
        <v>639</v>
      </c>
      <c r="D48" s="567"/>
      <c r="E48" s="645">
        <f>E46+E47</f>
        <v>3059098</v>
      </c>
      <c r="F48" s="577"/>
    </row>
    <row r="49" spans="1:7">
      <c r="A49" s="637">
        <f t="shared" si="1"/>
        <v>13</v>
      </c>
      <c r="B49" s="567"/>
      <c r="C49" s="604" t="str">
        <f>CONCATENATE(H81,I77," (8)")</f>
        <v>Less: Actual Sch. 1A Revenue Collected for 12 months Ended 12/31/2015 (8)</v>
      </c>
      <c r="D49" s="567"/>
      <c r="E49" s="567">
        <v>2614475.09</v>
      </c>
      <c r="F49" s="577"/>
    </row>
    <row r="50" spans="1:7">
      <c r="A50" s="400">
        <f t="shared" si="1"/>
        <v>14</v>
      </c>
      <c r="B50" s="1"/>
      <c r="C50" s="389" t="s">
        <v>442</v>
      </c>
      <c r="D50" s="1"/>
      <c r="E50" s="401">
        <f>E48-E49</f>
        <v>444622.91000000015</v>
      </c>
    </row>
    <row r="51" spans="1:7">
      <c r="A51" s="400">
        <f t="shared" si="1"/>
        <v>15</v>
      </c>
      <c r="B51" s="1"/>
      <c r="C51" s="502" t="s">
        <v>553</v>
      </c>
      <c r="D51" s="1"/>
      <c r="E51" s="402">
        <f>E21</f>
        <v>2.7371666666666664E-3</v>
      </c>
    </row>
    <row r="52" spans="1:7">
      <c r="A52" s="400">
        <f t="shared" si="1"/>
        <v>16</v>
      </c>
      <c r="B52" s="1"/>
      <c r="C52" s="389" t="s">
        <v>419</v>
      </c>
      <c r="D52" s="1"/>
      <c r="E52" s="406">
        <f>E22</f>
        <v>24</v>
      </c>
      <c r="G52" s="710"/>
    </row>
    <row r="53" spans="1:7">
      <c r="A53" s="400">
        <f t="shared" si="1"/>
        <v>17</v>
      </c>
      <c r="B53" s="1"/>
      <c r="C53" s="517" t="s">
        <v>632</v>
      </c>
      <c r="D53" s="373"/>
      <c r="E53" s="399">
        <f>E50*E51*E52</f>
        <v>29208.168203720008</v>
      </c>
    </row>
    <row r="54" spans="1:7" ht="15.75" thickBot="1">
      <c r="A54" s="400">
        <f t="shared" si="1"/>
        <v>18</v>
      </c>
      <c r="B54" s="1"/>
      <c r="C54" s="389" t="s">
        <v>633</v>
      </c>
      <c r="D54" s="1"/>
      <c r="E54" s="403">
        <f>E50+E53</f>
        <v>473831.07820372016</v>
      </c>
    </row>
    <row r="55" spans="1:7" ht="15.75" thickTop="1">
      <c r="A55" s="1"/>
      <c r="B55" s="1"/>
      <c r="C55" s="1"/>
      <c r="D55" s="1"/>
      <c r="E55" s="1"/>
    </row>
    <row r="56" spans="1:7">
      <c r="A56" s="1"/>
      <c r="B56" s="780" t="s">
        <v>144</v>
      </c>
      <c r="C56" s="780"/>
      <c r="D56" s="369"/>
      <c r="E56" s="369"/>
    </row>
    <row r="57" spans="1:7">
      <c r="A57" s="1"/>
      <c r="B57" s="405" t="s">
        <v>413</v>
      </c>
      <c r="C57" s="782" t="str">
        <f>CONCATENATE("Revenue requirement calculated using EKPC ",EKPC!J1,",  Appendix A and actual cost information for the referenced year.")</f>
        <v>Revenue requirement calculated using EKPC Attachment H-24A,  Appendix A and actual cost information for the referenced year.</v>
      </c>
      <c r="D57" s="782"/>
      <c r="E57" s="782"/>
    </row>
    <row r="58" spans="1:7">
      <c r="A58" s="1"/>
      <c r="B58" s="405" t="s">
        <v>414</v>
      </c>
      <c r="C58" s="1" t="str">
        <f>CONCATENATE("EKPC ",EKPC!J1,", Appendix A, Line 6a for the referenced recovery year.")</f>
        <v>EKPC Attachment H-24A, Appendix A, Line 6a for the referenced recovery year.</v>
      </c>
      <c r="D58" s="1"/>
      <c r="E58" s="1"/>
    </row>
    <row r="59" spans="1:7">
      <c r="A59" s="1"/>
      <c r="B59" s="405" t="s">
        <v>415</v>
      </c>
      <c r="C59" s="778" t="str">
        <f>CONCATENATE("Revenue received from PJM under PJM Tariff Schedules 7 and 8 for the EKPC Zone under ",EKPC!J1," for the referenced year.")</f>
        <v>Revenue received from PJM under PJM Tariff Schedules 7 and 8 for the EKPC Zone under Attachment H-24A for the referenced year.</v>
      </c>
      <c r="D59" s="779"/>
      <c r="E59" s="779"/>
    </row>
    <row r="60" spans="1:7">
      <c r="A60" s="1"/>
      <c r="B60" s="405" t="s">
        <v>443</v>
      </c>
      <c r="C60" s="1" t="s">
        <v>441</v>
      </c>
    </row>
    <row r="61" spans="1:7">
      <c r="A61" s="1"/>
      <c r="B61" s="405" t="s">
        <v>444</v>
      </c>
      <c r="C61" s="389" t="str">
        <f>CONCATENATE("Goes to ",EKPC!J1,", Appendix A, line 4.")</f>
        <v>Goes to Attachment H-24A, Appendix A, line 4.</v>
      </c>
    </row>
    <row r="62" spans="1:7" ht="15" customHeight="1">
      <c r="A62" s="1"/>
    </row>
    <row r="63" spans="1:7">
      <c r="A63" s="1"/>
    </row>
    <row r="64" spans="1:7">
      <c r="A64" s="1"/>
    </row>
    <row r="65" spans="3:16">
      <c r="C65" s="390"/>
    </row>
    <row r="68" spans="3:16" hidden="1">
      <c r="H68" s="409" t="s">
        <v>407</v>
      </c>
      <c r="I68" s="410"/>
      <c r="J68" s="410"/>
      <c r="K68" s="410"/>
      <c r="L68" s="410"/>
      <c r="M68" s="410"/>
      <c r="N68" s="410"/>
      <c r="O68" s="410"/>
      <c r="P68" s="762"/>
    </row>
    <row r="69" spans="3:16" hidden="1">
      <c r="H69" s="411" t="s">
        <v>552</v>
      </c>
      <c r="I69" s="407"/>
      <c r="J69" s="407"/>
      <c r="K69" s="407"/>
      <c r="L69" s="407"/>
      <c r="M69" s="407"/>
      <c r="N69" s="407"/>
      <c r="O69" s="407"/>
      <c r="P69" s="763"/>
    </row>
    <row r="70" spans="3:16" hidden="1">
      <c r="H70" s="412" t="s">
        <v>637</v>
      </c>
      <c r="I70" s="407"/>
      <c r="J70" s="407"/>
      <c r="K70" s="407"/>
      <c r="L70" s="407"/>
      <c r="M70" s="407"/>
      <c r="N70" s="407"/>
      <c r="O70" s="407"/>
      <c r="P70" s="763"/>
    </row>
    <row r="71" spans="3:16" hidden="1">
      <c r="H71" s="412" t="s">
        <v>418</v>
      </c>
      <c r="I71" s="407"/>
      <c r="J71" s="407"/>
      <c r="K71" s="407"/>
      <c r="L71" s="407"/>
      <c r="M71" s="407"/>
      <c r="N71" s="407"/>
      <c r="O71" s="407"/>
      <c r="P71" s="763"/>
    </row>
    <row r="72" spans="3:16" hidden="1">
      <c r="H72" s="412" t="s">
        <v>638</v>
      </c>
      <c r="I72" s="407"/>
      <c r="J72" s="407"/>
      <c r="K72" s="407"/>
      <c r="L72" s="407"/>
      <c r="M72" s="407"/>
      <c r="N72" s="407"/>
      <c r="O72" s="407"/>
      <c r="P72" s="763"/>
    </row>
    <row r="73" spans="3:16" hidden="1">
      <c r="H73" s="412" t="s">
        <v>408</v>
      </c>
      <c r="I73" s="407"/>
      <c r="J73" s="407"/>
      <c r="K73" s="407"/>
      <c r="L73" s="407"/>
      <c r="M73" s="407"/>
      <c r="N73" s="407"/>
      <c r="O73" s="407"/>
      <c r="P73" s="763"/>
    </row>
    <row r="74" spans="3:16" hidden="1">
      <c r="H74" s="412" t="s">
        <v>409</v>
      </c>
      <c r="I74" s="407"/>
      <c r="J74" s="407"/>
      <c r="K74" s="407"/>
      <c r="L74" s="407"/>
      <c r="M74" s="407"/>
      <c r="N74" s="407"/>
      <c r="O74" s="407"/>
      <c r="P74" s="763"/>
    </row>
    <row r="75" spans="3:16" hidden="1">
      <c r="H75" s="413">
        <f>IF(OR(MOD(K77,400)=0,AND(MOD(K77,4)=0,MOD(K77,100)&lt;&gt;0)),DATEVALUE(RIGHT(EKPC!J7,10))-366-365, DATEVALUE(RIGHT(EKPC!J7,10))-365-365)</f>
        <v>41639</v>
      </c>
      <c r="I75" s="407" t="str">
        <f>TEXT(H75,"mm/dd/yyyy")</f>
        <v>12/31/2013</v>
      </c>
      <c r="J75" s="407"/>
      <c r="K75" s="764">
        <f>K76-1</f>
        <v>2013</v>
      </c>
      <c r="L75" s="407"/>
      <c r="M75" s="407"/>
      <c r="N75" s="407"/>
      <c r="O75" s="407"/>
      <c r="P75" s="763"/>
    </row>
    <row r="76" spans="3:16" hidden="1">
      <c r="H76" s="413">
        <f>IF(OR(MOD(K77,400)=0,AND(MOD(K77,4)=0,MOD(K77,100)&lt;&gt;0)),DATEVALUE(RIGHT(EKPC!J7,10))-366, DATEVALUE(RIGHT(EKPC!J7,10))-365)</f>
        <v>42004</v>
      </c>
      <c r="I76" s="407" t="str">
        <f>TEXT(H76,"mm/dd/yyyy")</f>
        <v>12/31/2014</v>
      </c>
      <c r="J76" s="407"/>
      <c r="K76" s="764">
        <f>K77-1</f>
        <v>2014</v>
      </c>
      <c r="L76" s="407"/>
      <c r="M76" s="407"/>
      <c r="N76" s="407"/>
      <c r="O76" s="407"/>
      <c r="P76" s="763"/>
    </row>
    <row r="77" spans="3:16" hidden="1">
      <c r="H77" s="413">
        <f>DATEVALUE(RIGHT(EKPC!J7,10))</f>
        <v>42369</v>
      </c>
      <c r="I77" s="407" t="str">
        <f>TEXT(H77,"mm/dd/yyyy")</f>
        <v>12/31/2015</v>
      </c>
      <c r="J77" s="407"/>
      <c r="K77" s="764" t="str">
        <f>RIGHT(EKPC!J7,4)</f>
        <v>2015</v>
      </c>
      <c r="L77" s="407"/>
      <c r="M77" s="407"/>
      <c r="N77" s="407"/>
      <c r="O77" s="407"/>
      <c r="P77" s="763"/>
    </row>
    <row r="78" spans="3:16" hidden="1">
      <c r="H78" s="413">
        <f>IF(OR(MOD(K78,400)=0,AND(MOD(K78,4)=0,MOD(K78,100)&lt;&gt;0)),DATEVALUE(RIGHT(EKPC!J7,10))+366, DATEVALUE(RIGHT(EKPC!J7,10))+365)</f>
        <v>42735</v>
      </c>
      <c r="I78" s="407" t="str">
        <f>TEXT(H78,"mm/dd/yyyy")</f>
        <v>12/31/2016</v>
      </c>
      <c r="J78" s="407"/>
      <c r="K78" s="764">
        <f>K77+1</f>
        <v>2016</v>
      </c>
      <c r="L78" s="407"/>
      <c r="M78" s="407"/>
      <c r="N78" s="407"/>
      <c r="O78" s="407"/>
      <c r="P78" s="763"/>
    </row>
    <row r="79" spans="3:16" hidden="1">
      <c r="H79" s="413"/>
      <c r="I79" s="407"/>
      <c r="J79" s="407"/>
      <c r="K79" s="765"/>
      <c r="L79" s="407"/>
      <c r="M79" s="407"/>
      <c r="N79" s="407"/>
      <c r="O79" s="407"/>
      <c r="P79" s="763"/>
    </row>
    <row r="80" spans="3:16" hidden="1">
      <c r="H80" s="412" t="s">
        <v>412</v>
      </c>
      <c r="I80" s="407"/>
      <c r="J80" s="407"/>
      <c r="K80" s="407"/>
      <c r="L80" s="407"/>
      <c r="M80" s="407"/>
      <c r="N80" s="407"/>
      <c r="O80" s="407"/>
      <c r="P80" s="763"/>
    </row>
    <row r="81" spans="8:16" hidden="1">
      <c r="H81" s="414" t="s">
        <v>421</v>
      </c>
      <c r="I81" s="408"/>
      <c r="J81" s="408"/>
      <c r="K81" s="408"/>
      <c r="L81" s="408"/>
      <c r="M81" s="408"/>
      <c r="N81" s="408"/>
      <c r="O81" s="408"/>
      <c r="P81" s="766"/>
    </row>
    <row r="82" spans="8:16" ht="15.75" hidden="1">
      <c r="H82" s="767" t="s">
        <v>557</v>
      </c>
      <c r="I82" s="767"/>
      <c r="J82" s="767"/>
      <c r="K82" s="767"/>
      <c r="L82" s="767"/>
      <c r="M82" s="765"/>
      <c r="N82" s="765"/>
      <c r="O82" s="765"/>
      <c r="P82" s="765"/>
    </row>
  </sheetData>
  <mergeCells count="8">
    <mergeCell ref="C59:E59"/>
    <mergeCell ref="A39:F39"/>
    <mergeCell ref="B56:C56"/>
    <mergeCell ref="A8:F8"/>
    <mergeCell ref="C27:E27"/>
    <mergeCell ref="B26:C26"/>
    <mergeCell ref="C29:E29"/>
    <mergeCell ref="C57:E57"/>
  </mergeCells>
  <pageMargins left="0.65" right="0.25" top="0.75" bottom="0.75" header="0.3" footer="0.3"/>
  <pageSetup scale="91" fitToHeight="2" orientation="landscape" r:id="rId1"/>
  <headerFooter alignWithMargins="0"/>
  <rowBreaks count="1" manualBreakCount="1">
    <brk id="31" max="5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pageSetUpPr fitToPage="1"/>
  </sheetPr>
  <dimension ref="A1:K103"/>
  <sheetViews>
    <sheetView topLeftCell="A3" zoomScale="80" zoomScaleNormal="80" zoomScaleSheetLayoutView="90" workbookViewId="0">
      <selection activeCell="H11" sqref="H11"/>
    </sheetView>
  </sheetViews>
  <sheetFormatPr defaultColWidth="8.77734375" defaultRowHeight="12.75"/>
  <cols>
    <col min="1" max="1" width="6.109375" style="178" customWidth="1"/>
    <col min="2" max="2" width="8.77734375" style="178"/>
    <col min="3" max="3" width="0.88671875" style="178" customWidth="1"/>
    <col min="4" max="4" width="8.77734375" style="178"/>
    <col min="5" max="5" width="1.5546875" style="178" customWidth="1"/>
    <col min="6" max="6" width="46.109375" style="178" customWidth="1"/>
    <col min="7" max="7" width="6" style="178" customWidth="1"/>
    <col min="8" max="8" width="9.6640625" style="180" customWidth="1"/>
    <col min="9" max="16384" width="8.77734375" style="178"/>
  </cols>
  <sheetData>
    <row r="1" spans="1:11" ht="15">
      <c r="A1" s="646"/>
      <c r="B1" s="646"/>
      <c r="C1" s="646"/>
      <c r="D1" s="646"/>
      <c r="E1" s="646"/>
      <c r="F1" s="646"/>
      <c r="G1" s="646"/>
      <c r="H1" s="137" t="str">
        <f>EKPC!J1</f>
        <v>Attachment H-24A</v>
      </c>
    </row>
    <row r="2" spans="1:11" ht="15">
      <c r="A2" s="646"/>
      <c r="B2" s="646"/>
      <c r="C2" s="646"/>
      <c r="D2" s="646"/>
      <c r="E2" s="646"/>
      <c r="F2" s="646"/>
      <c r="G2" s="646"/>
      <c r="H2" s="99" t="s">
        <v>375</v>
      </c>
    </row>
    <row r="3" spans="1:11" ht="15">
      <c r="A3" s="646"/>
      <c r="B3" s="646"/>
      <c r="C3" s="646"/>
      <c r="D3" s="646"/>
      <c r="E3" s="646"/>
      <c r="F3" s="646"/>
      <c r="G3" s="646"/>
      <c r="H3" s="647"/>
      <c r="K3" s="99"/>
    </row>
    <row r="4" spans="1:11" ht="15">
      <c r="A4" s="784" t="str">
        <f>EKPC!A11</f>
        <v>East Kentucky Power Cooperative, Inc.</v>
      </c>
      <c r="B4" s="784"/>
      <c r="C4" s="784"/>
      <c r="D4" s="784"/>
      <c r="E4" s="784"/>
      <c r="F4" s="784"/>
      <c r="G4" s="784"/>
      <c r="H4" s="784"/>
      <c r="K4" s="738"/>
    </row>
    <row r="5" spans="1:11" ht="15">
      <c r="A5" s="785" t="s">
        <v>608</v>
      </c>
      <c r="B5" s="785"/>
      <c r="C5" s="785"/>
      <c r="D5" s="785"/>
      <c r="E5" s="785"/>
      <c r="F5" s="785"/>
      <c r="G5" s="785"/>
      <c r="H5" s="785"/>
    </row>
    <row r="6" spans="1:11" ht="15">
      <c r="A6" s="786" t="str">
        <f>CONCATENATE("Rates effective for year ending December 31, ",TEXT(RIGHT(EKPC!J7,10),"YYYY"))</f>
        <v>Rates effective for year ending December 31, 2015</v>
      </c>
      <c r="B6" s="786"/>
      <c r="C6" s="786"/>
      <c r="D6" s="786"/>
      <c r="E6" s="786"/>
      <c r="F6" s="786"/>
      <c r="G6" s="786"/>
      <c r="H6" s="786"/>
    </row>
    <row r="7" spans="1:11" ht="15">
      <c r="A7" s="646"/>
      <c r="B7" s="646"/>
      <c r="C7" s="646"/>
      <c r="D7" s="646"/>
      <c r="E7" s="646"/>
      <c r="F7" s="646"/>
      <c r="G7" s="646"/>
      <c r="H7" s="647"/>
    </row>
    <row r="8" spans="1:11" ht="15">
      <c r="A8" s="646"/>
      <c r="B8" s="648" t="s">
        <v>301</v>
      </c>
      <c r="C8" s="648"/>
      <c r="D8" s="648" t="s">
        <v>302</v>
      </c>
      <c r="E8" s="648"/>
      <c r="F8" s="648"/>
      <c r="G8" s="648"/>
      <c r="H8" s="649" t="s">
        <v>215</v>
      </c>
    </row>
    <row r="9" spans="1:11" ht="15">
      <c r="A9" s="648" t="s">
        <v>6</v>
      </c>
      <c r="B9" s="648" t="s">
        <v>303</v>
      </c>
      <c r="C9" s="648"/>
      <c r="D9" s="648" t="s">
        <v>303</v>
      </c>
      <c r="E9" s="648"/>
      <c r="F9" s="648"/>
      <c r="G9" s="648"/>
      <c r="H9" s="649" t="s">
        <v>304</v>
      </c>
    </row>
    <row r="10" spans="1:11" ht="15">
      <c r="A10" s="650" t="s">
        <v>8</v>
      </c>
      <c r="B10" s="650" t="s">
        <v>305</v>
      </c>
      <c r="C10" s="650"/>
      <c r="D10" s="650" t="s">
        <v>305</v>
      </c>
      <c r="E10" s="650"/>
      <c r="F10" s="650" t="s">
        <v>306</v>
      </c>
      <c r="G10" s="650"/>
      <c r="H10" s="651" t="s">
        <v>307</v>
      </c>
    </row>
    <row r="11" spans="1:11" ht="15">
      <c r="A11" s="646"/>
      <c r="B11" s="612" t="s">
        <v>296</v>
      </c>
      <c r="C11" s="648"/>
      <c r="D11" s="612" t="s">
        <v>297</v>
      </c>
      <c r="E11" s="648"/>
      <c r="F11" s="648" t="s">
        <v>298</v>
      </c>
      <c r="G11" s="648"/>
      <c r="H11" s="652" t="s">
        <v>308</v>
      </c>
    </row>
    <row r="12" spans="1:11" ht="15">
      <c r="A12" s="646"/>
      <c r="B12" s="612"/>
      <c r="C12" s="648"/>
      <c r="D12" s="612"/>
      <c r="E12" s="648"/>
      <c r="F12" s="648"/>
      <c r="G12" s="648"/>
      <c r="H12" s="649" t="s">
        <v>86</v>
      </c>
    </row>
    <row r="13" spans="1:11" ht="15.75">
      <c r="A13" s="646"/>
      <c r="B13" s="653" t="s">
        <v>471</v>
      </c>
      <c r="C13" s="653"/>
      <c r="D13" s="508"/>
      <c r="E13" s="508"/>
      <c r="F13" s="508"/>
      <c r="G13" s="508"/>
      <c r="H13" s="642"/>
    </row>
    <row r="14" spans="1:11" ht="15">
      <c r="A14" s="646"/>
      <c r="B14" s="646"/>
      <c r="C14" s="646"/>
      <c r="D14" s="646"/>
      <c r="E14" s="646"/>
      <c r="F14" s="646"/>
      <c r="G14" s="646"/>
      <c r="H14" s="654"/>
    </row>
    <row r="15" spans="1:11" ht="15">
      <c r="A15" s="648">
        <v>1</v>
      </c>
      <c r="B15" s="648">
        <v>350</v>
      </c>
      <c r="C15" s="646"/>
      <c r="D15" s="648">
        <v>350010</v>
      </c>
      <c r="E15" s="646"/>
      <c r="F15" s="646" t="s">
        <v>580</v>
      </c>
      <c r="G15" s="646"/>
      <c r="H15" s="744">
        <v>0</v>
      </c>
      <c r="J15" s="571"/>
      <c r="K15" s="571"/>
    </row>
    <row r="16" spans="1:11" ht="15">
      <c r="A16" s="648">
        <v>2</v>
      </c>
      <c r="B16" s="648">
        <v>353</v>
      </c>
      <c r="C16" s="646"/>
      <c r="D16" s="648">
        <v>353000</v>
      </c>
      <c r="E16" s="646"/>
      <c r="F16" s="646" t="s">
        <v>309</v>
      </c>
      <c r="G16" s="646"/>
      <c r="H16" s="744">
        <v>1.79</v>
      </c>
    </row>
    <row r="17" spans="1:9" ht="15">
      <c r="A17" s="648">
        <v>3</v>
      </c>
      <c r="B17" s="648">
        <v>353</v>
      </c>
      <c r="C17" s="646"/>
      <c r="D17" s="648">
        <v>353010</v>
      </c>
      <c r="E17" s="646"/>
      <c r="F17" s="646" t="s">
        <v>333</v>
      </c>
      <c r="G17" s="646"/>
      <c r="H17" s="744">
        <v>1.79</v>
      </c>
    </row>
    <row r="18" spans="1:9" ht="15">
      <c r="A18" s="648">
        <v>4</v>
      </c>
      <c r="B18" s="648">
        <v>354</v>
      </c>
      <c r="C18" s="646"/>
      <c r="D18" s="648">
        <v>354000</v>
      </c>
      <c r="E18" s="646"/>
      <c r="F18" s="646" t="s">
        <v>334</v>
      </c>
      <c r="G18" s="646"/>
      <c r="H18" s="744">
        <v>0.71</v>
      </c>
    </row>
    <row r="19" spans="1:9" ht="15">
      <c r="A19" s="648">
        <v>5</v>
      </c>
      <c r="B19" s="648">
        <v>355</v>
      </c>
      <c r="C19" s="646"/>
      <c r="D19" s="648">
        <v>355000</v>
      </c>
      <c r="E19" s="646"/>
      <c r="F19" s="646" t="s">
        <v>310</v>
      </c>
      <c r="G19" s="646"/>
      <c r="H19" s="744">
        <v>1.56</v>
      </c>
    </row>
    <row r="20" spans="1:9" ht="15">
      <c r="A20" s="648">
        <v>6</v>
      </c>
      <c r="B20" s="648">
        <v>356</v>
      </c>
      <c r="C20" s="646"/>
      <c r="D20" s="648">
        <v>356000</v>
      </c>
      <c r="E20" s="646"/>
      <c r="F20" s="646" t="s">
        <v>311</v>
      </c>
      <c r="G20" s="646"/>
      <c r="H20" s="744">
        <v>1.49</v>
      </c>
    </row>
    <row r="21" spans="1:9" ht="15">
      <c r="A21" s="648">
        <v>7</v>
      </c>
      <c r="B21" s="648">
        <v>359</v>
      </c>
      <c r="C21" s="648"/>
      <c r="D21" s="648">
        <v>359000</v>
      </c>
      <c r="E21" s="646"/>
      <c r="F21" s="646" t="s">
        <v>345</v>
      </c>
      <c r="G21" s="646"/>
      <c r="H21" s="744">
        <v>2.778</v>
      </c>
    </row>
    <row r="22" spans="1:9" ht="15">
      <c r="A22" s="648"/>
      <c r="B22" s="648"/>
      <c r="C22" s="648"/>
      <c r="D22" s="648"/>
      <c r="E22" s="646"/>
      <c r="F22" s="646"/>
      <c r="G22" s="646"/>
      <c r="H22" s="744"/>
    </row>
    <row r="23" spans="1:9" ht="15.75">
      <c r="A23" s="648"/>
      <c r="B23" s="653" t="s">
        <v>312</v>
      </c>
      <c r="C23" s="508"/>
      <c r="D23" s="508"/>
      <c r="E23" s="508"/>
      <c r="F23" s="508"/>
      <c r="G23" s="508"/>
      <c r="H23" s="745"/>
    </row>
    <row r="24" spans="1:9" ht="15">
      <c r="A24" s="648"/>
      <c r="B24" s="648"/>
      <c r="C24" s="648"/>
      <c r="D24" s="648"/>
      <c r="E24" s="646"/>
      <c r="F24" s="646"/>
      <c r="G24" s="646"/>
      <c r="H24" s="744"/>
    </row>
    <row r="25" spans="1:9" ht="15">
      <c r="A25" s="648">
        <v>8</v>
      </c>
      <c r="B25" s="648">
        <v>303</v>
      </c>
      <c r="C25" s="181"/>
      <c r="D25" s="648">
        <v>303000</v>
      </c>
      <c r="E25" s="646"/>
      <c r="F25" s="646" t="s">
        <v>314</v>
      </c>
      <c r="G25" s="646"/>
      <c r="H25" s="744">
        <v>2.8570000000000002</v>
      </c>
      <c r="I25" s="182"/>
    </row>
    <row r="26" spans="1:9" ht="15">
      <c r="A26" s="648">
        <v>9</v>
      </c>
      <c r="B26" s="648">
        <v>390</v>
      </c>
      <c r="C26" s="181"/>
      <c r="D26" s="648">
        <v>390000</v>
      </c>
      <c r="E26" s="646"/>
      <c r="F26" s="646" t="s">
        <v>335</v>
      </c>
      <c r="G26" s="646"/>
      <c r="H26" s="744">
        <v>4.7779999999999996</v>
      </c>
    </row>
    <row r="27" spans="1:9" ht="15">
      <c r="A27" s="648">
        <v>10</v>
      </c>
      <c r="B27" s="648">
        <v>391</v>
      </c>
      <c r="C27" s="181"/>
      <c r="D27" s="648">
        <v>391000</v>
      </c>
      <c r="E27" s="646"/>
      <c r="F27" s="646" t="s">
        <v>336</v>
      </c>
      <c r="G27" s="646"/>
      <c r="H27" s="744">
        <v>0.2</v>
      </c>
    </row>
    <row r="28" spans="1:9" ht="15">
      <c r="A28" s="648">
        <v>11</v>
      </c>
      <c r="B28" s="648">
        <v>391</v>
      </c>
      <c r="C28" s="181"/>
      <c r="D28" s="648">
        <v>391001</v>
      </c>
      <c r="E28" s="646"/>
      <c r="F28" s="646" t="s">
        <v>337</v>
      </c>
      <c r="G28" s="646"/>
      <c r="H28" s="744">
        <v>20</v>
      </c>
    </row>
    <row r="29" spans="1:9" ht="15">
      <c r="A29" s="648">
        <v>12</v>
      </c>
      <c r="B29" s="648">
        <v>392</v>
      </c>
      <c r="C29" s="181"/>
      <c r="D29" s="648">
        <v>392000</v>
      </c>
      <c r="E29" s="646"/>
      <c r="F29" s="646" t="s">
        <v>313</v>
      </c>
      <c r="G29" s="646"/>
      <c r="H29" s="746">
        <v>16.667000000000002</v>
      </c>
    </row>
    <row r="30" spans="1:9" ht="15">
      <c r="A30" s="648">
        <v>13</v>
      </c>
      <c r="B30" s="648">
        <v>393</v>
      </c>
      <c r="C30" s="181"/>
      <c r="D30" s="648">
        <v>393000</v>
      </c>
      <c r="E30" s="646"/>
      <c r="F30" s="646" t="s">
        <v>315</v>
      </c>
      <c r="G30" s="646"/>
      <c r="H30" s="746">
        <v>10</v>
      </c>
    </row>
    <row r="31" spans="1:9" ht="15">
      <c r="A31" s="648">
        <v>14</v>
      </c>
      <c r="B31" s="648">
        <v>394</v>
      </c>
      <c r="C31" s="181"/>
      <c r="D31" s="648">
        <v>394000</v>
      </c>
      <c r="E31" s="646"/>
      <c r="F31" s="646" t="s">
        <v>338</v>
      </c>
      <c r="G31" s="646"/>
      <c r="H31" s="744">
        <v>10</v>
      </c>
    </row>
    <row r="32" spans="1:9" ht="15">
      <c r="A32" s="648">
        <v>15</v>
      </c>
      <c r="B32" s="648">
        <v>395</v>
      </c>
      <c r="C32" s="181"/>
      <c r="D32" s="648">
        <v>395000</v>
      </c>
      <c r="E32" s="646"/>
      <c r="F32" s="646" t="s">
        <v>339</v>
      </c>
      <c r="G32" s="646"/>
      <c r="H32" s="744">
        <v>10</v>
      </c>
    </row>
    <row r="33" spans="1:8" ht="15">
      <c r="A33" s="648">
        <v>16</v>
      </c>
      <c r="B33" s="648">
        <v>396</v>
      </c>
      <c r="C33" s="181"/>
      <c r="D33" s="648">
        <v>396000</v>
      </c>
      <c r="E33" s="646"/>
      <c r="F33" s="646" t="s">
        <v>340</v>
      </c>
      <c r="G33" s="646"/>
      <c r="H33" s="744">
        <v>10</v>
      </c>
    </row>
    <row r="34" spans="1:8" ht="15">
      <c r="A34" s="648">
        <v>17</v>
      </c>
      <c r="B34" s="648">
        <v>397</v>
      </c>
      <c r="C34" s="181"/>
      <c r="D34" s="648">
        <v>397000</v>
      </c>
      <c r="E34" s="646"/>
      <c r="F34" s="646" t="s">
        <v>341</v>
      </c>
      <c r="G34" s="646"/>
      <c r="H34" s="744">
        <v>10</v>
      </c>
    </row>
    <row r="35" spans="1:8" ht="15">
      <c r="A35" s="648">
        <v>18</v>
      </c>
      <c r="B35" s="648">
        <v>397</v>
      </c>
      <c r="C35" s="648"/>
      <c r="D35" s="648">
        <v>397000</v>
      </c>
      <c r="E35" s="646"/>
      <c r="F35" s="646" t="s">
        <v>342</v>
      </c>
      <c r="G35" s="646"/>
      <c r="H35" s="744">
        <v>3.03</v>
      </c>
    </row>
    <row r="36" spans="1:8" ht="15">
      <c r="A36" s="648">
        <v>19</v>
      </c>
      <c r="B36" s="648">
        <v>397</v>
      </c>
      <c r="C36" s="648"/>
      <c r="D36" s="648">
        <v>397001</v>
      </c>
      <c r="E36" s="646"/>
      <c r="F36" s="646" t="s">
        <v>343</v>
      </c>
      <c r="G36" s="646"/>
      <c r="H36" s="744">
        <v>10</v>
      </c>
    </row>
    <row r="37" spans="1:8" ht="15">
      <c r="A37" s="648">
        <v>20</v>
      </c>
      <c r="B37" s="648">
        <v>398</v>
      </c>
      <c r="C37" s="648"/>
      <c r="D37" s="648">
        <v>398000</v>
      </c>
      <c r="E37" s="646"/>
      <c r="F37" s="646" t="s">
        <v>344</v>
      </c>
      <c r="G37" s="646"/>
      <c r="H37" s="744">
        <v>10</v>
      </c>
    </row>
    <row r="38" spans="1:8" ht="15">
      <c r="A38" s="646"/>
      <c r="B38" s="648"/>
      <c r="C38" s="648"/>
      <c r="D38" s="648"/>
      <c r="E38" s="646"/>
      <c r="F38" s="646"/>
      <c r="G38" s="646"/>
      <c r="H38" s="655"/>
    </row>
    <row r="39" spans="1:8" ht="15">
      <c r="A39" s="646"/>
      <c r="B39" s="783" t="s">
        <v>445</v>
      </c>
      <c r="C39" s="783"/>
      <c r="D39" s="783"/>
      <c r="E39" s="783"/>
      <c r="F39" s="783"/>
      <c r="G39" s="646"/>
      <c r="H39" s="647"/>
    </row>
    <row r="40" spans="1:8" ht="15">
      <c r="A40" s="646"/>
      <c r="B40" s="612" t="s">
        <v>16</v>
      </c>
      <c r="C40" s="648"/>
      <c r="D40" s="720" t="s">
        <v>446</v>
      </c>
      <c r="E40" s="647"/>
      <c r="F40" s="647"/>
      <c r="G40" s="646"/>
      <c r="H40" s="647"/>
    </row>
    <row r="41" spans="1:8">
      <c r="B41" s="179"/>
      <c r="C41" s="179"/>
      <c r="D41" s="179"/>
    </row>
    <row r="42" spans="1:8">
      <c r="B42" s="179"/>
      <c r="C42" s="179"/>
      <c r="D42" s="179"/>
    </row>
    <row r="43" spans="1:8">
      <c r="B43" s="179"/>
      <c r="C43" s="179"/>
      <c r="D43" s="179"/>
    </row>
    <row r="44" spans="1:8">
      <c r="B44" s="179"/>
      <c r="C44" s="179"/>
      <c r="D44" s="179"/>
    </row>
    <row r="45" spans="1:8">
      <c r="B45" s="179"/>
      <c r="C45" s="179"/>
      <c r="D45" s="179"/>
    </row>
    <row r="46" spans="1:8">
      <c r="B46" s="179"/>
      <c r="C46" s="179"/>
      <c r="D46" s="179"/>
    </row>
    <row r="47" spans="1:8">
      <c r="B47" s="179"/>
      <c r="C47" s="179"/>
      <c r="D47" s="179"/>
    </row>
    <row r="48" spans="1:8">
      <c r="B48" s="179"/>
      <c r="C48" s="179"/>
      <c r="D48" s="179"/>
    </row>
    <row r="49" spans="2:4">
      <c r="B49" s="179"/>
      <c r="C49" s="179"/>
      <c r="D49" s="179"/>
    </row>
    <row r="50" spans="2:4">
      <c r="B50" s="179"/>
      <c r="C50" s="179"/>
      <c r="D50" s="179"/>
    </row>
    <row r="51" spans="2:4">
      <c r="B51" s="179"/>
      <c r="C51" s="179"/>
      <c r="D51" s="179"/>
    </row>
    <row r="52" spans="2:4">
      <c r="B52" s="179"/>
      <c r="C52" s="179"/>
      <c r="D52" s="179"/>
    </row>
    <row r="53" spans="2:4">
      <c r="B53" s="179"/>
      <c r="C53" s="179"/>
      <c r="D53" s="179"/>
    </row>
    <row r="54" spans="2:4">
      <c r="B54" s="179"/>
      <c r="C54" s="179"/>
      <c r="D54" s="179"/>
    </row>
    <row r="55" spans="2:4">
      <c r="B55" s="179"/>
      <c r="C55" s="179"/>
      <c r="D55" s="179"/>
    </row>
    <row r="56" spans="2:4">
      <c r="B56" s="179"/>
      <c r="C56" s="179"/>
      <c r="D56" s="179"/>
    </row>
    <row r="57" spans="2:4">
      <c r="B57" s="179"/>
      <c r="C57" s="179"/>
      <c r="D57" s="179"/>
    </row>
    <row r="58" spans="2:4">
      <c r="B58" s="179"/>
      <c r="C58" s="179"/>
      <c r="D58" s="179"/>
    </row>
    <row r="59" spans="2:4">
      <c r="B59" s="179"/>
      <c r="C59" s="179"/>
      <c r="D59" s="179"/>
    </row>
    <row r="60" spans="2:4">
      <c r="B60" s="179"/>
      <c r="C60" s="179"/>
      <c r="D60" s="179"/>
    </row>
    <row r="61" spans="2:4">
      <c r="B61" s="179"/>
      <c r="C61" s="179"/>
      <c r="D61" s="179"/>
    </row>
    <row r="62" spans="2:4">
      <c r="B62" s="179"/>
      <c r="C62" s="179"/>
      <c r="D62" s="179"/>
    </row>
    <row r="63" spans="2:4">
      <c r="B63" s="179"/>
      <c r="C63" s="179"/>
      <c r="D63" s="179"/>
    </row>
    <row r="64" spans="2:4">
      <c r="B64" s="179"/>
      <c r="C64" s="179"/>
      <c r="D64" s="179"/>
    </row>
    <row r="65" spans="2:4">
      <c r="B65" s="179"/>
      <c r="C65" s="179"/>
      <c r="D65" s="179"/>
    </row>
    <row r="66" spans="2:4">
      <c r="B66" s="179"/>
      <c r="C66" s="179"/>
      <c r="D66" s="179"/>
    </row>
    <row r="67" spans="2:4">
      <c r="B67" s="179"/>
      <c r="C67" s="179"/>
      <c r="D67" s="179"/>
    </row>
    <row r="68" spans="2:4">
      <c r="B68" s="179"/>
      <c r="C68" s="179"/>
      <c r="D68" s="179"/>
    </row>
    <row r="69" spans="2:4">
      <c r="B69" s="179"/>
      <c r="C69" s="179"/>
      <c r="D69" s="179"/>
    </row>
    <row r="70" spans="2:4">
      <c r="B70" s="179"/>
      <c r="C70" s="179"/>
      <c r="D70" s="179"/>
    </row>
    <row r="71" spans="2:4">
      <c r="B71" s="179"/>
      <c r="C71" s="179"/>
      <c r="D71" s="179"/>
    </row>
    <row r="72" spans="2:4">
      <c r="B72" s="179"/>
      <c r="C72" s="179"/>
      <c r="D72" s="179"/>
    </row>
    <row r="73" spans="2:4">
      <c r="B73" s="179"/>
      <c r="C73" s="179"/>
      <c r="D73" s="179"/>
    </row>
    <row r="74" spans="2:4">
      <c r="B74" s="179"/>
      <c r="C74" s="179"/>
      <c r="D74" s="179"/>
    </row>
    <row r="75" spans="2:4">
      <c r="B75" s="179"/>
      <c r="C75" s="179"/>
      <c r="D75" s="179"/>
    </row>
    <row r="76" spans="2:4">
      <c r="B76" s="179"/>
      <c r="C76" s="179"/>
      <c r="D76" s="179"/>
    </row>
    <row r="77" spans="2:4">
      <c r="B77" s="179"/>
      <c r="C77" s="179"/>
      <c r="D77" s="179"/>
    </row>
    <row r="78" spans="2:4">
      <c r="B78" s="179"/>
      <c r="C78" s="179"/>
      <c r="D78" s="179"/>
    </row>
    <row r="79" spans="2:4">
      <c r="B79" s="179"/>
      <c r="C79" s="179"/>
      <c r="D79" s="179"/>
    </row>
    <row r="80" spans="2:4">
      <c r="B80" s="179"/>
      <c r="C80" s="179"/>
      <c r="D80" s="179"/>
    </row>
    <row r="81" spans="2:4">
      <c r="B81" s="179"/>
      <c r="C81" s="179"/>
      <c r="D81" s="179"/>
    </row>
    <row r="82" spans="2:4">
      <c r="B82" s="179"/>
      <c r="C82" s="179"/>
      <c r="D82" s="179"/>
    </row>
    <row r="83" spans="2:4">
      <c r="B83" s="179"/>
      <c r="C83" s="179"/>
      <c r="D83" s="179"/>
    </row>
    <row r="84" spans="2:4">
      <c r="B84" s="179"/>
      <c r="C84" s="179"/>
      <c r="D84" s="179"/>
    </row>
    <row r="85" spans="2:4">
      <c r="B85" s="179"/>
      <c r="C85" s="179"/>
      <c r="D85" s="179"/>
    </row>
    <row r="86" spans="2:4">
      <c r="B86" s="179"/>
      <c r="C86" s="179"/>
      <c r="D86" s="179"/>
    </row>
    <row r="87" spans="2:4">
      <c r="B87" s="179"/>
      <c r="C87" s="179"/>
      <c r="D87" s="179"/>
    </row>
    <row r="88" spans="2:4">
      <c r="B88" s="179"/>
      <c r="C88" s="179"/>
      <c r="D88" s="179"/>
    </row>
    <row r="89" spans="2:4">
      <c r="B89" s="179"/>
      <c r="C89" s="179"/>
      <c r="D89" s="179"/>
    </row>
    <row r="90" spans="2:4">
      <c r="B90" s="179"/>
      <c r="C90" s="179"/>
      <c r="D90" s="179"/>
    </row>
    <row r="91" spans="2:4">
      <c r="B91" s="179"/>
      <c r="C91" s="179"/>
      <c r="D91" s="179"/>
    </row>
    <row r="92" spans="2:4">
      <c r="B92" s="179"/>
      <c r="C92" s="179"/>
      <c r="D92" s="179"/>
    </row>
    <row r="93" spans="2:4">
      <c r="B93" s="179"/>
      <c r="C93" s="179"/>
      <c r="D93" s="179"/>
    </row>
    <row r="94" spans="2:4">
      <c r="B94" s="179"/>
      <c r="C94" s="179"/>
      <c r="D94" s="179"/>
    </row>
    <row r="95" spans="2:4">
      <c r="B95" s="179"/>
      <c r="C95" s="179"/>
      <c r="D95" s="179"/>
    </row>
    <row r="96" spans="2:4">
      <c r="B96" s="179"/>
      <c r="C96" s="179"/>
      <c r="D96" s="179"/>
    </row>
    <row r="97" spans="2:4">
      <c r="B97" s="179"/>
      <c r="C97" s="179"/>
      <c r="D97" s="179"/>
    </row>
    <row r="98" spans="2:4">
      <c r="B98" s="179"/>
      <c r="C98" s="179"/>
      <c r="D98" s="179"/>
    </row>
    <row r="99" spans="2:4">
      <c r="B99" s="179"/>
      <c r="C99" s="179"/>
      <c r="D99" s="179"/>
    </row>
    <row r="100" spans="2:4">
      <c r="B100" s="179"/>
      <c r="C100" s="179"/>
      <c r="D100" s="179"/>
    </row>
    <row r="101" spans="2:4">
      <c r="B101" s="179"/>
      <c r="C101" s="179"/>
      <c r="D101" s="179"/>
    </row>
    <row r="102" spans="2:4">
      <c r="B102" s="179"/>
      <c r="C102" s="179"/>
      <c r="D102" s="179"/>
    </row>
    <row r="103" spans="2:4">
      <c r="B103" s="179"/>
      <c r="C103" s="179"/>
      <c r="D103" s="179"/>
    </row>
  </sheetData>
  <mergeCells count="4">
    <mergeCell ref="B39:F39"/>
    <mergeCell ref="A4:H4"/>
    <mergeCell ref="A5:H5"/>
    <mergeCell ref="A6:H6"/>
  </mergeCells>
  <pageMargins left="1" right="1" top="1.25" bottom="0.75" header="0.75" footer="0.3"/>
  <pageSetup scale="79" orientation="portrait" blackAndWhite="1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P23"/>
  <sheetViews>
    <sheetView zoomScale="80" zoomScaleNormal="80" zoomScaleSheetLayoutView="110" workbookViewId="0">
      <selection activeCell="L54" sqref="L54"/>
    </sheetView>
  </sheetViews>
  <sheetFormatPr defaultRowHeight="15"/>
  <cols>
    <col min="1" max="1" width="5" customWidth="1"/>
    <col min="2" max="2" width="11.44140625" customWidth="1"/>
    <col min="3" max="3" width="12.6640625" customWidth="1"/>
    <col min="9" max="9" width="13.21875" bestFit="1" customWidth="1"/>
  </cols>
  <sheetData>
    <row r="1" spans="1:12">
      <c r="H1" s="1"/>
      <c r="I1" s="329" t="str">
        <f>EKPC!J1</f>
        <v>Attachment H-24A</v>
      </c>
    </row>
    <row r="2" spans="1:12">
      <c r="H2" s="1"/>
      <c r="I2" s="88" t="s">
        <v>554</v>
      </c>
    </row>
    <row r="3" spans="1:12">
      <c r="H3" s="1"/>
      <c r="I3" s="88" t="s">
        <v>384</v>
      </c>
      <c r="L3" s="738"/>
    </row>
    <row r="4" spans="1:12">
      <c r="B4" s="327"/>
      <c r="C4" s="327"/>
      <c r="D4" s="327"/>
      <c r="E4" s="327"/>
      <c r="F4" s="327"/>
      <c r="G4" s="88"/>
      <c r="H4" s="327"/>
      <c r="I4" s="88" t="s">
        <v>630</v>
      </c>
    </row>
    <row r="5" spans="1:12">
      <c r="B5" s="327"/>
      <c r="C5" s="327"/>
      <c r="D5" s="327"/>
      <c r="E5" s="327"/>
      <c r="F5" s="327"/>
      <c r="G5" s="88"/>
      <c r="H5" s="327"/>
      <c r="L5" s="88"/>
    </row>
    <row r="6" spans="1:12">
      <c r="B6" s="17" t="s">
        <v>320</v>
      </c>
      <c r="C6" s="336"/>
      <c r="D6" s="336"/>
      <c r="E6" s="336"/>
      <c r="F6" s="336"/>
      <c r="G6" s="336"/>
      <c r="H6" s="336"/>
      <c r="I6" s="336"/>
    </row>
    <row r="7" spans="1:12">
      <c r="B7" s="787" t="str">
        <f>EKPC!A9</f>
        <v>Utilizing EKPC 2015 Form FF1 Data (ver.FINAL AUDITED)</v>
      </c>
      <c r="C7" s="787"/>
      <c r="D7" s="787"/>
      <c r="E7" s="787"/>
      <c r="F7" s="787"/>
      <c r="G7" s="787"/>
      <c r="H7" s="787"/>
      <c r="I7" s="787"/>
    </row>
    <row r="8" spans="1:12">
      <c r="B8" s="327"/>
      <c r="C8" s="327"/>
      <c r="D8" s="327"/>
      <c r="E8" s="327"/>
      <c r="F8" s="327"/>
      <c r="G8" s="88"/>
      <c r="H8" s="327"/>
      <c r="I8" s="88"/>
    </row>
    <row r="9" spans="1:12" ht="15.75">
      <c r="A9" s="569"/>
      <c r="B9" s="656" t="s">
        <v>398</v>
      </c>
      <c r="C9" s="336"/>
      <c r="D9" s="336"/>
      <c r="E9" s="336"/>
      <c r="F9" s="336"/>
      <c r="G9" s="336"/>
      <c r="H9" s="336"/>
      <c r="I9" s="336"/>
    </row>
    <row r="10" spans="1:12" ht="15.75">
      <c r="A10" s="569"/>
      <c r="B10" s="656" t="s">
        <v>353</v>
      </c>
      <c r="C10" s="336"/>
      <c r="D10" s="336"/>
      <c r="E10" s="336"/>
      <c r="F10" s="336"/>
      <c r="G10" s="336"/>
      <c r="H10" s="336"/>
      <c r="I10" s="336"/>
    </row>
    <row r="11" spans="1:12" ht="15.75">
      <c r="A11" s="569"/>
      <c r="B11" s="657"/>
      <c r="C11" s="658"/>
      <c r="D11" s="658"/>
      <c r="E11" s="659"/>
      <c r="F11" s="659"/>
      <c r="G11" s="658"/>
      <c r="H11" s="658"/>
      <c r="I11" s="658"/>
    </row>
    <row r="12" spans="1:12" ht="33" customHeight="1">
      <c r="A12" s="660" t="s">
        <v>188</v>
      </c>
      <c r="B12" s="661"/>
      <c r="C12" s="662" t="s">
        <v>354</v>
      </c>
      <c r="D12" s="662"/>
      <c r="E12" s="662" t="s">
        <v>355</v>
      </c>
      <c r="F12" s="662"/>
      <c r="G12" s="663" t="s">
        <v>609</v>
      </c>
      <c r="H12" s="661"/>
      <c r="I12" s="663" t="s">
        <v>610</v>
      </c>
    </row>
    <row r="13" spans="1:12">
      <c r="A13" s="312">
        <v>1</v>
      </c>
      <c r="B13" s="658" t="s">
        <v>149</v>
      </c>
      <c r="C13" s="743">
        <v>36357944</v>
      </c>
      <c r="D13" s="677"/>
      <c r="E13" s="664">
        <f>C13/C16</f>
        <v>0.63552424118467021</v>
      </c>
      <c r="F13" s="664"/>
      <c r="G13" s="725">
        <f>G16*E13</f>
        <v>0</v>
      </c>
      <c r="H13" s="658"/>
      <c r="I13" s="658"/>
    </row>
    <row r="14" spans="1:12">
      <c r="A14" s="312">
        <f>+A13+1</f>
        <v>2</v>
      </c>
      <c r="B14" s="658" t="s">
        <v>22</v>
      </c>
      <c r="C14" s="725">
        <v>20640035</v>
      </c>
      <c r="D14" s="678"/>
      <c r="E14" s="664">
        <f>C14/C16</f>
        <v>0.36078064759107487</v>
      </c>
      <c r="F14" s="664"/>
      <c r="G14" s="725">
        <f>E14*G16</f>
        <v>0</v>
      </c>
      <c r="H14" s="665"/>
      <c r="I14" s="666"/>
    </row>
    <row r="15" spans="1:12" ht="17.25">
      <c r="A15" s="312">
        <f t="shared" ref="A15:A16" si="0">+A14+1</f>
        <v>3</v>
      </c>
      <c r="B15" s="658" t="s">
        <v>150</v>
      </c>
      <c r="C15" s="726">
        <v>211395</v>
      </c>
      <c r="D15" s="679"/>
      <c r="E15" s="667">
        <f>C15/C16</f>
        <v>3.6951112242549623E-3</v>
      </c>
      <c r="F15" s="667"/>
      <c r="G15" s="726">
        <f>E15*G16</f>
        <v>0</v>
      </c>
      <c r="H15" s="658"/>
      <c r="I15" s="658"/>
    </row>
    <row r="16" spans="1:12" ht="18" thickBot="1">
      <c r="A16" s="312">
        <f t="shared" si="0"/>
        <v>4</v>
      </c>
      <c r="B16" s="658" t="s">
        <v>356</v>
      </c>
      <c r="C16" s="668">
        <f>SUM(C13:C15)</f>
        <v>57209374</v>
      </c>
      <c r="D16" s="658"/>
      <c r="E16" s="669">
        <f>SUM(E13:E15)</f>
        <v>1</v>
      </c>
      <c r="F16" s="669"/>
      <c r="G16" s="697">
        <v>0</v>
      </c>
      <c r="H16" s="658"/>
      <c r="I16" s="670">
        <f>G14+C14</f>
        <v>20640035</v>
      </c>
    </row>
    <row r="17" spans="1:16" ht="15.75" thickTop="1">
      <c r="A17" s="569"/>
      <c r="B17" s="666"/>
      <c r="C17" s="666"/>
      <c r="D17" s="666"/>
      <c r="E17" s="666"/>
      <c r="F17" s="666"/>
      <c r="G17" s="666"/>
      <c r="H17" s="666"/>
      <c r="I17" s="666"/>
    </row>
    <row r="18" spans="1:16">
      <c r="A18" s="569"/>
      <c r="B18" s="666"/>
      <c r="C18" s="666"/>
      <c r="D18" s="666"/>
      <c r="E18" s="666"/>
      <c r="F18" s="666"/>
      <c r="G18" s="666"/>
      <c r="H18" s="666"/>
      <c r="I18" s="666"/>
    </row>
    <row r="19" spans="1:16">
      <c r="A19" s="569"/>
      <c r="B19" s="671" t="s">
        <v>144</v>
      </c>
      <c r="C19" s="672"/>
      <c r="D19" s="672"/>
      <c r="E19" s="672"/>
      <c r="F19" s="673"/>
      <c r="G19" s="666"/>
      <c r="H19" s="666"/>
      <c r="I19" s="666"/>
    </row>
    <row r="20" spans="1:16" ht="15.75">
      <c r="A20" s="569"/>
      <c r="B20" s="674" t="s">
        <v>576</v>
      </c>
      <c r="C20" s="675"/>
      <c r="D20" s="675"/>
      <c r="E20" s="675"/>
      <c r="F20" s="676"/>
      <c r="G20" s="674"/>
      <c r="H20" s="674"/>
      <c r="I20" s="674"/>
    </row>
    <row r="21" spans="1:16">
      <c r="A21" s="569"/>
      <c r="B21" s="674" t="s">
        <v>399</v>
      </c>
      <c r="C21" s="570"/>
      <c r="D21" s="570"/>
      <c r="E21" s="570"/>
      <c r="F21" s="570"/>
      <c r="G21" s="570"/>
      <c r="H21" s="570"/>
      <c r="I21" s="570"/>
      <c r="J21" s="351"/>
      <c r="K21" s="351"/>
      <c r="L21" s="351"/>
      <c r="M21" s="351"/>
      <c r="N21" s="351"/>
      <c r="O21" s="351"/>
      <c r="P21" s="351"/>
    </row>
    <row r="22" spans="1:16">
      <c r="A22" s="569"/>
      <c r="B22" s="674" t="str">
        <f>CONCATENATE("(3) To ",EKPC!J1,", Page 2 of 5, Line 27.")</f>
        <v>(3) To Attachment H-24A, Page 2 of 5, Line 27.</v>
      </c>
      <c r="C22" s="570"/>
      <c r="D22" s="567"/>
      <c r="E22" s="570"/>
      <c r="F22" s="570"/>
      <c r="G22" s="569"/>
      <c r="H22" s="569"/>
      <c r="I22" s="569"/>
    </row>
    <row r="23" spans="1:16">
      <c r="B23" s="351"/>
      <c r="C23" s="351"/>
      <c r="D23" s="351"/>
      <c r="E23" s="351"/>
      <c r="F23" s="351"/>
    </row>
  </sheetData>
  <mergeCells count="1">
    <mergeCell ref="B7:I7"/>
  </mergeCells>
  <pageMargins left="0.7" right="0.7" top="0.75" bottom="0.75" header="0.3" footer="0.3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G39"/>
  <sheetViews>
    <sheetView zoomScale="80" zoomScaleNormal="80" zoomScaleSheetLayoutView="90" workbookViewId="0">
      <selection activeCell="D17" sqref="D17:D22"/>
    </sheetView>
  </sheetViews>
  <sheetFormatPr defaultColWidth="8.77734375" defaultRowHeight="15"/>
  <cols>
    <col min="1" max="1" width="8.77734375" style="1"/>
    <col min="2" max="2" width="37.21875" style="1" bestFit="1" customWidth="1"/>
    <col min="3" max="4" width="22.44140625" style="1" customWidth="1"/>
    <col min="5" max="5" width="23.88671875" style="1" customWidth="1"/>
    <col min="6" max="16384" width="8.77734375" style="1"/>
  </cols>
  <sheetData>
    <row r="1" spans="1:7">
      <c r="E1" s="338" t="str">
        <f>EKPC!J1</f>
        <v>Attachment H-24A</v>
      </c>
    </row>
    <row r="2" spans="1:7">
      <c r="E2" s="168" t="s">
        <v>554</v>
      </c>
    </row>
    <row r="3" spans="1:7">
      <c r="B3"/>
      <c r="C3" s="17"/>
      <c r="D3" s="17"/>
      <c r="E3" s="168" t="s">
        <v>383</v>
      </c>
    </row>
    <row r="4" spans="1:7" ht="18">
      <c r="B4" s="25"/>
      <c r="C4" s="17"/>
      <c r="D4" s="17"/>
      <c r="E4" s="168" t="str">
        <f>EKPC!$J$124</f>
        <v>For the 12 months ended 12/31/2015</v>
      </c>
    </row>
    <row r="5" spans="1:7" ht="18">
      <c r="B5" s="25"/>
      <c r="C5" s="17"/>
      <c r="D5" s="17"/>
      <c r="E5" s="168"/>
      <c r="G5" s="738"/>
    </row>
    <row r="6" spans="1:7" ht="15.75">
      <c r="B6" s="788" t="str">
        <f>EKPC!A11</f>
        <v>East Kentucky Power Cooperative, Inc.</v>
      </c>
      <c r="C6" s="788"/>
      <c r="D6" s="788"/>
      <c r="E6" s="788"/>
    </row>
    <row r="7" spans="1:7" ht="15.75">
      <c r="B7" s="788" t="str">
        <f>EKPC!A9</f>
        <v>Utilizing EKPC 2015 Form FF1 Data (ver.FINAL AUDITED)</v>
      </c>
      <c r="C7" s="788"/>
      <c r="D7" s="788"/>
      <c r="E7" s="788"/>
    </row>
    <row r="9" spans="1:7">
      <c r="E9" s="168"/>
    </row>
    <row r="10" spans="1:7" ht="15.75">
      <c r="B10" s="16" t="s">
        <v>391</v>
      </c>
      <c r="C10" s="17"/>
      <c r="D10" s="17"/>
      <c r="E10" s="17"/>
    </row>
    <row r="12" spans="1:7">
      <c r="C12" s="143"/>
      <c r="D12" s="143"/>
    </row>
    <row r="13" spans="1:7" ht="34.5">
      <c r="A13" s="450" t="s">
        <v>188</v>
      </c>
      <c r="B13" s="432" t="s">
        <v>479</v>
      </c>
      <c r="C13" s="144" t="s">
        <v>221</v>
      </c>
      <c r="D13" s="145" t="s">
        <v>163</v>
      </c>
      <c r="E13" s="146" t="s">
        <v>385</v>
      </c>
    </row>
    <row r="14" spans="1:7">
      <c r="C14" s="143"/>
      <c r="D14" s="143"/>
      <c r="E14" s="143"/>
    </row>
    <row r="15" spans="1:7" ht="15.75">
      <c r="A15" s="431"/>
      <c r="B15" s="169"/>
      <c r="C15" s="147"/>
      <c r="D15" s="147"/>
      <c r="E15" s="147"/>
    </row>
    <row r="16" spans="1:7">
      <c r="C16" s="147"/>
      <c r="D16" s="147"/>
      <c r="E16" s="147"/>
    </row>
    <row r="17" spans="1:5">
      <c r="A17" s="431" t="s">
        <v>429</v>
      </c>
      <c r="B17" s="1" t="s">
        <v>332</v>
      </c>
      <c r="C17" s="722">
        <v>0</v>
      </c>
      <c r="D17" s="722">
        <v>27461.55</v>
      </c>
      <c r="E17" s="140">
        <f t="shared" ref="E17:E22" si="0">SUM(C17:D17)</f>
        <v>27461.55</v>
      </c>
    </row>
    <row r="18" spans="1:5">
      <c r="A18" s="459">
        <f>A17+1</f>
        <v>2</v>
      </c>
      <c r="C18" s="723">
        <v>0</v>
      </c>
      <c r="D18" s="741">
        <v>0</v>
      </c>
      <c r="E18" s="147">
        <f t="shared" si="0"/>
        <v>0</v>
      </c>
    </row>
    <row r="19" spans="1:5">
      <c r="A19" s="459">
        <f t="shared" ref="A19:A23" si="1">A18+1</f>
        <v>3</v>
      </c>
      <c r="C19" s="723">
        <v>0</v>
      </c>
      <c r="D19" s="741">
        <v>0</v>
      </c>
      <c r="E19" s="147">
        <f t="shared" si="0"/>
        <v>0</v>
      </c>
    </row>
    <row r="20" spans="1:5">
      <c r="A20" s="459">
        <f t="shared" si="1"/>
        <v>4</v>
      </c>
      <c r="C20" s="723">
        <v>0</v>
      </c>
      <c r="D20" s="741">
        <v>0</v>
      </c>
      <c r="E20" s="147">
        <f t="shared" si="0"/>
        <v>0</v>
      </c>
    </row>
    <row r="21" spans="1:5">
      <c r="A21" s="459">
        <f t="shared" si="1"/>
        <v>5</v>
      </c>
      <c r="C21" s="723">
        <v>0</v>
      </c>
      <c r="D21" s="741">
        <v>0</v>
      </c>
      <c r="E21" s="147">
        <f t="shared" si="0"/>
        <v>0</v>
      </c>
    </row>
    <row r="22" spans="1:5" ht="17.25">
      <c r="A22" s="459">
        <f t="shared" si="1"/>
        <v>6</v>
      </c>
      <c r="C22" s="724">
        <v>0</v>
      </c>
      <c r="D22" s="742">
        <v>0</v>
      </c>
      <c r="E22" s="148">
        <f t="shared" si="0"/>
        <v>0</v>
      </c>
    </row>
    <row r="23" spans="1:5" ht="17.25">
      <c r="A23" s="459">
        <f t="shared" si="1"/>
        <v>7</v>
      </c>
      <c r="B23" s="27" t="s">
        <v>397</v>
      </c>
      <c r="C23" s="149">
        <f>SUM(C17:C22)</f>
        <v>0</v>
      </c>
      <c r="D23" s="149">
        <f>SUM(D17:D22)</f>
        <v>27461.55</v>
      </c>
      <c r="E23" s="149">
        <f>SUM(E17:E22)</f>
        <v>27461.55</v>
      </c>
    </row>
    <row r="27" spans="1:5">
      <c r="B27" s="368" t="s">
        <v>393</v>
      </c>
      <c r="C27" s="328"/>
      <c r="D27" s="328"/>
    </row>
    <row r="28" spans="1:5">
      <c r="B28" s="563" t="s">
        <v>573</v>
      </c>
      <c r="C28" s="7"/>
      <c r="D28" s="373"/>
    </row>
    <row r="29" spans="1:5">
      <c r="B29" s="374"/>
    </row>
    <row r="39" spans="3:3">
      <c r="C39" s="2"/>
    </row>
  </sheetData>
  <mergeCells count="2">
    <mergeCell ref="B6:E6"/>
    <mergeCell ref="B7:E7"/>
  </mergeCells>
  <pageMargins left="1" right="1" top="1" bottom="0.5" header="0.25" footer="0.25"/>
  <pageSetup scale="83" orientation="landscape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J53"/>
  <sheetViews>
    <sheetView zoomScale="70" zoomScaleNormal="70" zoomScaleSheetLayoutView="80" workbookViewId="0">
      <selection activeCell="B46" sqref="B46"/>
    </sheetView>
  </sheetViews>
  <sheetFormatPr defaultColWidth="7.109375" defaultRowHeight="12.75"/>
  <cols>
    <col min="1" max="1" width="7.109375" style="98"/>
    <col min="2" max="2" width="48.6640625" style="98" customWidth="1"/>
    <col min="3" max="3" width="30.109375" style="98" customWidth="1"/>
    <col min="4" max="4" width="14.77734375" style="98" customWidth="1"/>
    <col min="5" max="6" width="11.6640625" style="98" customWidth="1"/>
    <col min="7" max="7" width="10.109375" style="98" customWidth="1"/>
    <col min="8" max="8" width="19.109375" style="98" customWidth="1"/>
    <col min="9" max="9" width="16.77734375" style="98" customWidth="1"/>
    <col min="10" max="10" width="8.77734375" style="98" bestFit="1" customWidth="1"/>
    <col min="11" max="17" width="25.5546875" style="98" customWidth="1"/>
    <col min="18" max="19" width="25.5546875" style="98" bestFit="1" customWidth="1"/>
    <col min="20" max="20" width="29.21875" style="98" bestFit="1" customWidth="1"/>
    <col min="21" max="28" width="13" style="98" customWidth="1"/>
    <col min="29" max="29" width="13" style="98" bestFit="1" customWidth="1"/>
    <col min="30" max="33" width="13" style="98" customWidth="1"/>
    <col min="34" max="34" width="16.77734375" style="98" bestFit="1" customWidth="1"/>
    <col min="35" max="35" width="8.21875" style="98" customWidth="1"/>
    <col min="36" max="53" width="16.21875" style="98" bestFit="1" customWidth="1"/>
    <col min="54" max="54" width="16.77734375" style="98" bestFit="1" customWidth="1"/>
    <col min="55" max="55" width="7.77734375" style="98" bestFit="1" customWidth="1"/>
    <col min="56" max="56" width="8.21875" style="98" bestFit="1" customWidth="1"/>
    <col min="57" max="57" width="9.88671875" style="98" bestFit="1" customWidth="1"/>
    <col min="58" max="58" width="6.33203125" style="98" customWidth="1"/>
    <col min="59" max="59" width="9.88671875" style="98" bestFit="1" customWidth="1"/>
    <col min="60" max="60" width="6.33203125" style="98" customWidth="1"/>
    <col min="61" max="61" width="9.88671875" style="98" bestFit="1" customWidth="1"/>
    <col min="62" max="63" width="6.33203125" style="98" customWidth="1"/>
    <col min="64" max="64" width="9.88671875" style="98" bestFit="1" customWidth="1"/>
    <col min="65" max="65" width="6.33203125" style="98" customWidth="1"/>
    <col min="66" max="66" width="9.88671875" style="98" bestFit="1" customWidth="1"/>
    <col min="67" max="67" width="6.33203125" style="98" customWidth="1"/>
    <col min="68" max="68" width="9.88671875" style="98" bestFit="1" customWidth="1"/>
    <col min="69" max="69" width="6.33203125" style="98" customWidth="1"/>
    <col min="70" max="70" width="9.88671875" style="98" bestFit="1" customWidth="1"/>
    <col min="71" max="71" width="8.21875" style="98" bestFit="1" customWidth="1"/>
    <col min="72" max="16384" width="7.109375" style="98"/>
  </cols>
  <sheetData>
    <row r="1" spans="1:7" ht="15">
      <c r="A1" s="28"/>
      <c r="B1" s="1"/>
      <c r="C1" s="1"/>
      <c r="D1" s="1"/>
      <c r="E1" s="338" t="str">
        <f>EKPC!J1</f>
        <v>Attachment H-24A</v>
      </c>
    </row>
    <row r="2" spans="1:7" ht="15">
      <c r="A2" s="28"/>
      <c r="B2" s="1"/>
      <c r="C2" s="1"/>
      <c r="D2" s="1"/>
      <c r="E2" s="168" t="s">
        <v>554</v>
      </c>
    </row>
    <row r="3" spans="1:7" ht="15">
      <c r="A3" s="28"/>
      <c r="B3" s="484"/>
      <c r="C3" s="17"/>
      <c r="D3" s="17"/>
      <c r="E3" s="168" t="s">
        <v>382</v>
      </c>
    </row>
    <row r="4" spans="1:7" ht="15.75">
      <c r="A4" s="28"/>
      <c r="B4" s="16"/>
      <c r="C4" s="17"/>
      <c r="D4" s="17"/>
      <c r="E4" s="168" t="str">
        <f>EKPC!$J$124</f>
        <v>For the 12 months ended 12/31/2015</v>
      </c>
    </row>
    <row r="5" spans="1:7" ht="15.75">
      <c r="A5" s="28"/>
      <c r="B5" s="16"/>
      <c r="C5" s="17"/>
      <c r="D5" s="17"/>
      <c r="E5" s="168"/>
      <c r="G5" s="738"/>
    </row>
    <row r="6" spans="1:7" ht="15.75">
      <c r="A6" s="28"/>
      <c r="B6" s="788" t="str">
        <f>EKPC!A11</f>
        <v>East Kentucky Power Cooperative, Inc.</v>
      </c>
      <c r="C6" s="788"/>
      <c r="D6" s="788"/>
      <c r="E6" s="788"/>
    </row>
    <row r="7" spans="1:7" ht="15.75">
      <c r="A7" s="28"/>
      <c r="B7" s="788" t="str">
        <f>EKPC!A9</f>
        <v>Utilizing EKPC 2015 Form FF1 Data (ver.FINAL AUDITED)</v>
      </c>
      <c r="C7" s="788"/>
      <c r="D7" s="788"/>
      <c r="E7" s="788"/>
    </row>
    <row r="8" spans="1:7" ht="15">
      <c r="A8" s="28"/>
      <c r="B8" s="28"/>
      <c r="C8" s="28"/>
      <c r="D8" s="683"/>
      <c r="E8" s="28"/>
    </row>
    <row r="9" spans="1:7" ht="15.75">
      <c r="A9" s="28"/>
      <c r="B9" s="789" t="s">
        <v>550</v>
      </c>
      <c r="C9" s="789"/>
      <c r="D9" s="789"/>
      <c r="E9" s="789"/>
      <c r="F9" s="484"/>
    </row>
    <row r="10" spans="1:7" ht="15">
      <c r="A10" s="28"/>
      <c r="B10" s="8"/>
      <c r="C10" s="8"/>
      <c r="D10" s="28"/>
      <c r="E10" s="28"/>
      <c r="F10" s="484"/>
    </row>
    <row r="11" spans="1:7" ht="15.75">
      <c r="A11" s="28"/>
      <c r="B11" s="19"/>
      <c r="C11" s="19"/>
      <c r="D11" s="28"/>
      <c r="E11" s="28"/>
      <c r="F11" s="484"/>
    </row>
    <row r="12" spans="1:7" ht="15">
      <c r="A12" s="28"/>
      <c r="B12" s="18"/>
      <c r="C12" s="18"/>
      <c r="D12" s="28"/>
      <c r="E12" s="28"/>
      <c r="F12" s="484"/>
    </row>
    <row r="13" spans="1:7" ht="20.25">
      <c r="A13" s="684" t="s">
        <v>188</v>
      </c>
      <c r="B13" s="18"/>
      <c r="C13" s="21" t="s">
        <v>244</v>
      </c>
      <c r="D13" s="21" t="s">
        <v>321</v>
      </c>
      <c r="E13" s="28"/>
      <c r="F13" s="484"/>
    </row>
    <row r="14" spans="1:7" ht="15">
      <c r="A14" s="28"/>
      <c r="B14" s="18"/>
      <c r="C14" s="18"/>
      <c r="D14" s="28"/>
      <c r="E14" s="28"/>
      <c r="F14" s="484"/>
    </row>
    <row r="15" spans="1:7" ht="15.75">
      <c r="A15" s="448" t="s">
        <v>486</v>
      </c>
      <c r="B15" s="434" t="s">
        <v>581</v>
      </c>
      <c r="C15" s="433" t="s">
        <v>582</v>
      </c>
      <c r="D15" s="81">
        <v>228772</v>
      </c>
      <c r="E15" s="28"/>
      <c r="F15" s="484"/>
    </row>
    <row r="16" spans="1:7" ht="15">
      <c r="A16" s="28"/>
      <c r="B16" s="22"/>
      <c r="C16" s="433"/>
      <c r="D16" s="81"/>
      <c r="E16" s="28"/>
      <c r="F16" s="484"/>
    </row>
    <row r="17" spans="1:10" ht="17.25">
      <c r="A17" s="448" t="s">
        <v>206</v>
      </c>
      <c r="B17" s="23" t="s">
        <v>165</v>
      </c>
      <c r="C17" s="376"/>
      <c r="D17" s="26">
        <v>0</v>
      </c>
      <c r="E17" s="28"/>
      <c r="F17"/>
      <c r="G17"/>
      <c r="H17"/>
      <c r="I17"/>
      <c r="J17"/>
    </row>
    <row r="18" spans="1:10" ht="15">
      <c r="A18" s="28"/>
      <c r="B18" s="22"/>
      <c r="C18" s="433" t="s">
        <v>476</v>
      </c>
      <c r="D18" s="81"/>
      <c r="E18" s="28"/>
      <c r="F18"/>
      <c r="G18"/>
      <c r="H18"/>
      <c r="I18"/>
      <c r="J18"/>
    </row>
    <row r="19" spans="1:10" ht="17.25">
      <c r="A19" s="448" t="s">
        <v>487</v>
      </c>
      <c r="B19" s="24" t="s">
        <v>484</v>
      </c>
      <c r="C19" s="375"/>
      <c r="D19" s="680">
        <f>D15-D17</f>
        <v>228772</v>
      </c>
      <c r="E19" s="28"/>
      <c r="F19"/>
      <c r="G19"/>
      <c r="H19"/>
      <c r="I19"/>
      <c r="J19"/>
    </row>
    <row r="20" spans="1:10" ht="15">
      <c r="A20" s="28"/>
      <c r="B20" s="22"/>
      <c r="C20" s="433"/>
      <c r="D20" s="81"/>
      <c r="E20" s="28"/>
      <c r="F20"/>
      <c r="G20"/>
      <c r="H20"/>
      <c r="I20"/>
      <c r="J20"/>
    </row>
    <row r="21" spans="1:10" ht="15">
      <c r="A21" s="28"/>
      <c r="B21" s="22"/>
      <c r="C21" s="433"/>
      <c r="D21" s="81"/>
      <c r="E21" s="28"/>
      <c r="F21"/>
      <c r="G21"/>
      <c r="H21"/>
      <c r="I21"/>
      <c r="J21"/>
    </row>
    <row r="22" spans="1:10" ht="15.75">
      <c r="A22" s="448" t="s">
        <v>488</v>
      </c>
      <c r="B22" s="435" t="s">
        <v>485</v>
      </c>
      <c r="C22" s="433" t="s">
        <v>475</v>
      </c>
      <c r="D22" s="81">
        <f>1734261</f>
        <v>1734261</v>
      </c>
      <c r="E22" s="28"/>
      <c r="F22"/>
      <c r="G22"/>
      <c r="H22"/>
      <c r="I22"/>
      <c r="J22"/>
    </row>
    <row r="23" spans="1:10" ht="15.75">
      <c r="A23" s="448"/>
      <c r="B23" s="435"/>
      <c r="C23" s="433"/>
      <c r="D23" s="681"/>
      <c r="E23" s="28"/>
      <c r="F23"/>
      <c r="G23"/>
      <c r="H23"/>
      <c r="I23"/>
      <c r="J23"/>
    </row>
    <row r="24" spans="1:10" ht="15">
      <c r="A24" s="448" t="s">
        <v>176</v>
      </c>
      <c r="B24" s="415" t="s">
        <v>440</v>
      </c>
      <c r="C24" s="433" t="s">
        <v>478</v>
      </c>
      <c r="D24" s="681">
        <f>-D22*(1-EKPC!J220)</f>
        <v>-1453922.0614019902</v>
      </c>
      <c r="E24" s="484"/>
      <c r="F24"/>
      <c r="G24"/>
      <c r="H24"/>
      <c r="I24"/>
      <c r="J24"/>
    </row>
    <row r="25" spans="1:10" ht="15">
      <c r="A25" s="448"/>
      <c r="B25" s="415"/>
      <c r="C25" s="433"/>
      <c r="D25" s="681"/>
      <c r="E25" s="484"/>
      <c r="F25"/>
      <c r="G25"/>
      <c r="H25"/>
      <c r="I25"/>
      <c r="J25"/>
    </row>
    <row r="26" spans="1:10" ht="15">
      <c r="A26" s="448">
        <v>6</v>
      </c>
      <c r="B26" s="760" t="s">
        <v>642</v>
      </c>
      <c r="C26" s="433" t="s">
        <v>492</v>
      </c>
      <c r="D26" s="681">
        <v>7100</v>
      </c>
      <c r="E26" s="484"/>
      <c r="F26"/>
      <c r="G26"/>
      <c r="H26"/>
      <c r="I26"/>
      <c r="J26"/>
    </row>
    <row r="27" spans="1:10" ht="15">
      <c r="A27" s="448"/>
      <c r="B27" s="415"/>
      <c r="C27" s="433"/>
      <c r="D27" s="681"/>
      <c r="E27" s="484"/>
      <c r="F27"/>
      <c r="G27"/>
      <c r="H27"/>
      <c r="I27"/>
      <c r="J27"/>
    </row>
    <row r="28" spans="1:10" ht="17.25">
      <c r="A28" s="448">
        <v>7</v>
      </c>
      <c r="B28" s="23" t="s">
        <v>472</v>
      </c>
      <c r="C28" s="433"/>
      <c r="D28" s="680">
        <f>D22+D24+D26</f>
        <v>287438.93859800976</v>
      </c>
      <c r="E28" s="28"/>
      <c r="F28"/>
      <c r="G28"/>
      <c r="H28"/>
      <c r="I28"/>
      <c r="J28"/>
    </row>
    <row r="29" spans="1:10" ht="15">
      <c r="A29" s="28"/>
      <c r="B29" s="23"/>
      <c r="C29" s="433"/>
      <c r="D29" s="682"/>
      <c r="E29" s="28"/>
      <c r="F29"/>
      <c r="G29"/>
      <c r="H29"/>
      <c r="I29"/>
      <c r="J29"/>
    </row>
    <row r="30" spans="1:10" ht="15">
      <c r="A30" s="28"/>
      <c r="B30" s="23"/>
      <c r="C30" s="23"/>
      <c r="D30" s="82"/>
      <c r="E30" s="28"/>
      <c r="F30"/>
      <c r="G30"/>
      <c r="H30"/>
      <c r="I30"/>
      <c r="J30"/>
    </row>
    <row r="31" spans="1:10" ht="15.75">
      <c r="A31" s="449">
        <v>8</v>
      </c>
      <c r="B31" s="435" t="s">
        <v>583</v>
      </c>
      <c r="C31" s="442" t="s">
        <v>599</v>
      </c>
      <c r="D31" s="82"/>
      <c r="E31" s="28"/>
      <c r="F31"/>
      <c r="G31"/>
      <c r="H31"/>
      <c r="I31"/>
      <c r="J31"/>
    </row>
    <row r="32" spans="1:10" ht="15">
      <c r="A32" s="449">
        <v>9</v>
      </c>
      <c r="B32" s="23" t="s">
        <v>546</v>
      </c>
      <c r="C32" s="376"/>
      <c r="D32" s="81">
        <f>424542.01</f>
        <v>424542.01</v>
      </c>
      <c r="E32" s="546"/>
      <c r="F32"/>
      <c r="G32"/>
      <c r="H32"/>
      <c r="I32"/>
      <c r="J32"/>
    </row>
    <row r="33" spans="1:10" ht="15">
      <c r="A33" s="449">
        <v>10</v>
      </c>
      <c r="B33" s="23" t="s">
        <v>545</v>
      </c>
      <c r="C33" s="376"/>
      <c r="D33" s="739">
        <f>612467.11-(28944.59-18825.25)+504138.31*3/2</f>
        <v>1358555.2349999999</v>
      </c>
      <c r="E33" s="546"/>
      <c r="F33"/>
      <c r="G33"/>
      <c r="H33"/>
      <c r="I33"/>
      <c r="J33"/>
    </row>
    <row r="34" spans="1:10" ht="15">
      <c r="A34" s="449">
        <v>11</v>
      </c>
      <c r="B34" s="23" t="s">
        <v>544</v>
      </c>
      <c r="C34" s="376"/>
      <c r="D34" s="81">
        <f>227565.3+266355.51*3/2</f>
        <v>627098.56499999994</v>
      </c>
      <c r="E34" s="546"/>
      <c r="F34"/>
      <c r="G34"/>
      <c r="H34"/>
      <c r="I34"/>
      <c r="J34"/>
    </row>
    <row r="35" spans="1:10" ht="15">
      <c r="A35" s="449">
        <v>12</v>
      </c>
      <c r="B35" s="156" t="s">
        <v>565</v>
      </c>
      <c r="C35" s="376"/>
      <c r="D35" s="740">
        <f>29875+(54865.13+22208.9)*3/2</f>
        <v>145486.04499999998</v>
      </c>
      <c r="E35" s="546"/>
      <c r="F35"/>
      <c r="G35"/>
      <c r="H35"/>
      <c r="I35"/>
      <c r="J35"/>
    </row>
    <row r="36" spans="1:10" ht="15">
      <c r="A36" s="449"/>
      <c r="B36" s="23"/>
      <c r="C36" s="23"/>
      <c r="D36" s="81"/>
      <c r="E36" s="28"/>
      <c r="F36"/>
      <c r="G36"/>
      <c r="H36"/>
      <c r="I36"/>
      <c r="J36"/>
    </row>
    <row r="37" spans="1:10" ht="15.75" thickBot="1">
      <c r="A37" s="449">
        <v>13</v>
      </c>
      <c r="B37" s="28"/>
      <c r="C37" s="28"/>
      <c r="D37" s="698">
        <f>SUM(D32:D36)</f>
        <v>2555681.8549999995</v>
      </c>
      <c r="E37" s="28"/>
      <c r="F37"/>
      <c r="G37"/>
      <c r="H37"/>
      <c r="I37"/>
      <c r="J37"/>
    </row>
    <row r="38" spans="1:10" ht="15.75" thickTop="1">
      <c r="A38" s="449"/>
      <c r="B38" s="28"/>
      <c r="C38" s="28"/>
      <c r="D38" s="699"/>
      <c r="E38" s="28"/>
      <c r="F38"/>
      <c r="G38"/>
      <c r="H38"/>
      <c r="I38"/>
      <c r="J38"/>
    </row>
    <row r="39" spans="1:10" ht="15.75">
      <c r="A39" s="449">
        <v>14</v>
      </c>
      <c r="B39" s="23" t="s">
        <v>547</v>
      </c>
      <c r="C39" s="23"/>
      <c r="D39" s="709">
        <f>D37/3</f>
        <v>851893.95166666654</v>
      </c>
      <c r="E39" s="685"/>
      <c r="F39"/>
      <c r="G39"/>
      <c r="H39"/>
      <c r="I39"/>
      <c r="J39"/>
    </row>
    <row r="40" spans="1:10" ht="19.5" customHeight="1">
      <c r="A40" s="28"/>
      <c r="B40" s="28"/>
      <c r="C40" s="28"/>
      <c r="D40" s="28"/>
      <c r="E40" s="484"/>
      <c r="F40" s="484"/>
      <c r="G40" s="484"/>
    </row>
    <row r="41" spans="1:10" ht="15">
      <c r="A41" s="28"/>
      <c r="B41" s="18"/>
      <c r="C41" s="18"/>
      <c r="D41" s="28"/>
      <c r="E41" s="484"/>
      <c r="F41" s="484"/>
      <c r="G41" s="484"/>
    </row>
    <row r="42" spans="1:10" ht="15">
      <c r="A42" s="28"/>
      <c r="B42" s="607" t="s">
        <v>393</v>
      </c>
      <c r="C42" s="608"/>
      <c r="D42" s="608"/>
      <c r="E42" s="608"/>
    </row>
    <row r="43" spans="1:10" ht="15">
      <c r="A43" s="546"/>
      <c r="B43" s="609" t="str">
        <f>CONCATENATE("(1) To ",EKPC!J1,", Page 3 of 5, Line 5")</f>
        <v>(1) To Attachment H-24A, Page 3 of 5, Line 5</v>
      </c>
      <c r="C43" s="546"/>
      <c r="D43" s="546"/>
      <c r="E43" s="546"/>
      <c r="F43" s="486"/>
    </row>
    <row r="44" spans="1:10" ht="15.75">
      <c r="A44" s="546"/>
      <c r="B44" s="610" t="s">
        <v>643</v>
      </c>
      <c r="C44" s="546"/>
      <c r="D44" s="611"/>
      <c r="E44" s="546"/>
      <c r="F44" s="486"/>
    </row>
    <row r="45" spans="1:10" ht="15">
      <c r="A45" s="546"/>
      <c r="B45" s="790" t="str">
        <f>CONCATENATE("(3) Portion of regulatory expense for proceedings during the year that were not related to transmission, derived using the transmission function W/S allocator   (See ",EKPC!J1,", page 4 of 5, line 16)")</f>
        <v>(3) Portion of regulatory expense for proceedings during the year that were not related to transmission, derived using the transmission function W/S allocator   (See Attachment H-24A, page 4 of 5, line 16)</v>
      </c>
      <c r="C45" s="790"/>
      <c r="D45" s="790"/>
      <c r="E45" s="790"/>
      <c r="F45" s="486"/>
    </row>
    <row r="46" spans="1:10" ht="15">
      <c r="A46" s="546"/>
      <c r="B46" s="610" t="s">
        <v>645</v>
      </c>
      <c r="F46" s="486"/>
    </row>
    <row r="47" spans="1:10" ht="15">
      <c r="A47" s="546"/>
      <c r="B47" s="546" t="s">
        <v>644</v>
      </c>
      <c r="C47" s="546"/>
      <c r="D47" s="546"/>
      <c r="E47" s="546"/>
      <c r="F47" s="486"/>
    </row>
    <row r="48" spans="1:10">
      <c r="A48" s="486"/>
      <c r="B48" s="486"/>
      <c r="C48" s="486"/>
      <c r="D48" s="486"/>
      <c r="E48" s="486"/>
      <c r="F48" s="486"/>
    </row>
    <row r="49" spans="1:6">
      <c r="A49" s="486"/>
      <c r="B49" s="486"/>
      <c r="C49" s="486"/>
      <c r="D49" s="486"/>
      <c r="E49" s="486"/>
      <c r="F49" s="486"/>
    </row>
    <row r="50" spans="1:6">
      <c r="A50" s="486"/>
      <c r="C50" s="486"/>
      <c r="D50" s="486"/>
      <c r="E50" s="486"/>
      <c r="F50" s="486"/>
    </row>
    <row r="52" spans="1:6" ht="15">
      <c r="D52"/>
    </row>
    <row r="53" spans="1:6" ht="15">
      <c r="D53"/>
    </row>
  </sheetData>
  <mergeCells count="4">
    <mergeCell ref="B6:E6"/>
    <mergeCell ref="B7:E7"/>
    <mergeCell ref="B9:E9"/>
    <mergeCell ref="B45:E45"/>
  </mergeCells>
  <phoneticPr fontId="21" type="noConversion"/>
  <pageMargins left="1" right="1" top="1" bottom="0.5" header="0.5" footer="0.5"/>
  <pageSetup scale="6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pageSetUpPr fitToPage="1"/>
  </sheetPr>
  <dimension ref="A1:Y48"/>
  <sheetViews>
    <sheetView zoomScale="70" zoomScaleNormal="70" workbookViewId="0">
      <selection activeCell="F15" sqref="F15:F38"/>
    </sheetView>
  </sheetViews>
  <sheetFormatPr defaultColWidth="8.77734375" defaultRowHeight="15"/>
  <cols>
    <col min="1" max="1" width="8.77734375" style="1"/>
    <col min="2" max="2" width="56.109375" style="1" customWidth="1"/>
    <col min="3" max="3" width="24.77734375" style="1" customWidth="1"/>
    <col min="4" max="4" width="19.21875" style="1" customWidth="1"/>
    <col min="5" max="5" width="8.77734375" style="1" customWidth="1"/>
    <col min="6" max="6" width="10.6640625" style="1" customWidth="1"/>
    <col min="7" max="7" width="26" style="1" customWidth="1"/>
    <col min="8" max="8" width="11.109375" style="1" customWidth="1"/>
    <col min="9" max="9" width="8.33203125" style="1" customWidth="1"/>
    <col min="10" max="10" width="12.6640625" style="1" bestFit="1" customWidth="1"/>
    <col min="11" max="16384" width="8.77734375" style="1"/>
  </cols>
  <sheetData>
    <row r="1" spans="1:7">
      <c r="E1" s="338" t="str">
        <f>EKPC!J1</f>
        <v>Attachment H-24A</v>
      </c>
    </row>
    <row r="2" spans="1:7">
      <c r="E2" s="168" t="s">
        <v>554</v>
      </c>
    </row>
    <row r="3" spans="1:7">
      <c r="B3"/>
      <c r="C3" s="17"/>
      <c r="D3" s="17"/>
      <c r="E3" s="168" t="s">
        <v>381</v>
      </c>
    </row>
    <row r="4" spans="1:7" ht="18">
      <c r="B4" s="25"/>
      <c r="C4" s="17"/>
      <c r="D4" s="17"/>
      <c r="E4" s="168" t="str">
        <f>EKPC!$J$124</f>
        <v>For the 12 months ended 12/31/2015</v>
      </c>
      <c r="F4" s="139"/>
    </row>
    <row r="5" spans="1:7" ht="18">
      <c r="B5" s="25"/>
      <c r="C5" s="17"/>
      <c r="D5" s="17"/>
      <c r="E5" s="168"/>
      <c r="F5" s="139"/>
      <c r="G5" s="738"/>
    </row>
    <row r="6" spans="1:7" ht="15.75">
      <c r="A6" s="788" t="str">
        <f>EKPC!A11</f>
        <v>East Kentucky Power Cooperative, Inc.</v>
      </c>
      <c r="B6" s="788"/>
      <c r="C6" s="788"/>
      <c r="D6" s="788"/>
      <c r="E6" s="436"/>
      <c r="F6" s="139"/>
    </row>
    <row r="7" spans="1:7" ht="15.75">
      <c r="A7" s="788" t="str">
        <f>EKPC!A9</f>
        <v>Utilizing EKPC 2015 Form FF1 Data (ver.FINAL AUDITED)</v>
      </c>
      <c r="B7" s="788"/>
      <c r="C7" s="788"/>
      <c r="D7" s="788"/>
      <c r="E7" s="436"/>
      <c r="F7" s="139"/>
    </row>
    <row r="8" spans="1:7" ht="15.75">
      <c r="B8" s="16"/>
      <c r="C8" s="17"/>
      <c r="D8" s="168"/>
      <c r="F8" s="139"/>
    </row>
    <row r="9" spans="1:7" ht="15.75">
      <c r="A9" s="788" t="s">
        <v>148</v>
      </c>
      <c r="B9" s="788"/>
      <c r="C9" s="788"/>
      <c r="D9" s="788"/>
      <c r="F9" s="139"/>
    </row>
    <row r="10" spans="1:7" ht="15.75">
      <c r="B10" s="16"/>
      <c r="C10" s="17"/>
      <c r="D10" s="17"/>
      <c r="F10" s="139"/>
    </row>
    <row r="11" spans="1:7" ht="15.75">
      <c r="B11" s="19"/>
      <c r="C11" s="430"/>
      <c r="D11" s="18"/>
      <c r="F11" s="139"/>
    </row>
    <row r="12" spans="1:7" ht="20.25">
      <c r="B12" s="18"/>
      <c r="C12" s="79"/>
      <c r="D12" s="20"/>
      <c r="F12" s="139"/>
    </row>
    <row r="13" spans="1:7" ht="21" thickBot="1">
      <c r="A13" s="432" t="s">
        <v>188</v>
      </c>
      <c r="B13" s="18"/>
      <c r="C13" s="80"/>
      <c r="D13" s="21" t="s">
        <v>321</v>
      </c>
      <c r="F13" s="139"/>
    </row>
    <row r="14" spans="1:7" ht="21" thickBot="1">
      <c r="B14" s="29" t="s">
        <v>166</v>
      </c>
      <c r="C14" s="80"/>
      <c r="D14" s="21"/>
      <c r="F14" s="139"/>
    </row>
    <row r="15" spans="1:7" ht="17.25" customHeight="1">
      <c r="A15" s="431" t="s">
        <v>486</v>
      </c>
      <c r="B15" s="176" t="s">
        <v>469</v>
      </c>
      <c r="C15" s="81"/>
      <c r="D15" s="81">
        <v>39406756</v>
      </c>
      <c r="F15"/>
    </row>
    <row r="16" spans="1:7">
      <c r="A16" s="429"/>
      <c r="B16" s="376"/>
      <c r="C16" s="82"/>
      <c r="D16" s="82"/>
      <c r="F16"/>
    </row>
    <row r="17" spans="1:9" ht="34.5" customHeight="1">
      <c r="A17" s="431" t="s">
        <v>206</v>
      </c>
      <c r="B17" s="792" t="s">
        <v>489</v>
      </c>
      <c r="C17" s="781"/>
      <c r="D17" s="26">
        <v>0</v>
      </c>
      <c r="F17"/>
    </row>
    <row r="18" spans="1:9">
      <c r="A18" s="466"/>
      <c r="B18" s="23"/>
      <c r="C18" s="82"/>
      <c r="D18" s="82"/>
      <c r="F18"/>
    </row>
    <row r="19" spans="1:9" ht="17.25" customHeight="1">
      <c r="A19" s="431" t="s">
        <v>487</v>
      </c>
      <c r="B19" s="375" t="str">
        <f>CONCATENATE("Adjusted A&amp;G Expense - To ",EKPC!J1,", Page 3 of 5, Line 3")</f>
        <v>Adjusted A&amp;G Expense - To Attachment H-24A, Page 3 of 5, Line 3</v>
      </c>
      <c r="C19" s="83"/>
      <c r="D19" s="83">
        <f>D15-D17</f>
        <v>39406756</v>
      </c>
      <c r="F19"/>
    </row>
    <row r="20" spans="1:9" ht="14.25" customHeight="1">
      <c r="A20" s="466"/>
      <c r="B20" s="24"/>
      <c r="C20" s="83"/>
      <c r="D20" s="83"/>
      <c r="F20"/>
    </row>
    <row r="21" spans="1:9" ht="10.5" customHeight="1">
      <c r="A21" s="466"/>
      <c r="B21" s="24"/>
      <c r="C21" s="83"/>
      <c r="D21" s="83"/>
      <c r="F21"/>
    </row>
    <row r="22" spans="1:9" ht="15.75" thickBot="1">
      <c r="A22" s="466"/>
      <c r="B22" s="23"/>
      <c r="C22" s="82"/>
      <c r="D22" s="82"/>
      <c r="F22"/>
    </row>
    <row r="23" spans="1:9" ht="16.5" thickBot="1">
      <c r="A23" s="466"/>
      <c r="B23" s="29" t="s">
        <v>167</v>
      </c>
      <c r="C23" s="82"/>
      <c r="D23" s="82"/>
      <c r="F23"/>
    </row>
    <row r="24" spans="1:9" ht="17.25" customHeight="1">
      <c r="A24" s="431" t="s">
        <v>488</v>
      </c>
      <c r="B24" s="176" t="s">
        <v>570</v>
      </c>
      <c r="C24" s="81"/>
      <c r="D24" s="81">
        <f>53618582-4427431.34</f>
        <v>49191150.659999996</v>
      </c>
      <c r="F24"/>
    </row>
    <row r="25" spans="1:9">
      <c r="A25" s="466"/>
      <c r="B25" s="376"/>
      <c r="C25" s="82"/>
      <c r="D25" s="82"/>
      <c r="F25"/>
    </row>
    <row r="26" spans="1:9" ht="17.25">
      <c r="A26" s="431" t="s">
        <v>176</v>
      </c>
      <c r="B26" s="468" t="s">
        <v>489</v>
      </c>
      <c r="C26" s="26"/>
      <c r="D26" s="26">
        <f>D17</f>
        <v>0</v>
      </c>
      <c r="F26"/>
      <c r="G26"/>
    </row>
    <row r="27" spans="1:9">
      <c r="A27" s="466"/>
      <c r="B27" s="23"/>
      <c r="C27" s="82"/>
      <c r="D27" s="82"/>
      <c r="F27"/>
    </row>
    <row r="28" spans="1:9" ht="17.25" customHeight="1">
      <c r="A28" s="431" t="s">
        <v>177</v>
      </c>
      <c r="B28" s="375" t="str">
        <f>CONCATENATE("Adjusted Transmission Expense - To ",EKPC!J1,", Page 3 of 5, Line 1")</f>
        <v>Adjusted Transmission Expense - To Attachment H-24A, Page 3 of 5, Line 1</v>
      </c>
      <c r="C28" s="83"/>
      <c r="D28" s="83">
        <f>D24+D26</f>
        <v>49191150.659999996</v>
      </c>
      <c r="F28"/>
    </row>
    <row r="29" spans="1:9" ht="14.25" customHeight="1">
      <c r="A29" s="466"/>
      <c r="B29" s="24"/>
      <c r="C29" s="83"/>
      <c r="D29" s="83"/>
      <c r="F29"/>
      <c r="G29" s="2"/>
    </row>
    <row r="30" spans="1:9" ht="10.5" customHeight="1">
      <c r="A30" s="466"/>
      <c r="B30" s="24"/>
      <c r="C30" s="83"/>
      <c r="D30" s="83"/>
      <c r="F30"/>
      <c r="G30" s="2"/>
    </row>
    <row r="31" spans="1:9" ht="15.75" thickBot="1">
      <c r="A31" s="466"/>
      <c r="B31" s="23"/>
      <c r="C31" s="82"/>
      <c r="D31" s="82"/>
      <c r="F31"/>
      <c r="G31" s="2"/>
      <c r="H31" s="2"/>
      <c r="I31" s="2"/>
    </row>
    <row r="32" spans="1:9" ht="16.5" thickBot="1">
      <c r="A32" s="466"/>
      <c r="B32" s="29" t="s">
        <v>168</v>
      </c>
      <c r="C32" s="82"/>
      <c r="D32" s="82"/>
      <c r="F32"/>
      <c r="G32"/>
      <c r="H32" s="2"/>
      <c r="I32" s="2"/>
    </row>
    <row r="33" spans="1:25" ht="17.25" customHeight="1">
      <c r="A33" s="431" t="s">
        <v>180</v>
      </c>
      <c r="B33" s="176" t="s">
        <v>571</v>
      </c>
      <c r="C33" s="81"/>
      <c r="D33" s="81">
        <f>7238659-4365922.87</f>
        <v>2872736.13</v>
      </c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</row>
    <row r="34" spans="1:25">
      <c r="A34" s="466"/>
      <c r="B34" s="23"/>
      <c r="C34" s="82"/>
      <c r="D34" s="82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</row>
    <row r="35" spans="1:25" ht="22.5" customHeight="1">
      <c r="A35" s="431" t="s">
        <v>182</v>
      </c>
      <c r="B35" s="516" t="s">
        <v>535</v>
      </c>
      <c r="C35" s="491"/>
      <c r="D35" s="26">
        <v>0</v>
      </c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</row>
    <row r="36" spans="1:25">
      <c r="A36" s="466"/>
      <c r="B36" s="23"/>
      <c r="C36" s="82"/>
      <c r="D36" s="82"/>
      <c r="F36"/>
      <c r="G36"/>
    </row>
    <row r="37" spans="1:25" ht="17.25" customHeight="1">
      <c r="A37" s="431" t="s">
        <v>153</v>
      </c>
      <c r="B37" s="24" t="s">
        <v>395</v>
      </c>
      <c r="C37" s="83"/>
      <c r="D37" s="752">
        <f>D33-D35</f>
        <v>2872736.13</v>
      </c>
      <c r="F37"/>
    </row>
    <row r="38" spans="1:25" ht="17.25" customHeight="1">
      <c r="A38" s="466"/>
      <c r="B38" s="23"/>
      <c r="C38" s="82"/>
      <c r="D38" s="82"/>
      <c r="F38"/>
    </row>
    <row r="39" spans="1:25" ht="17.25" customHeight="1">
      <c r="A39" s="431" t="s">
        <v>154</v>
      </c>
      <c r="B39" s="375" t="s">
        <v>641</v>
      </c>
      <c r="C39" s="473" t="s">
        <v>476</v>
      </c>
      <c r="D39" s="378">
        <v>0</v>
      </c>
      <c r="F39" s="428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</row>
    <row r="40" spans="1:25" ht="17.25" customHeight="1">
      <c r="A40" s="466"/>
      <c r="B40" s="376"/>
      <c r="C40" s="82"/>
      <c r="D40" s="82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</row>
    <row r="41" spans="1:25" ht="17.25" customHeight="1">
      <c r="A41" s="466"/>
      <c r="B41" s="2"/>
      <c r="C41" s="2"/>
      <c r="D41" s="2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</row>
    <row r="42" spans="1:25" ht="17.25" customHeight="1">
      <c r="A42" s="431" t="s">
        <v>156</v>
      </c>
      <c r="B42" s="377" t="s">
        <v>394</v>
      </c>
      <c r="C42" s="474" t="s">
        <v>475</v>
      </c>
      <c r="D42" s="378">
        <f>D37-D39</f>
        <v>2872736.13</v>
      </c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</row>
    <row r="43" spans="1:25" ht="17.25" customHeight="1">
      <c r="B43" s="791"/>
      <c r="C43" s="791"/>
      <c r="D43" s="467"/>
    </row>
    <row r="44" spans="1:25" ht="17.25" customHeight="1">
      <c r="B44" s="369" t="s">
        <v>392</v>
      </c>
      <c r="C44" s="150"/>
      <c r="D44" s="150"/>
      <c r="E44"/>
      <c r="F44"/>
      <c r="G44"/>
      <c r="H44"/>
      <c r="I44"/>
      <c r="J44"/>
      <c r="K44"/>
      <c r="L44"/>
      <c r="M44"/>
      <c r="N44"/>
      <c r="O44"/>
    </row>
    <row r="45" spans="1:25" ht="17.25" customHeight="1">
      <c r="B45" s="1" t="s">
        <v>615</v>
      </c>
      <c r="C45" s="150"/>
      <c r="D45" s="150"/>
      <c r="E45"/>
      <c r="F45" s="428"/>
      <c r="G45"/>
      <c r="H45"/>
      <c r="I45"/>
      <c r="J45"/>
      <c r="K45"/>
      <c r="L45"/>
      <c r="M45"/>
      <c r="N45"/>
      <c r="O45"/>
      <c r="P45"/>
      <c r="Q45"/>
    </row>
    <row r="46" spans="1:25" ht="17.25" customHeight="1">
      <c r="B46" s="2" t="str">
        <f>CONCATENATE(" (2) To ",EKPC!J1," Page 4 of 5, Line 7")</f>
        <v xml:space="preserve"> (2) To Attachment H-24A Page 4 of 5, Line 7</v>
      </c>
      <c r="C46" s="150"/>
      <c r="D46" s="150"/>
      <c r="E46"/>
      <c r="F46"/>
      <c r="G46"/>
      <c r="H46"/>
      <c r="I46"/>
      <c r="J46"/>
      <c r="K46"/>
      <c r="L46"/>
      <c r="M46"/>
      <c r="N46"/>
      <c r="O46"/>
    </row>
    <row r="47" spans="1:25">
      <c r="C47" s="150"/>
      <c r="D47" s="150"/>
      <c r="E47"/>
      <c r="F47"/>
      <c r="G47"/>
      <c r="H47"/>
      <c r="I47"/>
      <c r="J47"/>
      <c r="K47"/>
      <c r="L47"/>
      <c r="M47"/>
      <c r="N47"/>
      <c r="O47"/>
    </row>
    <row r="48" spans="1:25">
      <c r="C48" s="150"/>
      <c r="D48" s="150"/>
      <c r="E48"/>
      <c r="F48"/>
      <c r="G48"/>
      <c r="H48"/>
      <c r="I48"/>
      <c r="J48"/>
      <c r="K48"/>
      <c r="L48"/>
      <c r="M48"/>
      <c r="N48"/>
      <c r="O48"/>
    </row>
  </sheetData>
  <mergeCells count="5">
    <mergeCell ref="A6:D6"/>
    <mergeCell ref="A7:D7"/>
    <mergeCell ref="B43:C43"/>
    <mergeCell ref="B17:C17"/>
    <mergeCell ref="A9:D9"/>
  </mergeCells>
  <phoneticPr fontId="0" type="noConversion"/>
  <pageMargins left="1" right="0.5" top="1" bottom="0.5" header="0.25" footer="0.25"/>
  <pageSetup scale="65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31</vt:i4>
      </vt:variant>
    </vt:vector>
  </HeadingPairs>
  <TitlesOfParts>
    <vt:vector size="44" baseType="lpstr">
      <vt:lpstr>EKPC</vt:lpstr>
      <vt:lpstr>Appx A - Sch 1A</vt:lpstr>
      <vt:lpstr>Appx B - RTEP</vt:lpstr>
      <vt:lpstr>Appx C - True Up</vt:lpstr>
      <vt:lpstr>Appx D - Deprec</vt:lpstr>
      <vt:lpstr>Pg 1 of 8 M&amp;S Alloc</vt:lpstr>
      <vt:lpstr>P 2 of 8 Land Held for Future</vt:lpstr>
      <vt:lpstr>Pg 3 of 8 G&amp;A Adj</vt:lpstr>
      <vt:lpstr>Pg 4 of 8 Sch 1 Charges 561</vt:lpstr>
      <vt:lpstr>Pg 5 of 8 Trans Plant In OATT</vt:lpstr>
      <vt:lpstr>Pg 6 of 8 Rev Cred Support</vt:lpstr>
      <vt:lpstr>Pg 7 of 8 Cap Str</vt:lpstr>
      <vt:lpstr>Pg 8 of 8 Peak Load</vt:lpstr>
      <vt:lpstr>Appendix_A</vt:lpstr>
      <vt:lpstr>AppxB_Pg1_RTEP</vt:lpstr>
      <vt:lpstr>AppxB_Pg2_RTEP</vt:lpstr>
      <vt:lpstr>AppxD</vt:lpstr>
      <vt:lpstr>EKPC_1of6</vt:lpstr>
      <vt:lpstr>EKPC_2of6</vt:lpstr>
      <vt:lpstr>EKPC_3of6</vt:lpstr>
      <vt:lpstr>EKPC_4of6</vt:lpstr>
      <vt:lpstr>EKPC_5of6</vt:lpstr>
      <vt:lpstr>EKPC_6of6</vt:lpstr>
      <vt:lpstr>PG2_Support_LandHeld</vt:lpstr>
      <vt:lpstr>PG2_Support_TransPlant</vt:lpstr>
      <vt:lpstr>PG3_Support_Adv</vt:lpstr>
      <vt:lpstr>PG3_Support_BAcosts</vt:lpstr>
      <vt:lpstr>PG4_Support_Ancillary</vt:lpstr>
      <vt:lpstr>PG4_Support_CapStructure</vt:lpstr>
      <vt:lpstr>PG4_Support_RevCr</vt:lpstr>
      <vt:lpstr>'Appx A - Sch 1A'!Print_Area</vt:lpstr>
      <vt:lpstr>'Appx B - RTEP'!Print_Area</vt:lpstr>
      <vt:lpstr>'Appx C - True Up'!Print_Area</vt:lpstr>
      <vt:lpstr>'Appx D - Deprec'!Print_Area</vt:lpstr>
      <vt:lpstr>EKPC!Print_Area</vt:lpstr>
      <vt:lpstr>'P 2 of 8 Land Held for Future'!Print_Area</vt:lpstr>
      <vt:lpstr>'Pg 1 of 8 M&amp;S Alloc'!Print_Area</vt:lpstr>
      <vt:lpstr>'Pg 3 of 8 G&amp;A Adj'!Print_Area</vt:lpstr>
      <vt:lpstr>'Pg 4 of 8 Sch 1 Charges 561'!Print_Area</vt:lpstr>
      <vt:lpstr>'Pg 5 of 8 Trans Plant In OATT'!Print_Area</vt:lpstr>
      <vt:lpstr>'Pg 6 of 8 Rev Cred Support'!Print_Area</vt:lpstr>
      <vt:lpstr>'Pg 7 of 8 Cap Str'!Print_Area</vt:lpstr>
      <vt:lpstr>'Pg 8 of 8 Peak Load'!Print_Area</vt:lpstr>
      <vt:lpstr>SCH_1A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1970-01-01T04:00:00Z</cp:lastPrinted>
  <dcterms:created xsi:type="dcterms:W3CDTF">1970-01-01T04:00:00Z</dcterms:created>
  <dcterms:modified xsi:type="dcterms:W3CDTF">2016-05-12T13:16:42Z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