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24226"/>
  <mc:AlternateContent xmlns:mc="http://schemas.openxmlformats.org/markup-compatibility/2006">
    <mc:Choice Requires="x15">
      <x15ac:absPath xmlns:x15ac="http://schemas.microsoft.com/office/spreadsheetml/2010/11/ac" url="\\nas-mob-02\bschomemob1\ALVAMM\My Documents\PECO Formula Updates\2020\"/>
    </mc:Choice>
  </mc:AlternateContent>
  <xr:revisionPtr revIDLastSave="0" documentId="8_{00811257-8B9E-4282-85A7-BD7CA71D88E3}" xr6:coauthVersionLast="44" xr6:coauthVersionMax="44" xr10:uidLastSave="{00000000-0000-0000-0000-000000000000}"/>
  <bookViews>
    <workbookView xWindow="2205" yWindow="2205" windowWidth="15375" windowHeight="7875" tabRatio="855" activeTab="7"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10 - Pension Asset Discount" sheetId="55" r:id="rId20"/>
    <sheet name="11 - Cost of Capital" sheetId="56" r:id="rId21"/>
  </sheets>
  <externalReferences>
    <externalReference r:id="rId22"/>
    <externalReference r:id="rId23"/>
    <externalReference r:id="rId24"/>
    <externalReference r:id="rId25"/>
    <externalReference r:id="rId26"/>
    <externalReference r:id="rId27"/>
    <externalReference r:id="rId28"/>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hidden="1">{#N/A,#N/A,FALSE,"EMPPAY"}</definedName>
    <definedName name="_Fill" localSheetId="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hidden="1">{#N/A,#N/A,FALSE,"EMPPAY"}</definedName>
    <definedName name="_Order1" hidden="1">255</definedName>
    <definedName name="_Order2" hidden="1">0</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hidden="1">{#N/A,#N/A,FALSE,"EMPPAY"}</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ny" hidden="1">{#N/A,#N/A,FALSE,"Monthly SAIFI";#N/A,#N/A,FALSE,"Yearly SAIFI";#N/A,#N/A,FALSE,"Monthly CAIDI";#N/A,#N/A,FALSE,"Yearly CAIDI";#N/A,#N/A,FALSE,"Monthly SAIDI";#N/A,#N/A,FALSE,"Yearly SAIDI";#N/A,#N/A,FALSE,"Monthly MAIFI";#N/A,#N/A,FALSE,"Yearly MAIFI";#N/A,#N/A,FALSE,"Monthly Cust &gt;=4 Int"}</definedName>
    <definedName name="can" hidden="1">{#N/A,#N/A,FALSE,"O&amp;M by processes";#N/A,#N/A,FALSE,"Elec Act vs Bud";#N/A,#N/A,FALSE,"G&amp;A";#N/A,#N/A,FALSE,"BGS";#N/A,#N/A,FALSE,"Res Cost"}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hidden="1">{#N/A,#N/A,FALSE,"ARREC"}</definedName>
    <definedName name="delete" hidden="1">{#N/A,#N/A,FALSE,"CURRENT"}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hidden="1">{#N/A,#N/A,FALSE,"ARREC"}</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hidden="1">{#N/A,#N/A,FALSE,"EMPPAY"}</definedName>
    <definedName name="New_99_IS">'[4]2nd qtr 2000'!$A$1:$I$58,'[4]2nd qtr 2000'!$K$1:$T$58,'[4]2nd qtr 2000'!$V$1:$AI$58</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19">'10 - Pension Asset Discount'!$A$1:$S$28</definedName>
    <definedName name="_xlnm.Print_Area" localSheetId="20">'11 - Cost of Capital'!$A$1:$Q$47</definedName>
    <definedName name="_xlnm.Print_Area" localSheetId="2">'1-Project Rev Req'!$A$1:$T$119</definedName>
    <definedName name="_xlnm.Print_Area" localSheetId="3">'2-Incentive ROE'!$A$1:$K$48</definedName>
    <definedName name="_xlnm.Print_Area" localSheetId="5">'4- Rate Base'!$A$1:$L$118</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Credits'!$A$1:$H$93</definedName>
    <definedName name="_xlnm.Print_Area" localSheetId="13">'5B - A&amp;G'!$A$1:$J$31</definedName>
    <definedName name="_xlnm.Print_Area" localSheetId="11">'5-P3 Support'!$A$1:$M$56</definedName>
    <definedName name="_xlnm.Print_Area" localSheetId="15">'6-True-Up Interest'!$A$1:$I$74</definedName>
    <definedName name="_xlnm.Print_Area" localSheetId="16">'7 - PBOP'!$A$1:$F$25</definedName>
    <definedName name="_xlnm.Print_Area" localSheetId="17">'8 - Depreciation Rates'!$A$1:$L$152</definedName>
    <definedName name="_xlnm.Print_Area" localSheetId="1">'Attachment H-7'!$A$1:$K$255</definedName>
    <definedName name="_xlnm.Print_Area" localSheetId="0">Title!$A$1:$H$22</definedName>
    <definedName name="Print_TFI_use">'[5]TFI use'!$A$1:$P$40,'[5]TFI use'!$A$42:$P$65,'[5]TFI use'!$A$67:$R$84</definedName>
    <definedName name="reawreqw" hidden="1">{#N/A,#N/A,FALSE,"Monthly SAIFI";#N/A,#N/A,FALSE,"Yearly SAIFI";#N/A,#N/A,FALSE,"Monthly CAIDI";#N/A,#N/A,FALSE,"Yearly CAIDI";#N/A,#N/A,FALSE,"Monthly SAIDI";#N/A,#N/A,FALSE,"Yearly SAIDI";#N/A,#N/A,FALSE,"Monthly MAIFI";#N/A,#N/A,FALSE,"Yearly MAIFI";#N/A,#N/A,FALSE,"Monthly Cust &gt;=4 Int"}</definedName>
    <definedName name="rrrr" hidden="1">{#N/A,#N/A,FALSE,"O&amp;M by processes";#N/A,#N/A,FALSE,"Elec Act vs Bud";#N/A,#N/A,FALSE,"G&amp;A";#N/A,#N/A,FALSE,"BGS";#N/A,#N/A,FALSE,"Res Cost"}</definedName>
    <definedName name="saSAsa"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hidden="1">{#N/A,#N/A,FALSE,"O&amp;M by processes";#N/A,#N/A,FALSE,"Elec Act vs Bud";#N/A,#N/A,FALSE,"G&amp;A";#N/A,#N/A,FALSE,"BGS";#N/A,#N/A,FALSE,"Res Cost"}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hidden="1">{#N/A,#N/A,FALSE,"EMPPAY"}</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hidden="1">{#N/A,#N/A,FALSE,"Monthly SAIFI";#N/A,#N/A,FALSE,"Yearly SAIFI";#N/A,#N/A,FALSE,"Monthly CAIDI";#N/A,#N/A,FALSE,"Yearly CAIDI";#N/A,#N/A,FALSE,"Monthly SAIDI";#N/A,#N/A,FALSE,"Yearly SAIDI";#N/A,#N/A,FALSE,"Monthly MAIFI";#N/A,#N/A,FALSE,"Yearly MAIFI";#N/A,#N/A,FALSE,"Monthly Cust &gt;=4 Int"}</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hidden="1">{#N/A,#N/A,FALSE,"ARREC"}</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hidden="1">{#N/A,#N/A,FALSE,"EMPPAY"}</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hidden="1">{#N/A,#N/A,FALSE,"EMPPAY"}</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21" l="1"/>
  <c r="G30" i="21"/>
  <c r="G31" i="21"/>
  <c r="G32" i="21"/>
  <c r="G33" i="21"/>
  <c r="G34" i="21"/>
  <c r="G35" i="21"/>
  <c r="G36" i="21"/>
  <c r="G37" i="21"/>
  <c r="G38" i="21"/>
  <c r="G39" i="21"/>
  <c r="G40" i="21"/>
  <c r="G41" i="21"/>
  <c r="G42" i="21"/>
  <c r="G43" i="21"/>
  <c r="G20" i="21"/>
  <c r="G21" i="21"/>
  <c r="G22" i="21"/>
  <c r="G23" i="21"/>
  <c r="G24" i="21"/>
  <c r="G25" i="21"/>
  <c r="G26" i="21"/>
  <c r="G27" i="21"/>
  <c r="G28" i="21"/>
  <c r="G29" i="21"/>
  <c r="G19" i="21"/>
  <c r="G18" i="21" l="1"/>
  <c r="E63" i="30" l="1"/>
  <c r="F48" i="21" l="1"/>
  <c r="P43" i="33" l="1"/>
  <c r="R43" i="33" s="1"/>
  <c r="P18" i="33"/>
  <c r="R18" i="33" s="1"/>
  <c r="D95" i="33" l="1"/>
  <c r="F112" i="5" l="1"/>
  <c r="F113" i="5"/>
  <c r="F114" i="5"/>
  <c r="F115" i="5"/>
  <c r="E3" i="7" l="1"/>
  <c r="G95" i="33" l="1"/>
  <c r="C27" i="33" l="1"/>
  <c r="F100" i="5" l="1"/>
  <c r="D118" i="5" l="1"/>
  <c r="E118" i="5"/>
  <c r="D75" i="30" l="1"/>
  <c r="G74" i="30"/>
  <c r="E73" i="30"/>
  <c r="P41" i="33" l="1"/>
  <c r="Q41" i="33" s="1"/>
  <c r="P16" i="33"/>
  <c r="Q16" i="33" s="1"/>
  <c r="T16" i="33" s="1"/>
  <c r="A1" i="57" l="1"/>
  <c r="D94" i="33" l="1"/>
  <c r="G94" i="33" s="1"/>
  <c r="K95" i="52" l="1"/>
  <c r="K94" i="52"/>
  <c r="K91" i="52"/>
  <c r="K90" i="52"/>
  <c r="K89" i="52"/>
  <c r="K81" i="52"/>
  <c r="K80" i="52"/>
  <c r="K79" i="52"/>
  <c r="K78" i="52"/>
  <c r="K76" i="52"/>
  <c r="K75" i="52"/>
  <c r="K74" i="52"/>
  <c r="K73" i="52"/>
  <c r="K72" i="52"/>
  <c r="K71" i="52"/>
  <c r="K70" i="52"/>
  <c r="K69" i="52"/>
  <c r="K61" i="52"/>
  <c r="K60" i="52"/>
  <c r="K59" i="52"/>
  <c r="K58" i="52"/>
  <c r="K57"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15" i="52"/>
  <c r="J61" i="52" l="1"/>
  <c r="J60" i="52"/>
  <c r="J59" i="52"/>
  <c r="J58" i="52"/>
  <c r="J57" i="52"/>
  <c r="J56" i="52"/>
  <c r="J55" i="52"/>
  <c r="J54" i="52"/>
  <c r="I66" i="52" l="1"/>
  <c r="H66" i="52"/>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K62" i="52"/>
  <c r="J62" i="52"/>
  <c r="K52" i="52"/>
  <c r="L12" i="6" l="1"/>
  <c r="D131" i="1" s="1"/>
  <c r="D112" i="52"/>
  <c r="D111" i="52"/>
  <c r="K12" i="6"/>
  <c r="D130" i="1" s="1"/>
  <c r="E52" i="57" l="1"/>
  <c r="E47" i="57"/>
  <c r="F91" i="5" l="1"/>
  <c r="F111" i="5"/>
  <c r="F109" i="5"/>
  <c r="F107" i="5"/>
  <c r="F105" i="5"/>
  <c r="F103" i="5"/>
  <c r="F102" i="5"/>
  <c r="F101" i="5"/>
  <c r="F99" i="5"/>
  <c r="F93" i="5"/>
  <c r="A40" i="57" l="1"/>
  <c r="A41" i="57" s="1"/>
  <c r="E37" i="57" l="1"/>
  <c r="H21" i="6" s="1"/>
  <c r="E28" i="57"/>
  <c r="I21" i="6" s="1"/>
  <c r="E20" i="57"/>
  <c r="E21" i="6" s="1"/>
  <c r="E12" i="57"/>
  <c r="G21" i="6" s="1"/>
  <c r="E30" i="57" l="1"/>
  <c r="E39" i="57" s="1"/>
  <c r="E41" i="57" s="1"/>
  <c r="D117" i="1" l="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G13" i="56"/>
  <c r="J29" i="6" s="1"/>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I12" i="1"/>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37" i="52" l="1"/>
  <c r="J36" i="52"/>
  <c r="J35" i="52"/>
  <c r="J34" i="52"/>
  <c r="J33" i="52"/>
  <c r="J32" i="52"/>
  <c r="J31" i="52"/>
  <c r="J30" i="52"/>
  <c r="J29" i="52"/>
  <c r="J28" i="52"/>
  <c r="J27" i="52"/>
  <c r="J26" i="52"/>
  <c r="J65" i="52"/>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F123" i="52" s="1"/>
  <c r="J12" i="6"/>
  <c r="J96" i="52"/>
  <c r="I96" i="52"/>
  <c r="G89" i="30" l="1"/>
  <c r="F89" i="30"/>
  <c r="C89" i="30"/>
  <c r="F78" i="30"/>
  <c r="E78" i="30"/>
  <c r="C78" i="30"/>
  <c r="G65" i="30"/>
  <c r="C65" i="30"/>
  <c r="F62" i="30"/>
  <c r="F65" i="30" s="1"/>
  <c r="D61" i="30"/>
  <c r="D87" i="30" l="1"/>
  <c r="E86" i="30"/>
  <c r="D13" i="30" s="1"/>
  <c r="D85" i="30"/>
  <c r="E84" i="30"/>
  <c r="D83" i="30"/>
  <c r="G78" i="30"/>
  <c r="D72" i="30"/>
  <c r="E24" i="5"/>
  <c r="D24" i="5"/>
  <c r="C24" i="5"/>
  <c r="D89" i="30" l="1"/>
  <c r="E89" i="30"/>
  <c r="D36" i="54" l="1"/>
  <c r="E36" i="54" s="1"/>
  <c r="D32" i="54"/>
  <c r="D30" i="54"/>
  <c r="E30" i="54" s="1"/>
  <c r="F30" i="54" s="1"/>
  <c r="G30" i="54" s="1"/>
  <c r="H30" i="54" s="1"/>
  <c r="I30" i="54" s="1"/>
  <c r="J30" i="54" s="1"/>
  <c r="K30" i="54" s="1"/>
  <c r="L30" i="54" s="1"/>
  <c r="M30" i="54" s="1"/>
  <c r="N30" i="54" s="1"/>
  <c r="P14" i="54"/>
  <c r="P10" i="54"/>
  <c r="P8" i="54"/>
  <c r="O30" i="54" l="1"/>
  <c r="P30" i="54" s="1"/>
  <c r="E32" i="54"/>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I38" i="52"/>
  <c r="K23" i="52"/>
  <c r="I23" i="52"/>
  <c r="J22" i="52"/>
  <c r="J21" i="52"/>
  <c r="J20" i="52"/>
  <c r="J19" i="52"/>
  <c r="J18" i="52"/>
  <c r="J17" i="52"/>
  <c r="J15" i="52"/>
  <c r="D108" i="52" l="1"/>
  <c r="F108" i="52" s="1"/>
  <c r="H108" i="52" s="1"/>
  <c r="L108" i="52" s="1"/>
  <c r="I12" i="6"/>
  <c r="M44" i="54"/>
  <c r="L46" i="54"/>
  <c r="H23" i="52"/>
  <c r="J16" i="52"/>
  <c r="J38" i="52"/>
  <c r="H38" i="52"/>
  <c r="K108" i="52" l="1"/>
  <c r="F121" i="52" s="1"/>
  <c r="M46" i="54"/>
  <c r="N44" i="54"/>
  <c r="O44" i="54" s="1"/>
  <c r="P44" i="54" s="1"/>
  <c r="J23" i="52"/>
  <c r="N46" i="54" l="1"/>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1" i="30"/>
  <c r="E80" i="30"/>
  <c r="D71" i="30"/>
  <c r="D70" i="30"/>
  <c r="E60" i="30"/>
  <c r="E59" i="30"/>
  <c r="D58" i="30"/>
  <c r="D65" i="30" s="1"/>
  <c r="D67" i="30" s="1"/>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D105" i="33" s="1"/>
  <c r="E111" i="52" s="1"/>
  <c r="F111" i="52" s="1"/>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O71" i="33"/>
  <c r="N71" i="33"/>
  <c r="M71" i="33"/>
  <c r="L71" i="33"/>
  <c r="K71" i="33"/>
  <c r="J71" i="33"/>
  <c r="I71" i="33"/>
  <c r="H71" i="33"/>
  <c r="G71" i="33"/>
  <c r="F71" i="33"/>
  <c r="E71" i="33"/>
  <c r="D71" i="33"/>
  <c r="C71" i="33"/>
  <c r="M70" i="33"/>
  <c r="L70" i="33"/>
  <c r="K70" i="33"/>
  <c r="J70" i="33"/>
  <c r="I70" i="33"/>
  <c r="H70" i="33"/>
  <c r="G70" i="33"/>
  <c r="F70" i="33"/>
  <c r="E70" i="33"/>
  <c r="D70"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M66" i="33"/>
  <c r="L66" i="33"/>
  <c r="K66" i="33"/>
  <c r="J66" i="33"/>
  <c r="I66" i="33"/>
  <c r="H66" i="33"/>
  <c r="G66" i="33"/>
  <c r="F66" i="33"/>
  <c r="E66" i="33"/>
  <c r="D66"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M52" i="33"/>
  <c r="L52" i="33"/>
  <c r="K52" i="33"/>
  <c r="J52" i="33"/>
  <c r="I52" i="33"/>
  <c r="H52" i="33"/>
  <c r="G52" i="33"/>
  <c r="F52" i="33"/>
  <c r="E52" i="33"/>
  <c r="D52" i="33"/>
  <c r="C52" i="33"/>
  <c r="T51" i="33"/>
  <c r="T50" i="33"/>
  <c r="T49" i="33"/>
  <c r="T48" i="33"/>
  <c r="T47" i="33"/>
  <c r="T46" i="33"/>
  <c r="T45" i="33"/>
  <c r="T44" i="33"/>
  <c r="T43" i="33"/>
  <c r="T41" i="33"/>
  <c r="P40" i="33"/>
  <c r="R40" i="33" s="1"/>
  <c r="T40" i="33" s="1"/>
  <c r="P39" i="33"/>
  <c r="R39" i="33" s="1"/>
  <c r="T39" i="33" s="1"/>
  <c r="P37" i="33"/>
  <c r="R37" i="33" s="1"/>
  <c r="T37" i="33" s="1"/>
  <c r="P36" i="33"/>
  <c r="R36" i="33" s="1"/>
  <c r="P35" i="33"/>
  <c r="Q35" i="33" s="1"/>
  <c r="T35" i="33" s="1"/>
  <c r="P34" i="33"/>
  <c r="S34" i="33" s="1"/>
  <c r="M27" i="33"/>
  <c r="L27" i="33"/>
  <c r="K27" i="33"/>
  <c r="J27" i="33"/>
  <c r="I27" i="33"/>
  <c r="H27" i="33"/>
  <c r="G27" i="33"/>
  <c r="F27" i="33"/>
  <c r="E27" i="33"/>
  <c r="D27" i="33"/>
  <c r="T26" i="33"/>
  <c r="T25" i="33"/>
  <c r="T24" i="33"/>
  <c r="T23" i="33"/>
  <c r="T22" i="33"/>
  <c r="T21" i="33"/>
  <c r="T20" i="33"/>
  <c r="T19" i="33"/>
  <c r="T18" i="33"/>
  <c r="P15" i="33"/>
  <c r="R15" i="33" s="1"/>
  <c r="T15" i="33" s="1"/>
  <c r="P14" i="33"/>
  <c r="R14" i="33" s="1"/>
  <c r="T14" i="33" s="1"/>
  <c r="P12" i="33"/>
  <c r="R12" i="33" s="1"/>
  <c r="T12" i="33" s="1"/>
  <c r="P11" i="33"/>
  <c r="R11" i="33" s="1"/>
  <c r="T11" i="33" s="1"/>
  <c r="P10" i="33"/>
  <c r="Q10"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K77" i="27" s="1"/>
  <c r="F108" i="29"/>
  <c r="F111" i="29" s="1"/>
  <c r="E108" i="29"/>
  <c r="D108" i="29"/>
  <c r="D111" i="29" s="1"/>
  <c r="C108" i="29"/>
  <c r="G73" i="29"/>
  <c r="F73" i="29"/>
  <c r="F76" i="29" s="1"/>
  <c r="I95" i="27" s="1"/>
  <c r="E73" i="29"/>
  <c r="E76" i="29" s="1"/>
  <c r="G95" i="27" s="1"/>
  <c r="H95" i="27" s="1"/>
  <c r="D73" i="29"/>
  <c r="D76" i="29" s="1"/>
  <c r="C73" i="29"/>
  <c r="C83" i="27"/>
  <c r="C77" i="27"/>
  <c r="F57" i="27"/>
  <c r="C56" i="27"/>
  <c r="C39" i="27"/>
  <c r="F34" i="27"/>
  <c r="C33" i="27"/>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G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P71" i="33" l="1"/>
  <c r="R71" i="33" s="1"/>
  <c r="T71" i="33" s="1"/>
  <c r="D6" i="30"/>
  <c r="D32" i="30" s="1"/>
  <c r="F9" i="29"/>
  <c r="I77" i="27"/>
  <c r="G83" i="27"/>
  <c r="H83" i="27" s="1"/>
  <c r="J50" i="21"/>
  <c r="D156" i="1"/>
  <c r="E65" i="30"/>
  <c r="E67" i="30" s="1"/>
  <c r="P69" i="33"/>
  <c r="Q69" i="33" s="1"/>
  <c r="T69" i="33" s="1"/>
  <c r="I121" i="52"/>
  <c r="D57" i="1"/>
  <c r="D67" i="1" s="1"/>
  <c r="D78" i="30"/>
  <c r="D80" i="30" s="1"/>
  <c r="H111" i="52"/>
  <c r="C76" i="29"/>
  <c r="G76" i="29"/>
  <c r="D86" i="1"/>
  <c r="I86" i="1" s="1"/>
  <c r="I5" i="55"/>
  <c r="O46" i="54"/>
  <c r="F12" i="17"/>
  <c r="D123" i="1" s="1"/>
  <c r="H81" i="49"/>
  <c r="H83" i="49"/>
  <c r="H85" i="49"/>
  <c r="E91" i="30"/>
  <c r="G88" i="33"/>
  <c r="F54" i="30"/>
  <c r="I24" i="32"/>
  <c r="I27" i="32" s="1"/>
  <c r="F45" i="6"/>
  <c r="G43" i="6" s="1"/>
  <c r="D205" i="1"/>
  <c r="E14" i="16" s="1"/>
  <c r="E15" i="16" s="1"/>
  <c r="H57" i="49"/>
  <c r="A200" i="1"/>
  <c r="A201" i="1" s="1"/>
  <c r="A202" i="1" s="1"/>
  <c r="A203" i="1" s="1"/>
  <c r="A204" i="1" s="1"/>
  <c r="A205" i="1" s="1"/>
  <c r="A206" i="1" s="1"/>
  <c r="H77" i="49"/>
  <c r="H64" i="49"/>
  <c r="H66" i="49"/>
  <c r="H80" i="33"/>
  <c r="P63" i="33"/>
  <c r="Q63" i="33" s="1"/>
  <c r="H75" i="49"/>
  <c r="H84" i="49"/>
  <c r="H82" i="49"/>
  <c r="H79" i="49"/>
  <c r="H58" i="49"/>
  <c r="H65" i="49"/>
  <c r="D71" i="1"/>
  <c r="T36" i="33"/>
  <c r="G80" i="33"/>
  <c r="C76" i="49"/>
  <c r="H76" i="49" s="1"/>
  <c r="H80" i="49"/>
  <c r="I80" i="33"/>
  <c r="J80" i="33"/>
  <c r="P64" i="33"/>
  <c r="R64" i="33" s="1"/>
  <c r="T64" i="33" s="1"/>
  <c r="P65" i="33"/>
  <c r="R65" i="33" s="1"/>
  <c r="T65" i="33" s="1"/>
  <c r="E70" i="49"/>
  <c r="H62" i="49"/>
  <c r="H74" i="49"/>
  <c r="H78" i="49"/>
  <c r="D122" i="1"/>
  <c r="P62" i="33"/>
  <c r="S62" i="33" s="1"/>
  <c r="K80" i="33"/>
  <c r="H51" i="49"/>
  <c r="D62" i="1" s="1"/>
  <c r="F70" i="49"/>
  <c r="H59" i="49"/>
  <c r="H67" i="49"/>
  <c r="H68" i="49"/>
  <c r="D86" i="49"/>
  <c r="G24" i="32"/>
  <c r="I68" i="1"/>
  <c r="D147" i="1"/>
  <c r="D80" i="33"/>
  <c r="L80" i="33"/>
  <c r="P67" i="33"/>
  <c r="R67" i="33" s="1"/>
  <c r="T67" i="33" s="1"/>
  <c r="G70" i="49"/>
  <c r="H61" i="49"/>
  <c r="E80" i="33"/>
  <c r="M80" i="33"/>
  <c r="C51" i="49"/>
  <c r="H69" i="49"/>
  <c r="G196" i="1"/>
  <c r="F80" i="33"/>
  <c r="P68" i="33"/>
  <c r="R68" i="33" s="1"/>
  <c r="T68" i="33" s="1"/>
  <c r="H63" i="49"/>
  <c r="B1" i="32"/>
  <c r="B52" i="49"/>
  <c r="A1" i="49"/>
  <c r="B1" i="33"/>
  <c r="C55" i="33" s="1"/>
  <c r="D218" i="1"/>
  <c r="B23" i="16"/>
  <c r="A20" i="16"/>
  <c r="B27" i="16" s="1"/>
  <c r="A49" i="1"/>
  <c r="A127" i="1"/>
  <c r="A128" i="1" s="1"/>
  <c r="F24" i="5"/>
  <c r="D85" i="1" s="1"/>
  <c r="I85" i="1" s="1"/>
  <c r="F28" i="27"/>
  <c r="T34" i="33"/>
  <c r="S52" i="33"/>
  <c r="E125" i="52" s="1"/>
  <c r="B128" i="28"/>
  <c r="B86" i="29"/>
  <c r="B91" i="28"/>
  <c r="B122" i="29"/>
  <c r="B2" i="29"/>
  <c r="B2" i="28"/>
  <c r="G77" i="1"/>
  <c r="G78" i="1" s="1"/>
  <c r="H34" i="49"/>
  <c r="D52" i="1" s="1"/>
  <c r="I184" i="1"/>
  <c r="F48" i="7"/>
  <c r="F49" i="7" s="1"/>
  <c r="F50" i="7" s="1"/>
  <c r="F51" i="7" s="1"/>
  <c r="F52" i="7" s="1"/>
  <c r="F53" i="7" s="1"/>
  <c r="F54" i="7" s="1"/>
  <c r="F55" i="7" s="1"/>
  <c r="F56" i="7" s="1"/>
  <c r="F57" i="7" s="1"/>
  <c r="F58" i="7" s="1"/>
  <c r="F59" i="7" s="1"/>
  <c r="F60" i="7" s="1"/>
  <c r="F61" i="7" s="1"/>
  <c r="F62" i="7" s="1"/>
  <c r="F63" i="7" s="1"/>
  <c r="F64" i="7" s="1"/>
  <c r="F65" i="7" s="1"/>
  <c r="F66" i="7" s="1"/>
  <c r="F67" i="7" s="1"/>
  <c r="F68" i="7" s="1"/>
  <c r="D70" i="49"/>
  <c r="T10" i="33"/>
  <c r="C80" i="33"/>
  <c r="E105" i="33"/>
  <c r="D107" i="33"/>
  <c r="C60" i="49"/>
  <c r="H60" i="49" s="1"/>
  <c r="F105" i="33"/>
  <c r="E112" i="52" s="1"/>
  <c r="F112" i="52" s="1"/>
  <c r="C34" i="49"/>
  <c r="D12" i="30"/>
  <c r="H24" i="32"/>
  <c r="T9" i="33"/>
  <c r="E11" i="29"/>
  <c r="F11" i="29"/>
  <c r="E10" i="29"/>
  <c r="G9" i="29"/>
  <c r="F10" i="29"/>
  <c r="F69" i="7" l="1"/>
  <c r="G69" i="7" s="1"/>
  <c r="G68" i="7"/>
  <c r="D33" i="30"/>
  <c r="D34" i="30" s="1"/>
  <c r="D35" i="30" s="1"/>
  <c r="G11" i="29"/>
  <c r="K95" i="27"/>
  <c r="C11" i="29"/>
  <c r="F95" i="27"/>
  <c r="T63" i="33"/>
  <c r="E107" i="33"/>
  <c r="K64" i="52"/>
  <c r="K66" i="52" s="1"/>
  <c r="E113" i="52"/>
  <c r="P46" i="54"/>
  <c r="D82" i="1" s="1"/>
  <c r="I12" i="55"/>
  <c r="D206" i="1"/>
  <c r="G44" i="6"/>
  <c r="G42" i="6" s="1"/>
  <c r="E203" i="1" s="1"/>
  <c r="F12" i="16" s="1"/>
  <c r="J12" i="16" s="1"/>
  <c r="C86" i="49"/>
  <c r="H86" i="49" s="1"/>
  <c r="D134" i="1" s="1"/>
  <c r="C70" i="49"/>
  <c r="H70" i="49"/>
  <c r="I187" i="1"/>
  <c r="G105" i="33"/>
  <c r="G79" i="1"/>
  <c r="G80" i="1" s="1"/>
  <c r="G81" i="1" s="1"/>
  <c r="G83" i="1"/>
  <c r="I83" i="1" s="1"/>
  <c r="A129" i="1"/>
  <c r="A130" i="1" s="1"/>
  <c r="A133" i="1" s="1"/>
  <c r="A134" i="1" s="1"/>
  <c r="A135" i="1" s="1"/>
  <c r="A136" i="1" s="1"/>
  <c r="K43" i="6"/>
  <c r="I204" i="1" s="1"/>
  <c r="E204" i="1"/>
  <c r="F13" i="16" s="1"/>
  <c r="J13" i="16" s="1"/>
  <c r="A50" i="1"/>
  <c r="A21" i="16"/>
  <c r="A22" i="16" s="1"/>
  <c r="A23" i="16" s="1"/>
  <c r="D72" i="1"/>
  <c r="J24" i="32"/>
  <c r="J27" i="32" s="1"/>
  <c r="T62" i="33"/>
  <c r="S80" i="33"/>
  <c r="F12" i="29"/>
  <c r="I34" i="27"/>
  <c r="K28" i="27"/>
  <c r="K30" i="27" s="1"/>
  <c r="I189" i="1" l="1"/>
  <c r="G14" i="1" s="1"/>
  <c r="G82" i="1"/>
  <c r="I82" i="1" s="1"/>
  <c r="I81" i="1"/>
  <c r="D113" i="52"/>
  <c r="F113" i="52" s="1"/>
  <c r="M12" i="6"/>
  <c r="D132" i="1" s="1"/>
  <c r="K44" i="6"/>
  <c r="I205" i="1" s="1"/>
  <c r="K42" i="6"/>
  <c r="I203" i="1" s="1"/>
  <c r="E205" i="1"/>
  <c r="G34" i="27"/>
  <c r="A24" i="16"/>
  <c r="A25" i="16" s="1"/>
  <c r="A26" i="16" s="1"/>
  <c r="A27" i="16" s="1"/>
  <c r="A51" i="1"/>
  <c r="A138" i="1"/>
  <c r="A139" i="1" s="1"/>
  <c r="A140" i="1" s="1"/>
  <c r="C136" i="1"/>
  <c r="H34" i="27"/>
  <c r="G47" i="1" l="1"/>
  <c r="I47" i="1" s="1"/>
  <c r="G114" i="1"/>
  <c r="I114" i="1" s="1"/>
  <c r="E194" i="1"/>
  <c r="G194" i="1" s="1"/>
  <c r="G197" i="1" s="1"/>
  <c r="I197" i="1" s="1"/>
  <c r="F94" i="5"/>
  <c r="K113" i="52"/>
  <c r="F126" i="52" s="1"/>
  <c r="H113" i="52"/>
  <c r="L113" i="52" s="1"/>
  <c r="K45" i="6"/>
  <c r="I206" i="1" s="1"/>
  <c r="F14" i="16"/>
  <c r="J14" i="16" s="1"/>
  <c r="J15" i="16" s="1"/>
  <c r="E20" i="16" s="1"/>
  <c r="B30" i="16"/>
  <c r="A141" i="1"/>
  <c r="A142" i="1" s="1"/>
  <c r="A143" i="1" s="1"/>
  <c r="A144" i="1" s="1"/>
  <c r="A145" i="1" s="1"/>
  <c r="A146" i="1" s="1"/>
  <c r="A147" i="1" s="1"/>
  <c r="A52" i="1"/>
  <c r="G57" i="1"/>
  <c r="B29" i="16"/>
  <c r="G97" i="1"/>
  <c r="I97" i="1" s="1"/>
  <c r="G121" i="1"/>
  <c r="A28" i="16"/>
  <c r="A29" i="16" s="1"/>
  <c r="A30" i="16" s="1"/>
  <c r="A31" i="16" s="1"/>
  <c r="A33" i="16" s="1"/>
  <c r="B28" i="16"/>
  <c r="G115" i="1" l="1"/>
  <c r="G51" i="30"/>
  <c r="H51" i="30" s="1"/>
  <c r="G133" i="1"/>
  <c r="I133" i="1" s="1"/>
  <c r="H53" i="5"/>
  <c r="I53" i="5" s="1"/>
  <c r="F12" i="54"/>
  <c r="G123" i="1"/>
  <c r="I123" i="1" s="1"/>
  <c r="G26" i="32"/>
  <c r="G27" i="32" s="1"/>
  <c r="G129" i="1"/>
  <c r="G131" i="1" s="1"/>
  <c r="I131" i="1" s="1"/>
  <c r="G66" i="30"/>
  <c r="G67" i="30" s="1"/>
  <c r="G49" i="1"/>
  <c r="G51" i="1" s="1"/>
  <c r="L12" i="27"/>
  <c r="G90" i="30"/>
  <c r="G91" i="30" s="1"/>
  <c r="G124" i="1"/>
  <c r="G79" i="30"/>
  <c r="G80" i="30" s="1"/>
  <c r="G109" i="52"/>
  <c r="G110" i="52" s="1"/>
  <c r="H110" i="52" s="1"/>
  <c r="S28" i="33"/>
  <c r="F97" i="5"/>
  <c r="F108" i="5"/>
  <c r="F95" i="5"/>
  <c r="F104" i="5"/>
  <c r="F98" i="5"/>
  <c r="F106" i="5"/>
  <c r="F92" i="5"/>
  <c r="D153" i="1"/>
  <c r="D17" i="49"/>
  <c r="H17" i="49" s="1"/>
  <c r="D124" i="1" s="1"/>
  <c r="D125" i="1" s="1"/>
  <c r="D96" i="1" s="1"/>
  <c r="H9" i="49"/>
  <c r="F96" i="5"/>
  <c r="G59" i="1"/>
  <c r="E66" i="2"/>
  <c r="E95" i="2" s="1"/>
  <c r="I18" i="2"/>
  <c r="B31" i="16"/>
  <c r="I57" i="1"/>
  <c r="G93" i="1"/>
  <c r="A149" i="1"/>
  <c r="A151" i="1" s="1"/>
  <c r="A152" i="1" s="1"/>
  <c r="A35" i="16"/>
  <c r="A36" i="16" s="1"/>
  <c r="A37" i="16" s="1"/>
  <c r="A38" i="16" s="1"/>
  <c r="A39" i="16" s="1"/>
  <c r="A40" i="16" s="1"/>
  <c r="A53" i="1"/>
  <c r="A55" i="1" s="1"/>
  <c r="A56" i="1" s="1"/>
  <c r="G116" i="1"/>
  <c r="I116" i="1" s="1"/>
  <c r="I115" i="1"/>
  <c r="I121" i="1"/>
  <c r="C147" i="1"/>
  <c r="G52" i="30" l="1"/>
  <c r="H52" i="30" s="1"/>
  <c r="H54" i="5"/>
  <c r="I54" i="5" s="1"/>
  <c r="G140" i="1"/>
  <c r="G141" i="1" s="1"/>
  <c r="I141" i="1" s="1"/>
  <c r="G12" i="54"/>
  <c r="C34" i="54"/>
  <c r="M12" i="54"/>
  <c r="L12" i="54"/>
  <c r="H123" i="52"/>
  <c r="I123" i="52" s="1"/>
  <c r="I12" i="54"/>
  <c r="H12" i="54"/>
  <c r="N12" i="54"/>
  <c r="J12" i="54"/>
  <c r="E12" i="54"/>
  <c r="O12" i="54"/>
  <c r="D12" i="54"/>
  <c r="K12" i="54"/>
  <c r="I49" i="1"/>
  <c r="L73" i="27"/>
  <c r="G112" i="52"/>
  <c r="H125" i="52" s="1"/>
  <c r="H122" i="52"/>
  <c r="I124" i="1"/>
  <c r="I67" i="1"/>
  <c r="H66" i="2" s="1"/>
  <c r="H95" i="2" s="1"/>
  <c r="I122" i="1"/>
  <c r="H54" i="30"/>
  <c r="D36" i="30" s="1"/>
  <c r="D37" i="30" s="1"/>
  <c r="D38" i="30" s="1"/>
  <c r="D23" i="30" s="1"/>
  <c r="C66" i="1"/>
  <c r="A57" i="1"/>
  <c r="S53" i="33"/>
  <c r="S29" i="33"/>
  <c r="A153" i="1"/>
  <c r="B156" i="1"/>
  <c r="G61" i="1"/>
  <c r="G52" i="1"/>
  <c r="I52" i="1" s="1"/>
  <c r="I51" i="1"/>
  <c r="I93" i="1"/>
  <c r="G128" i="1"/>
  <c r="O34" i="54" l="1"/>
  <c r="I140" i="1"/>
  <c r="M34" i="54"/>
  <c r="H55" i="5"/>
  <c r="I55" i="5" s="1"/>
  <c r="I34" i="54"/>
  <c r="H34" i="54"/>
  <c r="F34" i="54"/>
  <c r="L34" i="54"/>
  <c r="D34" i="54"/>
  <c r="P12" i="54"/>
  <c r="K34" i="54"/>
  <c r="G34" i="54"/>
  <c r="N34" i="54"/>
  <c r="J34" i="54"/>
  <c r="E34" i="54"/>
  <c r="H112" i="52"/>
  <c r="L28" i="27"/>
  <c r="L30" i="27" s="1"/>
  <c r="L95" i="27"/>
  <c r="I19" i="2"/>
  <c r="O70" i="33"/>
  <c r="K16" i="54"/>
  <c r="K18" i="54" s="1"/>
  <c r="F16" i="54"/>
  <c r="F18" i="54" s="1"/>
  <c r="J16" i="54"/>
  <c r="J18" i="54" s="1"/>
  <c r="D16" i="54"/>
  <c r="G16" i="54"/>
  <c r="G18" i="54" s="1"/>
  <c r="M16" i="54"/>
  <c r="M18" i="54" s="1"/>
  <c r="L16" i="54"/>
  <c r="L18" i="54" s="1"/>
  <c r="E16" i="54"/>
  <c r="E18" i="54" s="1"/>
  <c r="N16" i="54"/>
  <c r="N18" i="54" s="1"/>
  <c r="I16" i="54"/>
  <c r="I18" i="54" s="1"/>
  <c r="H16" i="54"/>
  <c r="H18" i="54" s="1"/>
  <c r="O16" i="54"/>
  <c r="O18" i="54" s="1"/>
  <c r="G171" i="29"/>
  <c r="C171" i="29"/>
  <c r="I128" i="1"/>
  <c r="G130" i="1"/>
  <c r="I130" i="1" s="1"/>
  <c r="P34" i="54"/>
  <c r="G134" i="1"/>
  <c r="I134" i="1" s="1"/>
  <c r="I61" i="1"/>
  <c r="G62" i="1"/>
  <c r="I62" i="1" s="1"/>
  <c r="A154" i="1"/>
  <c r="A155" i="1" s="1"/>
  <c r="A156" i="1" s="1"/>
  <c r="S81" i="33"/>
  <c r="S82" i="33" s="1"/>
  <c r="S54" i="33"/>
  <c r="A58" i="1"/>
  <c r="C67" i="1"/>
  <c r="H56" i="5" l="1"/>
  <c r="H57" i="5" s="1"/>
  <c r="I57" i="5" s="1"/>
  <c r="K83" i="27"/>
  <c r="L83" i="27" s="1"/>
  <c r="P42" i="33"/>
  <c r="Q42" i="33" s="1"/>
  <c r="Q52" i="33" s="1"/>
  <c r="O52" i="33"/>
  <c r="P17" i="33"/>
  <c r="Q17" i="33" s="1"/>
  <c r="N70" i="33"/>
  <c r="P70" i="33" s="1"/>
  <c r="F38" i="54"/>
  <c r="F40" i="54" s="1"/>
  <c r="J38" i="54"/>
  <c r="J40" i="54" s="1"/>
  <c r="N38" i="54"/>
  <c r="N40" i="54" s="1"/>
  <c r="M38" i="54"/>
  <c r="M40" i="54" s="1"/>
  <c r="C38" i="54"/>
  <c r="G38" i="54"/>
  <c r="G40" i="54" s="1"/>
  <c r="K38" i="54"/>
  <c r="K40" i="54" s="1"/>
  <c r="O38" i="54"/>
  <c r="O40" i="54" s="1"/>
  <c r="H38" i="54"/>
  <c r="H40" i="54" s="1"/>
  <c r="L38" i="54"/>
  <c r="L40" i="54" s="1"/>
  <c r="D38" i="54"/>
  <c r="D40" i="54" s="1"/>
  <c r="I38" i="54"/>
  <c r="I40" i="54" s="1"/>
  <c r="E38" i="54"/>
  <c r="E40" i="54" s="1"/>
  <c r="D18" i="54"/>
  <c r="P18" i="54" s="1"/>
  <c r="L21" i="6" s="1"/>
  <c r="D158" i="1" s="1"/>
  <c r="D162" i="1" s="1"/>
  <c r="I162" i="1" s="1"/>
  <c r="P16" i="54"/>
  <c r="I72" i="1"/>
  <c r="K66" i="2"/>
  <c r="K95" i="2" s="1"/>
  <c r="I71" i="1"/>
  <c r="G10" i="29"/>
  <c r="G12" i="29" s="1"/>
  <c r="K34" i="27"/>
  <c r="E111" i="29"/>
  <c r="G77" i="27" s="1"/>
  <c r="C111" i="29"/>
  <c r="C10" i="29"/>
  <c r="F83" i="27"/>
  <c r="I24" i="5"/>
  <c r="D98" i="1" s="1"/>
  <c r="F110" i="5"/>
  <c r="H58" i="5"/>
  <c r="H60" i="5" s="1"/>
  <c r="H61" i="5" s="1"/>
  <c r="F106" i="33"/>
  <c r="F107" i="33" s="1"/>
  <c r="G107" i="33" s="1"/>
  <c r="A59" i="1"/>
  <c r="C68" i="1"/>
  <c r="A157" i="1"/>
  <c r="C161" i="1" s="1"/>
  <c r="I56" i="5" l="1"/>
  <c r="T42" i="33"/>
  <c r="D157" i="1"/>
  <c r="N27" i="33"/>
  <c r="P13" i="33"/>
  <c r="R13" i="33" s="1"/>
  <c r="N66" i="33"/>
  <c r="P38" i="33"/>
  <c r="R38" i="33" s="1"/>
  <c r="N52" i="33"/>
  <c r="P52" i="33" s="1"/>
  <c r="O27" i="33"/>
  <c r="O66" i="33"/>
  <c r="O80" i="33" s="1"/>
  <c r="R70" i="33"/>
  <c r="Q70" i="33"/>
  <c r="Q80" i="33" s="1"/>
  <c r="Q82" i="33" s="1"/>
  <c r="E124" i="52"/>
  <c r="Q54" i="33"/>
  <c r="T17" i="33"/>
  <c r="Q27" i="33"/>
  <c r="E25" i="16"/>
  <c r="E29" i="16" s="1"/>
  <c r="P38" i="54"/>
  <c r="C40" i="54"/>
  <c r="P40" i="54" s="1"/>
  <c r="D80" i="1" s="1"/>
  <c r="I80" i="1" s="1"/>
  <c r="L34" i="27"/>
  <c r="E9" i="29"/>
  <c r="E12" i="29" s="1"/>
  <c r="H28" i="27"/>
  <c r="H30" i="27" s="1"/>
  <c r="C9" i="29"/>
  <c r="C12" i="29" s="1"/>
  <c r="F77" i="27"/>
  <c r="I98" i="1"/>
  <c r="D99" i="1"/>
  <c r="I61" i="5"/>
  <c r="H62" i="5"/>
  <c r="I58" i="5"/>
  <c r="A60" i="1"/>
  <c r="C69" i="1"/>
  <c r="A158" i="1"/>
  <c r="D159" i="1" l="1"/>
  <c r="E24" i="16"/>
  <c r="E28" i="16" s="1"/>
  <c r="D161" i="1"/>
  <c r="I161" i="1" s="1"/>
  <c r="T38" i="33"/>
  <c r="R52" i="33"/>
  <c r="N80" i="33"/>
  <c r="P66" i="33"/>
  <c r="T70" i="33"/>
  <c r="T13" i="33"/>
  <c r="R27" i="33"/>
  <c r="R29" i="33" s="1"/>
  <c r="Q29" i="33"/>
  <c r="P27" i="33"/>
  <c r="G28" i="27"/>
  <c r="G30" i="27" s="1"/>
  <c r="I62" i="5"/>
  <c r="H63" i="5"/>
  <c r="I60" i="5"/>
  <c r="I59" i="5"/>
  <c r="H29" i="16"/>
  <c r="J28" i="16"/>
  <c r="A159" i="1"/>
  <c r="C163" i="1" s="1"/>
  <c r="C162" i="1"/>
  <c r="A61" i="1"/>
  <c r="C70" i="1"/>
  <c r="E26" i="16" l="1"/>
  <c r="E30" i="16" s="1"/>
  <c r="D163" i="1"/>
  <c r="I163" i="1" s="1"/>
  <c r="T27" i="33"/>
  <c r="D50" i="1" s="1"/>
  <c r="D53" i="1" s="1"/>
  <c r="T29" i="33"/>
  <c r="I50" i="1" s="1"/>
  <c r="R54" i="33"/>
  <c r="T54" i="33" s="1"/>
  <c r="E126" i="52"/>
  <c r="T52" i="33"/>
  <c r="R66" i="33"/>
  <c r="P80" i="33"/>
  <c r="I63" i="5"/>
  <c r="H64" i="5"/>
  <c r="A62" i="1"/>
  <c r="C71" i="1"/>
  <c r="I28" i="27"/>
  <c r="A160" i="1"/>
  <c r="H30" i="16"/>
  <c r="J29" i="16"/>
  <c r="J30" i="16" l="1"/>
  <c r="E127" i="52"/>
  <c r="G126" i="52"/>
  <c r="T66" i="33"/>
  <c r="T80" i="33" s="1"/>
  <c r="R80" i="33"/>
  <c r="R82" i="33" s="1"/>
  <c r="T82" i="33" s="1"/>
  <c r="I53" i="1"/>
  <c r="G53" i="1" s="1"/>
  <c r="H65" i="5"/>
  <c r="I65" i="5" s="1"/>
  <c r="I64" i="5"/>
  <c r="I30" i="27"/>
  <c r="G118" i="5"/>
  <c r="H118" i="5"/>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126" i="52" l="1"/>
  <c r="J12" i="27"/>
  <c r="H26" i="32"/>
  <c r="H27" i="32" s="1"/>
  <c r="J28" i="32" s="1"/>
  <c r="I118" i="1" s="1"/>
  <c r="I125" i="1" s="1"/>
  <c r="F79" i="30"/>
  <c r="F80" i="30" s="1"/>
  <c r="H80" i="30" s="1"/>
  <c r="D15" i="30" s="1"/>
  <c r="F66" i="30"/>
  <c r="F67" i="30" s="1"/>
  <c r="D7" i="30" s="1"/>
  <c r="F90" i="30"/>
  <c r="F91" i="30" s="1"/>
  <c r="H91" i="30" s="1"/>
  <c r="G143" i="1"/>
  <c r="I71" i="5"/>
  <c r="D84" i="1" s="1"/>
  <c r="I84" i="1" s="1"/>
  <c r="C164" i="1"/>
  <c r="A166" i="1"/>
  <c r="A167" i="1" s="1"/>
  <c r="C170" i="1" s="1"/>
  <c r="I143" i="1" l="1"/>
  <c r="G146" i="1"/>
  <c r="I146" i="1" s="1"/>
  <c r="G145" i="1"/>
  <c r="I145" i="1" s="1"/>
  <c r="I22" i="2"/>
  <c r="I23" i="2" s="1"/>
  <c r="L23" i="2" s="1"/>
  <c r="I96" i="1"/>
  <c r="I99" i="1" s="1"/>
  <c r="J73" i="27"/>
  <c r="J28" i="27"/>
  <c r="D8" i="30"/>
  <c r="D22" i="30" s="1"/>
  <c r="H67" i="30"/>
  <c r="A170" i="1"/>
  <c r="C11" i="1" s="1"/>
  <c r="C160" i="1"/>
  <c r="M57" i="27" l="1"/>
  <c r="H44" i="5" s="1"/>
  <c r="M28" i="27"/>
  <c r="M30" i="27" s="1"/>
  <c r="F44" i="5" s="1"/>
  <c r="J30" i="27"/>
  <c r="I147" i="1"/>
  <c r="I30" i="2" s="1"/>
  <c r="I31" i="2" s="1"/>
  <c r="L31" i="2" s="1"/>
  <c r="J77" i="27"/>
  <c r="J83" i="27"/>
  <c r="J95" i="27"/>
  <c r="M95" i="27" s="1"/>
  <c r="J34" i="27"/>
  <c r="M34" i="27" s="1"/>
  <c r="G44" i="5" s="1"/>
  <c r="D24" i="30"/>
  <c r="D43" i="30"/>
  <c r="M60" i="27" l="1"/>
  <c r="I14" i="1"/>
  <c r="D14" i="1"/>
  <c r="I33" i="2" l="1"/>
  <c r="K38" i="52"/>
  <c r="D109" i="52" l="1"/>
  <c r="F109" i="52" s="1"/>
  <c r="K109" i="52" s="1"/>
  <c r="F122" i="52" s="1"/>
  <c r="G122" i="52" s="1"/>
  <c r="C21" i="6"/>
  <c r="D129" i="1" s="1"/>
  <c r="H109" i="52" l="1"/>
  <c r="I122" i="52"/>
  <c r="D59" i="1"/>
  <c r="D136" i="1"/>
  <c r="I129" i="1"/>
  <c r="I26" i="2" l="1"/>
  <c r="I27" i="2" s="1"/>
  <c r="L27" i="2" s="1"/>
  <c r="L36" i="2" s="1"/>
  <c r="D69" i="1"/>
  <c r="I59" i="1"/>
  <c r="I136" i="1"/>
  <c r="F91" i="2" l="1"/>
  <c r="G91" i="2" s="1"/>
  <c r="F92" i="2"/>
  <c r="G92" i="2" s="1"/>
  <c r="I69" i="1"/>
  <c r="F88" i="2"/>
  <c r="G88" i="2" s="1"/>
  <c r="F75" i="2"/>
  <c r="G75" i="2" s="1"/>
  <c r="F85" i="2"/>
  <c r="G85" i="2" s="1"/>
  <c r="F67" i="2"/>
  <c r="G67" i="2" s="1"/>
  <c r="F68" i="2"/>
  <c r="G68" i="2" s="1"/>
  <c r="F72" i="2"/>
  <c r="G72" i="2" s="1"/>
  <c r="F66" i="2"/>
  <c r="G66" i="2" s="1"/>
  <c r="F82" i="2"/>
  <c r="G82" i="2" s="1"/>
  <c r="F84" i="2"/>
  <c r="G84" i="2" s="1"/>
  <c r="F77" i="2"/>
  <c r="G77" i="2" s="1"/>
  <c r="F89" i="2"/>
  <c r="G89" i="2" s="1"/>
  <c r="F74" i="2"/>
  <c r="G74" i="2" s="1"/>
  <c r="F83" i="2"/>
  <c r="G83" i="2" s="1"/>
  <c r="F79" i="2"/>
  <c r="G79" i="2" s="1"/>
  <c r="F69" i="2"/>
  <c r="G69" i="2" s="1"/>
  <c r="F87" i="2"/>
  <c r="G87" i="2" s="1"/>
  <c r="F73" i="2"/>
  <c r="G73" i="2" s="1"/>
  <c r="F76" i="2"/>
  <c r="G76" i="2" s="1"/>
  <c r="F86" i="2"/>
  <c r="G86" i="2" s="1"/>
  <c r="F78" i="2"/>
  <c r="G78" i="2" s="1"/>
  <c r="F71" i="2"/>
  <c r="G71" i="2" s="1"/>
  <c r="F90" i="2"/>
  <c r="G90" i="2" s="1"/>
  <c r="F80" i="2"/>
  <c r="G80" i="2" s="1"/>
  <c r="F70" i="2"/>
  <c r="G70" i="2" s="1"/>
  <c r="F81" i="2"/>
  <c r="G81" i="2" s="1"/>
  <c r="D48" i="21" l="1"/>
  <c r="E48" i="21" l="1"/>
  <c r="I10" i="55" l="1"/>
  <c r="I14" i="55" s="1"/>
  <c r="I16" i="55" s="1"/>
  <c r="I20" i="55" s="1"/>
  <c r="D169" i="1" s="1"/>
  <c r="I169" i="1" s="1"/>
  <c r="G174" i="28" l="1"/>
  <c r="F113" i="28"/>
  <c r="G113" i="28"/>
  <c r="F78" i="28"/>
  <c r="F81" i="28" s="1"/>
  <c r="D113" i="28"/>
  <c r="D116" i="28" s="1"/>
  <c r="C113" i="28"/>
  <c r="D78" i="28"/>
  <c r="D81" i="28" s="1"/>
  <c r="D174" i="28"/>
  <c r="D177" i="28" s="1"/>
  <c r="E113" i="28"/>
  <c r="E174" i="28"/>
  <c r="E177" i="28" s="1"/>
  <c r="G78" i="28"/>
  <c r="G81" i="28" s="1"/>
  <c r="C78" i="28"/>
  <c r="C81" i="28" s="1"/>
  <c r="F174" i="28"/>
  <c r="F177" i="28" s="1"/>
  <c r="C174" i="28"/>
  <c r="E78" i="28"/>
  <c r="E81" i="28" s="1"/>
  <c r="F116" i="28"/>
  <c r="C11" i="28" l="1"/>
  <c r="F94" i="27"/>
  <c r="F96" i="27" s="1"/>
  <c r="K94" i="27"/>
  <c r="G11" i="28"/>
  <c r="I76" i="27"/>
  <c r="F9" i="28"/>
  <c r="G116" i="28"/>
  <c r="E10" i="28"/>
  <c r="G82" i="27"/>
  <c r="F11" i="28"/>
  <c r="I94" i="27"/>
  <c r="G94" i="27"/>
  <c r="E11" i="28"/>
  <c r="I82" i="27"/>
  <c r="F10" i="28"/>
  <c r="J94" i="27" l="1"/>
  <c r="J96" i="27" s="1"/>
  <c r="I96" i="27"/>
  <c r="K76" i="27"/>
  <c r="K78" i="27" s="1"/>
  <c r="L78" i="27" s="1"/>
  <c r="G9" i="28"/>
  <c r="I84" i="27"/>
  <c r="J82" i="27"/>
  <c r="J84" i="27" s="1"/>
  <c r="L94" i="27"/>
  <c r="K96" i="27"/>
  <c r="H82" i="27"/>
  <c r="H84" i="27" s="1"/>
  <c r="G84" i="27"/>
  <c r="F12" i="28"/>
  <c r="G177" i="28"/>
  <c r="G96" i="27"/>
  <c r="H94" i="27"/>
  <c r="H96" i="27" s="1"/>
  <c r="J76" i="27"/>
  <c r="I78" i="27"/>
  <c r="J78" i="27" s="1"/>
  <c r="L96" i="27" l="1"/>
  <c r="M94" i="27"/>
  <c r="M96" i="27" s="1"/>
  <c r="D79" i="1" s="1"/>
  <c r="I79" i="1" s="1"/>
  <c r="E116" i="28"/>
  <c r="K82" i="27"/>
  <c r="G10" i="28"/>
  <c r="G12" i="28" s="1"/>
  <c r="C177" i="28" l="1"/>
  <c r="E9" i="28"/>
  <c r="E12" i="28" s="1"/>
  <c r="G76" i="27"/>
  <c r="G78" i="27" s="1"/>
  <c r="H78" i="27" s="1"/>
  <c r="M78" i="27" s="1"/>
  <c r="D77" i="1" s="1"/>
  <c r="L82" i="27"/>
  <c r="L84" i="27" s="1"/>
  <c r="M84" i="27" s="1"/>
  <c r="D78" i="1" s="1"/>
  <c r="I78" i="1" s="1"/>
  <c r="K84" i="27"/>
  <c r="D91" i="1" l="1"/>
  <c r="I77" i="1"/>
  <c r="I91" i="1" s="1"/>
  <c r="F82" i="27"/>
  <c r="F84" i="27" s="1"/>
  <c r="C10" i="28"/>
  <c r="C116" i="28"/>
  <c r="F76" i="27" l="1"/>
  <c r="F78" i="27" s="1"/>
  <c r="C9" i="28"/>
  <c r="C12" i="28" s="1"/>
  <c r="K111" i="52" l="1"/>
  <c r="F124" i="52" s="1"/>
  <c r="L111" i="52"/>
  <c r="K112" i="52"/>
  <c r="F125" i="52" s="1"/>
  <c r="G125" i="52" s="1"/>
  <c r="I125" i="52" s="1"/>
  <c r="G124" i="52" l="1"/>
  <c r="F127" i="52"/>
  <c r="I124" i="52" l="1"/>
  <c r="I127" i="52" s="1"/>
  <c r="I60" i="1" s="1"/>
  <c r="G127" i="52"/>
  <c r="D60" i="1" s="1"/>
  <c r="D70" i="1" l="1"/>
  <c r="D73" i="1" s="1"/>
  <c r="D101" i="1" s="1"/>
  <c r="D167" i="1" s="1"/>
  <c r="D160" i="1" s="1"/>
  <c r="D164" i="1" s="1"/>
  <c r="D170" i="1" s="1"/>
  <c r="D63" i="1"/>
  <c r="I70" i="1"/>
  <c r="I73" i="1" s="1"/>
  <c r="I63" i="1"/>
  <c r="L110" i="52" l="1"/>
  <c r="G73" i="1"/>
  <c r="I101" i="1"/>
  <c r="L112" i="52" l="1"/>
  <c r="K7" i="16"/>
  <c r="I167" i="1"/>
  <c r="K16" i="16" l="1"/>
  <c r="K39" i="16"/>
  <c r="I43" i="2"/>
  <c r="I44" i="2" s="1"/>
  <c r="K35" i="16"/>
  <c r="I160" i="1"/>
  <c r="I164" i="1" s="1"/>
  <c r="I170" i="1" s="1"/>
  <c r="I11" i="1" s="1"/>
  <c r="I16" i="1" l="1"/>
  <c r="L44" i="2"/>
  <c r="I39" i="2"/>
  <c r="I40" i="2" s="1"/>
  <c r="L40" i="2" s="1"/>
  <c r="K36" i="16"/>
  <c r="K37" i="16" s="1"/>
  <c r="E27" i="16"/>
  <c r="E31" i="16" s="1"/>
  <c r="J27" i="16"/>
  <c r="J31" i="16" s="1"/>
  <c r="K31" i="16" s="1"/>
  <c r="K33" i="16" s="1"/>
  <c r="I46" i="2" l="1"/>
  <c r="L46" i="2"/>
  <c r="K38" i="16"/>
  <c r="K40" i="16" s="1"/>
  <c r="N75" i="2" l="1"/>
  <c r="N70" i="2"/>
  <c r="N74" i="2"/>
  <c r="N83" i="2"/>
  <c r="N78" i="2"/>
  <c r="N85" i="2"/>
  <c r="N90" i="2"/>
  <c r="N73" i="2"/>
  <c r="N87" i="2"/>
  <c r="N92" i="2"/>
  <c r="N88" i="2"/>
  <c r="N89" i="2"/>
  <c r="N81" i="2"/>
  <c r="N72" i="2"/>
  <c r="N67" i="2"/>
  <c r="N84" i="2"/>
  <c r="N91" i="2"/>
  <c r="N80" i="2"/>
  <c r="N77" i="2"/>
  <c r="N68" i="2"/>
  <c r="N71" i="2"/>
  <c r="N79" i="2"/>
  <c r="N66" i="2"/>
  <c r="N86" i="2"/>
  <c r="N76" i="2"/>
  <c r="N69" i="2"/>
  <c r="N82" i="2"/>
  <c r="I77" i="2"/>
  <c r="J77" i="2" s="1"/>
  <c r="L77" i="2" s="1"/>
  <c r="I85" i="2"/>
  <c r="J85" i="2" s="1"/>
  <c r="L85" i="2" s="1"/>
  <c r="I83" i="2"/>
  <c r="J83" i="2" s="1"/>
  <c r="L83" i="2" s="1"/>
  <c r="I91" i="2"/>
  <c r="J91" i="2" s="1"/>
  <c r="L91" i="2" s="1"/>
  <c r="I78" i="2"/>
  <c r="J78" i="2" s="1"/>
  <c r="L78" i="2" s="1"/>
  <c r="I90" i="2"/>
  <c r="J90" i="2" s="1"/>
  <c r="L90" i="2" s="1"/>
  <c r="I71" i="2"/>
  <c r="J71" i="2" s="1"/>
  <c r="L71" i="2" s="1"/>
  <c r="I73" i="2"/>
  <c r="J73" i="2" s="1"/>
  <c r="L73" i="2" s="1"/>
  <c r="I74" i="2"/>
  <c r="J74" i="2" s="1"/>
  <c r="L74" i="2" s="1"/>
  <c r="I80" i="2"/>
  <c r="J80" i="2" s="1"/>
  <c r="L80" i="2" s="1"/>
  <c r="I67" i="2"/>
  <c r="J67" i="2" s="1"/>
  <c r="L67" i="2" s="1"/>
  <c r="I79" i="2"/>
  <c r="J79" i="2" s="1"/>
  <c r="L79" i="2" s="1"/>
  <c r="I92" i="2"/>
  <c r="J92" i="2" s="1"/>
  <c r="L92" i="2" s="1"/>
  <c r="I86" i="2"/>
  <c r="J86" i="2" s="1"/>
  <c r="L86" i="2" s="1"/>
  <c r="I66" i="2"/>
  <c r="J66" i="2" s="1"/>
  <c r="I76" i="2"/>
  <c r="J76" i="2" s="1"/>
  <c r="L76" i="2" s="1"/>
  <c r="I69" i="2"/>
  <c r="J69" i="2" s="1"/>
  <c r="L69" i="2" s="1"/>
  <c r="I72" i="2"/>
  <c r="J72" i="2" s="1"/>
  <c r="L72" i="2" s="1"/>
  <c r="I89" i="2"/>
  <c r="J89" i="2" s="1"/>
  <c r="L89" i="2" s="1"/>
  <c r="I87" i="2"/>
  <c r="J87" i="2" s="1"/>
  <c r="L87" i="2" s="1"/>
  <c r="I68" i="2"/>
  <c r="J68" i="2" s="1"/>
  <c r="L68" i="2" s="1"/>
  <c r="I70" i="2"/>
  <c r="J70" i="2" s="1"/>
  <c r="L70" i="2" s="1"/>
  <c r="I88" i="2"/>
  <c r="J88" i="2" s="1"/>
  <c r="L88" i="2" s="1"/>
  <c r="I81" i="2"/>
  <c r="J81" i="2" s="1"/>
  <c r="L81" i="2" s="1"/>
  <c r="I84" i="2"/>
  <c r="J84" i="2" s="1"/>
  <c r="L84" i="2" s="1"/>
  <c r="I75" i="2"/>
  <c r="J75" i="2" s="1"/>
  <c r="L75" i="2" s="1"/>
  <c r="I82" i="2"/>
  <c r="J82" i="2" s="1"/>
  <c r="L82" i="2" s="1"/>
  <c r="O81" i="2" l="1"/>
  <c r="Q81" i="2"/>
  <c r="O79" i="2"/>
  <c r="Q79" i="2"/>
  <c r="O88" i="2"/>
  <c r="Q88" i="2"/>
  <c r="O71" i="2"/>
  <c r="Q71" i="2"/>
  <c r="Q83" i="2"/>
  <c r="O83" i="2"/>
  <c r="N95" i="2"/>
  <c r="O76" i="2"/>
  <c r="Q76" i="2"/>
  <c r="O91" i="2"/>
  <c r="Q91" i="2"/>
  <c r="O82" i="2"/>
  <c r="Q82" i="2"/>
  <c r="Q67" i="2"/>
  <c r="O67" i="2"/>
  <c r="O75" i="2"/>
  <c r="Q75" i="2"/>
  <c r="Q70" i="2"/>
  <c r="O70" i="2"/>
  <c r="O72" i="2"/>
  <c r="Q72" i="2"/>
  <c r="O86" i="2"/>
  <c r="Q86" i="2"/>
  <c r="Q80" i="2"/>
  <c r="O80" i="2"/>
  <c r="Q90" i="2"/>
  <c r="O90" i="2"/>
  <c r="O85" i="2"/>
  <c r="Q85" i="2"/>
  <c r="Q87" i="2"/>
  <c r="O87" i="2"/>
  <c r="O73" i="2"/>
  <c r="Q73" i="2"/>
  <c r="Q89" i="2"/>
  <c r="O89" i="2"/>
  <c r="L66" i="2"/>
  <c r="J95" i="2"/>
  <c r="Q84" i="2"/>
  <c r="O84" i="2"/>
  <c r="Q68" i="2"/>
  <c r="O68" i="2"/>
  <c r="O69" i="2"/>
  <c r="Q69" i="2"/>
  <c r="Q92" i="2"/>
  <c r="O92" i="2"/>
  <c r="Q74" i="2"/>
  <c r="O74" i="2"/>
  <c r="Q78" i="2"/>
  <c r="O78" i="2"/>
  <c r="O77" i="2"/>
  <c r="Q77" i="2"/>
  <c r="O66" i="2" l="1"/>
  <c r="O95" i="2" s="1"/>
  <c r="Q66" i="2"/>
  <c r="L95" i="2"/>
  <c r="Q95" i="2" l="1"/>
  <c r="S66" i="2" l="1"/>
  <c r="I22" i="1" s="1"/>
  <c r="S95" i="2" l="1"/>
  <c r="I18" i="1" s="1"/>
  <c r="L109" i="52" l="1"/>
  <c r="D67" i="7" l="1"/>
  <c r="G67" i="7" s="1"/>
  <c r="J44" i="21" s="1"/>
  <c r="T92" i="2" s="1"/>
  <c r="D66" i="7"/>
  <c r="G66" i="7" s="1"/>
  <c r="J43" i="21" s="1"/>
  <c r="T91" i="2" s="1"/>
  <c r="D64" i="7" l="1"/>
  <c r="G64" i="7" s="1"/>
  <c r="J41" i="21" s="1"/>
  <c r="T89" i="2" s="1"/>
  <c r="D44" i="7" l="1"/>
  <c r="G44" i="7" s="1"/>
  <c r="J21" i="21" s="1"/>
  <c r="T69" i="2" s="1"/>
  <c r="D54" i="7"/>
  <c r="G54" i="7" s="1"/>
  <c r="J31" i="21" s="1"/>
  <c r="T79" i="2" s="1"/>
  <c r="D61" i="7"/>
  <c r="G61" i="7" s="1"/>
  <c r="J38" i="21" s="1"/>
  <c r="T86" i="2" s="1"/>
  <c r="D57" i="7"/>
  <c r="G57" i="7" s="1"/>
  <c r="J34" i="21" s="1"/>
  <c r="T82" i="2" s="1"/>
  <c r="D46" i="7"/>
  <c r="G46" i="7" s="1"/>
  <c r="J23" i="21" s="1"/>
  <c r="T71" i="2" s="1"/>
  <c r="D49" i="7"/>
  <c r="G49" i="7" s="1"/>
  <c r="J26" i="21" s="1"/>
  <c r="T74" i="2" s="1"/>
  <c r="D62" i="7"/>
  <c r="G62" i="7" s="1"/>
  <c r="J39" i="21" s="1"/>
  <c r="T87" i="2" s="1"/>
  <c r="D52" i="7"/>
  <c r="G52" i="7" s="1"/>
  <c r="J29" i="21" s="1"/>
  <c r="T77" i="2" s="1"/>
  <c r="D60" i="7"/>
  <c r="G60" i="7" s="1"/>
  <c r="J37" i="21" s="1"/>
  <c r="T85" i="2" s="1"/>
  <c r="D42" i="7"/>
  <c r="G42" i="7" s="1"/>
  <c r="J19" i="21" s="1"/>
  <c r="T67" i="2" s="1"/>
  <c r="D53" i="7"/>
  <c r="G53" i="7" s="1"/>
  <c r="J30" i="21" s="1"/>
  <c r="T78" i="2" s="1"/>
  <c r="D51" i="7"/>
  <c r="G51" i="7" s="1"/>
  <c r="J28" i="21" s="1"/>
  <c r="T76" i="2" s="1"/>
  <c r="D59" i="7"/>
  <c r="G59" i="7" s="1"/>
  <c r="J36" i="21" s="1"/>
  <c r="T84" i="2" s="1"/>
  <c r="D55" i="7"/>
  <c r="G55" i="7" s="1"/>
  <c r="J32" i="21" s="1"/>
  <c r="T80" i="2" s="1"/>
  <c r="D45" i="7"/>
  <c r="G45" i="7" s="1"/>
  <c r="J22" i="21" s="1"/>
  <c r="T70" i="2" s="1"/>
  <c r="D56" i="7"/>
  <c r="G56" i="7" s="1"/>
  <c r="J33" i="21" s="1"/>
  <c r="T81" i="2" s="1"/>
  <c r="D63" i="7"/>
  <c r="G63" i="7" s="1"/>
  <c r="J40" i="21" s="1"/>
  <c r="T88" i="2" s="1"/>
  <c r="D43" i="7"/>
  <c r="G43" i="7" s="1"/>
  <c r="J20" i="21" s="1"/>
  <c r="T68" i="2" s="1"/>
  <c r="D50" i="7"/>
  <c r="G50" i="7" s="1"/>
  <c r="J27" i="21" s="1"/>
  <c r="T75" i="2" s="1"/>
  <c r="D47" i="7"/>
  <c r="G47" i="7" s="1"/>
  <c r="J24" i="21" s="1"/>
  <c r="T72" i="2" s="1"/>
  <c r="D48" i="7"/>
  <c r="G48" i="7" s="1"/>
  <c r="J25" i="21" s="1"/>
  <c r="T73" i="2" s="1"/>
  <c r="D58" i="7"/>
  <c r="G58" i="7" s="1"/>
  <c r="J35" i="21" s="1"/>
  <c r="T83" i="2" s="1"/>
  <c r="D65" i="7"/>
  <c r="G65" i="7" s="1"/>
  <c r="J42" i="21" s="1"/>
  <c r="T90" i="2" s="1"/>
  <c r="T95" i="2" l="1"/>
  <c r="G48" i="21" l="1"/>
  <c r="H48" i="21" l="1"/>
  <c r="D41" i="7"/>
  <c r="G41" i="7" s="1"/>
  <c r="J18" i="21" s="1"/>
  <c r="J48" i="21" s="1"/>
  <c r="J51" i="21" s="1"/>
  <c r="R66" i="2" l="1"/>
  <c r="K48" i="21"/>
  <c r="I23" i="1" l="1"/>
  <c r="I24" i="1" s="1"/>
  <c r="R95" i="2"/>
  <c r="I19" i="1" s="1"/>
  <c r="I20" i="1" s="1"/>
  <c r="I30" i="1" l="1"/>
</calcChain>
</file>

<file path=xl/sharedStrings.xml><?xml version="1.0" encoding="utf-8"?>
<sst xmlns="http://schemas.openxmlformats.org/spreadsheetml/2006/main" count="3423" uniqueCount="1663">
  <si>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</si>
  <si>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</si>
  <si>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</si>
  <si>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</si>
  <si>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</si>
  <si>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</si>
  <si>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</si>
  <si>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</si>
  <si>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</si>
  <si>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</si>
  <si>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</si>
  <si>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</si>
  <si>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</si>
  <si>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</si>
  <si>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</si>
  <si>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</si>
  <si>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</si>
  <si>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</si>
  <si>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</si>
  <si>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</si>
  <si>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</si>
  <si>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</si>
  <si>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</si>
  <si>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</si>
  <si>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</si>
  <si>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</si>
  <si>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</si>
  <si>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</si>
  <si>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</si>
  <si>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</si>
  <si>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</si>
  <si>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</si>
  <si>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</si>
  <si>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</si>
  <si>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</si>
  <si>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</si>
  <si>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</si>
  <si>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</si>
  <si>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</si>
  <si>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</si>
  <si>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</si>
  <si>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</si>
  <si>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</si>
  <si>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</si>
  <si>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</si>
  <si>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</si>
  <si>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</si>
  <si>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</si>
  <si>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</si>
  <si>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</si>
  <si>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</si>
  <si>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</si>
  <si>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</si>
  <si>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</si>
  <si>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</si>
  <si>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</si>
  <si>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</si>
  <si>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</si>
  <si>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</si>
  <si>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</si>
  <si>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</si>
  <si>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</si>
  <si>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</si>
  <si>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</si>
  <si>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</si>
  <si>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</si>
  <si>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</si>
  <si>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</si>
  <si>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</si>
  <si>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</si>
  <si>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</si>
  <si>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</si>
  <si>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</si>
  <si>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</si>
  <si>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</si>
  <si>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</si>
  <si>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</si>
  <si>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</si>
  <si>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</si>
  <si>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</si>
  <si>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</si>
  <si>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</si>
  <si>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</si>
  <si>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</si>
  <si>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</si>
  <si>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</si>
  <si>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</si>
  <si>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</si>
  <si>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</si>
  <si>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</si>
  <si>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</si>
  <si>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</si>
  <si>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</si>
  <si>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</si>
  <si>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</si>
  <si>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</si>
  <si>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</si>
  <si>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</si>
  <si>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</si>
  <si>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</si>
  <si>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</si>
  <si>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</si>
  <si>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</si>
  <si>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</si>
  <si>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</si>
  <si>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</si>
  <si>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</si>
  <si>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</si>
  <si>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</si>
  <si>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</si>
  <si>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</si>
  <si>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</si>
  <si>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</si>
  <si>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</si>
  <si>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</si>
  <si>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</si>
  <si>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</si>
  <si>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</si>
  <si>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</si>
  <si>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</si>
  <si>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</si>
  <si>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</si>
  <si>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</si>
  <si>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</si>
  <si>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</si>
  <si>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</si>
  <si>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</si>
  <si>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</si>
  <si>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</si>
  <si>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</si>
  <si>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</si>
  <si>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</si>
  <si>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</si>
  <si>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</si>
  <si>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</si>
  <si>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</si>
  <si>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</si>
  <si>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</si>
  <si>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</si>
  <si>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</si>
  <si>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</si>
  <si>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</si>
  <si>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</si>
  <si>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</si>
  <si>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</si>
  <si>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</si>
  <si>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</si>
  <si>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</si>
  <si>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</si>
  <si>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</si>
  <si>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</si>
  <si>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</si>
  <si>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</si>
  <si>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</si>
  <si>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</si>
  <si>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</si>
  <si>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</si>
  <si>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</si>
  <si>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</si>
  <si>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</si>
  <si>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</si>
  <si>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</si>
  <si>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</si>
  <si>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</si>
  <si>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</si>
  <si>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</si>
  <si>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</si>
  <si>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</si>
  <si>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</si>
  <si>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</si>
  <si>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</si>
  <si>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</si>
  <si>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</si>
  <si>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</si>
  <si>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</si>
  <si>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</si>
  <si>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</si>
  <si>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</si>
  <si>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</si>
  <si>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</si>
  <si>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</si>
  <si>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</si>
  <si>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</si>
  <si>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</si>
  <si>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</si>
  <si>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</si>
  <si>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</si>
  <si>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</si>
  <si>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</si>
  <si>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</si>
  <si>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</si>
  <si>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</si>
  <si>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</si>
  <si>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</si>
  <si>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</si>
  <si>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</si>
  <si>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</si>
  <si>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</si>
  <si>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</si>
  <si>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</si>
  <si>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</si>
  <si>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</si>
  <si>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</si>
  <si>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</si>
  <si>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</si>
  <si>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</si>
  <si>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</si>
  <si>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</si>
  <si>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</si>
  <si>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</si>
  <si>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</si>
  <si>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</si>
  <si>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</si>
  <si>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</si>
  <si>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</si>
  <si>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</si>
  <si>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</si>
  <si>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</si>
  <si>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</si>
  <si>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</si>
  <si>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</si>
  <si>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</si>
  <si>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</si>
  <si>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</si>
  <si>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</si>
  <si>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</si>
  <si>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</si>
  <si>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</si>
  <si>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</si>
  <si>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</si>
  <si>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</si>
  <si>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</si>
  <si>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</si>
  <si>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</si>
  <si>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</si>
  <si>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</si>
  <si>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</si>
  <si>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</si>
  <si>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</si>
  <si>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</si>
  <si>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</si>
  <si>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</si>
  <si>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</si>
  <si>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</si>
  <si>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</si>
  <si>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</si>
  <si>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</si>
  <si>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</si>
  <si>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</si>
  <si>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</si>
  <si>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</si>
  <si>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</si>
  <si>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</si>
  <si>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</si>
  <si>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</si>
  <si>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</si>
  <si>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</si>
  <si>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</si>
  <si>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</si>
  <si>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</si>
  <si>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</si>
  <si>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</si>
  <si>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</si>
  <si>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</si>
  <si>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</si>
  <si>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</si>
  <si>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</si>
  <si>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</si>
  <si>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</si>
  <si>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</si>
  <si>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</si>
  <si>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</si>
  <si>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</si>
  <si>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</si>
  <si>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</si>
  <si>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</si>
  <si>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</si>
  <si>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</si>
  <si>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</si>
  <si>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</si>
  <si>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</si>
  <si>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</si>
  <si>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</si>
  <si>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</si>
  <si>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</si>
  <si>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</si>
  <si>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</si>
  <si>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</si>
  <si>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</si>
  <si>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</si>
  <si>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</si>
  <si>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</si>
  <si>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</si>
  <si>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</si>
  <si>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</si>
  <si>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</si>
  <si>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</si>
  <si>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</si>
  <si>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</si>
  <si>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</si>
  <si>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</si>
  <si>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</si>
  <si>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</si>
  <si>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</si>
  <si>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</si>
  <si>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</si>
  <si>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</si>
  <si>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</si>
  <si>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</si>
  <si>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</si>
  <si>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</si>
  <si>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</si>
  <si>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</si>
  <si>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</si>
  <si>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</si>
  <si>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</si>
  <si>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</si>
  <si>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</si>
  <si>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</si>
  <si>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</si>
  <si>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</si>
  <si>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</si>
  <si>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</si>
  <si>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</si>
  <si>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</si>
  <si>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</si>
  <si>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</si>
  <si>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</si>
  <si>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</si>
  <si>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</si>
  <si>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</si>
  <si>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</si>
  <si>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</si>
  <si>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</si>
  <si>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</si>
  <si>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</si>
  <si>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</si>
  <si>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</si>
  <si>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</si>
  <si>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</si>
  <si>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</si>
  <si>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</si>
  <si>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</si>
  <si>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</si>
  <si>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</si>
  <si>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</si>
  <si>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</si>
  <si>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</si>
  <si>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</si>
  <si>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</si>
  <si>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</si>
  <si>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</si>
  <si>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</si>
  <si>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</si>
  <si>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</si>
  <si>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</si>
  <si>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</si>
  <si>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</si>
  <si>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</si>
  <si>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</si>
  <si>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</si>
  <si>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</si>
  <si>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</si>
  <si>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</si>
  <si>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</si>
  <si>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</si>
  <si>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</si>
  <si>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</si>
  <si>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</si>
  <si>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</si>
  <si>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</si>
  <si>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</si>
  <si>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</si>
  <si>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</si>
  <si>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</si>
  <si>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</si>
  <si>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</si>
  <si>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</si>
  <si>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</si>
  <si>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</si>
  <si>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</si>
  <si>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</si>
  <si>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</si>
  <si>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</si>
  <si>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</si>
  <si>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</si>
  <si>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</si>
  <si>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</si>
  <si>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</si>
  <si>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</si>
  <si>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</si>
  <si>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</si>
  <si>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</si>
  <si>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</si>
  <si>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</si>
  <si>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</si>
  <si>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</si>
  <si>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</si>
  <si>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</si>
  <si>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</si>
  <si>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</si>
  <si>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</si>
  <si>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</si>
  <si>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</si>
  <si>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</si>
  <si>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</si>
  <si>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</si>
  <si>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</si>
  <si>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</si>
  <si>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</si>
  <si>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</si>
  <si>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</si>
  <si>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</si>
  <si>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</si>
  <si>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</si>
  <si>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</si>
  <si>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</si>
  <si>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</si>
  <si>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</si>
  <si>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</si>
  <si>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</si>
  <si>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</si>
  <si>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</si>
  <si>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</si>
  <si>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</si>
  <si>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</si>
  <si>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</si>
  <si>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</si>
  <si>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</si>
  <si>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</si>
  <si>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</si>
  <si>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</si>
  <si>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</si>
  <si>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</si>
  <si>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</si>
  <si>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</si>
  <si>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</si>
  <si>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</si>
  <si>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</si>
  <si>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</si>
  <si>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</si>
  <si>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</si>
  <si>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</si>
  <si>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</si>
  <si>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</si>
  <si>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</si>
  <si>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</si>
  <si>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</si>
  <si>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</si>
  <si>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</si>
  <si>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</si>
  <si>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</si>
  <si>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</si>
  <si>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</si>
  <si>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</si>
  <si>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</si>
  <si>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</si>
  <si>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</si>
  <si>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</si>
  <si>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</si>
  <si>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</si>
  <si>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</si>
  <si>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</si>
  <si>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</si>
  <si>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</si>
  <si>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</si>
  <si>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</si>
  <si>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</si>
  <si>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</si>
  <si>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</si>
  <si>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</si>
  <si>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</si>
  <si>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</si>
  <si>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</si>
  <si>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</si>
  <si>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</si>
  <si>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</si>
  <si>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</si>
  <si>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</si>
  <si>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</si>
  <si>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</si>
  <si>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</si>
  <si>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</si>
  <si>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</si>
  <si>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</si>
  <si>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</si>
  <si>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</si>
  <si>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</si>
  <si>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</si>
  <si>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</si>
  <si>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</si>
  <si>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</si>
  <si>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</si>
  <si>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</si>
  <si>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</si>
  <si>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</si>
  <si>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</si>
  <si>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</si>
  <si>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</si>
  <si>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</si>
  <si>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</si>
  <si>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</si>
  <si>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</si>
  <si>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</si>
  <si>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</si>
  <si>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</si>
  <si>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</si>
  <si>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</si>
  <si>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</si>
  <si>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</si>
  <si>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</si>
  <si>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</si>
  <si>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</si>
  <si>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</si>
  <si>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</si>
  <si>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</si>
  <si>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</si>
  <si>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</si>
  <si>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</si>
  <si>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</si>
  <si>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</si>
  <si>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</si>
  <si>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</si>
  <si>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</si>
  <si>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</si>
  <si>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</si>
  <si>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</si>
  <si>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</si>
  <si>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</si>
  <si>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</si>
  <si>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</si>
  <si>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</si>
  <si>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</si>
  <si>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</si>
  <si>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</si>
  <si>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</si>
  <si>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</si>
  <si>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</si>
  <si>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</si>
  <si>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</si>
  <si>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</si>
  <si>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</si>
  <si>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</si>
  <si>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</si>
  <si>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</si>
  <si>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</si>
  <si>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</si>
  <si>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</si>
  <si>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</si>
  <si>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</si>
  <si>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</si>
  <si>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</si>
  <si>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</si>
  <si>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</si>
  <si>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</si>
  <si>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</si>
  <si>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</si>
  <si>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</si>
  <si>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</si>
  <si>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</si>
  <si>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</si>
  <si>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</si>
  <si>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</si>
  <si>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</si>
  <si>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</si>
  <si>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</si>
  <si>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</si>
  <si>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</si>
  <si>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</si>
  <si>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</si>
  <si>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</si>
  <si>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</si>
  <si>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</si>
  <si>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</si>
  <si>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</si>
  <si>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</si>
  <si>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</si>
  <si>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</si>
  <si>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</si>
  <si>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</si>
  <si>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</si>
  <si>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</si>
  <si>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</si>
  <si>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</si>
  <si>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</si>
  <si>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</si>
  <si>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</si>
  <si>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</si>
  <si>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</si>
  <si>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</si>
  <si>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</si>
  <si>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</si>
  <si>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</si>
  <si>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</si>
  <si>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</si>
  <si>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</si>
  <si>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</si>
  <si>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</si>
  <si>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</si>
  <si>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</si>
  <si>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</si>
  <si>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</si>
  <si>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</si>
  <si>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</si>
  <si>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</si>
  <si>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</si>
  <si>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</si>
  <si>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</si>
  <si>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</si>
  <si>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</si>
  <si>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</si>
  <si>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</si>
  <si>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</si>
  <si>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</si>
  <si>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</si>
  <si>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</si>
  <si>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</si>
  <si>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</si>
  <si>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</si>
  <si>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</si>
  <si>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</si>
  <si>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</si>
  <si>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</si>
  <si>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</si>
  <si>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</si>
  <si>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</si>
  <si>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</si>
  <si>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</si>
  <si>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</si>
  <si>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</si>
  <si>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</si>
  <si>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</si>
  <si>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</si>
  <si>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</si>
  <si>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</si>
  <si>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</si>
  <si>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</si>
  <si>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</si>
  <si>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</si>
  <si>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</si>
  <si>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</si>
  <si>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</si>
  <si>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</si>
  <si>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</si>
  <si>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</si>
  <si>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</si>
  <si>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</si>
  <si>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</si>
  <si>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</si>
  <si>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</si>
  <si>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</si>
  <si>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</si>
  <si>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</si>
  <si>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</si>
  <si>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</si>
  <si>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</si>
  <si>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</si>
  <si>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</si>
  <si>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</si>
  <si>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</si>
  <si>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</si>
  <si>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</si>
  <si>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</si>
  <si>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</si>
  <si>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</si>
  <si>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</si>
  <si>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</si>
  <si>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</si>
  <si>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</si>
  <si>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</si>
  <si>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</si>
  <si>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</si>
  <si>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</si>
  <si>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</si>
  <si>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</si>
  <si>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</si>
  <si>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</si>
  <si>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</si>
  <si>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</si>
  <si>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</si>
  <si>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</si>
  <si>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</si>
  <si>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</si>
  <si>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</si>
  <si>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</si>
  <si>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</si>
  <si>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</si>
  <si>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</si>
  <si>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</si>
  <si>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</si>
  <si>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</si>
  <si>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</si>
  <si>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</si>
  <si>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</si>
  <si>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</si>
  <si>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</si>
  <si>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</si>
  <si>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</si>
  <si>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</si>
  <si>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</si>
  <si>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</si>
  <si>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</si>
  <si>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</si>
  <si>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</si>
  <si>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</si>
  <si>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</si>
  <si>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</si>
  <si>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</si>
  <si>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</si>
  <si>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</si>
  <si>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</si>
  <si>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</si>
  <si>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</si>
  <si>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</si>
  <si>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</si>
  <si>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</si>
  <si>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</si>
  <si>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</si>
  <si>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</si>
  <si>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</si>
  <si>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</si>
  <si>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</si>
  <si>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</si>
  <si>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</si>
  <si>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</si>
  <si>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</si>
  <si>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</si>
  <si>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</si>
  <si>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</si>
  <si>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</si>
  <si>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</si>
  <si>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</si>
  <si>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</si>
  <si>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</si>
  <si>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</si>
  <si>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</si>
  <si>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</si>
  <si>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</si>
  <si>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</si>
  <si>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</si>
  <si>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</si>
  <si>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</si>
  <si>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</si>
  <si>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</si>
  <si>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</si>
  <si>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</si>
  <si>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</si>
  <si>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</si>
  <si>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</si>
  <si>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</si>
  <si>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</si>
  <si>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</si>
  <si>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</si>
  <si>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</si>
  <si>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</si>
  <si>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</si>
  <si>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</si>
  <si>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</si>
  <si>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</si>
  <si>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</si>
  <si>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</si>
  <si>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</si>
  <si>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</si>
  <si>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</si>
  <si>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</si>
  <si>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</si>
  <si>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</si>
  <si>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</si>
  <si>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</si>
  <si>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</si>
  <si>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</si>
  <si>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</si>
  <si>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</si>
  <si>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</si>
  <si>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</si>
  <si>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</si>
  <si>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</si>
  <si>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</si>
  <si>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</si>
  <si>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</si>
  <si>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</si>
  <si>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</si>
  <si>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</si>
  <si>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</si>
  <si>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</si>
  <si>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</si>
  <si>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</si>
  <si>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</si>
  <si>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</si>
  <si>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</si>
  <si>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</si>
  <si>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</si>
  <si>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</si>
  <si>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</si>
  <si>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</si>
  <si>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</si>
  <si>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</si>
  <si>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</si>
  <si>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</si>
  <si>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</si>
  <si>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</si>
  <si>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</si>
  <si>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b1590.1 and b1590.2 (cancelled b1398.6)</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</si>
  <si>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</si>
  <si>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</si>
  <si>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</si>
  <si>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</si>
  <si>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</si>
  <si>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</si>
  <si>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</si>
  <si>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</si>
  <si>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</si>
  <si>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</si>
  <si>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</si>
  <si>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</si>
  <si>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</si>
  <si>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</si>
  <si>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</si>
  <si>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</si>
  <si>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</si>
  <si>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</si>
  <si>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</si>
  <si>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</si>
  <si>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</si>
  <si>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</si>
  <si>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</si>
  <si>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</si>
  <si>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</si>
  <si>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</si>
  <si>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</si>
  <si>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</si>
  <si>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</si>
  <si>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</si>
  <si>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</si>
  <si>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</si>
  <si>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</si>
  <si>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</si>
  <si>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</si>
  <si>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</si>
  <si>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</si>
  <si>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</si>
  <si>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</si>
  <si>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</si>
  <si>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</si>
  <si>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</si>
  <si>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</si>
  <si>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</si>
  <si>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</si>
  <si>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</si>
  <si>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</si>
  <si>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</si>
  <si>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</si>
  <si>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</si>
  <si>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</si>
  <si>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</si>
  <si>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</si>
  <si>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</si>
  <si>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</si>
  <si>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</si>
  <si>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</si>
  <si>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</si>
  <si>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</si>
  <si>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</si>
  <si>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</si>
  <si>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</si>
  <si>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</si>
  <si>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</si>
  <si>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</si>
  <si>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</si>
  <si>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</si>
  <si>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</si>
  <si>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</si>
  <si>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</si>
  <si>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</si>
  <si>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</si>
  <si>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</si>
  <si>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</si>
  <si>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</si>
  <si>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</si>
  <si>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ADDBACK OF NQSO EXPENSE</t>
  </si>
  <si>
    <t>ADDBACK OF OTHER EQUITY COMP EXPENSE</t>
  </si>
  <si>
    <t>AMORT-ORGANIZATIONAL COSTS</t>
  </si>
  <si>
    <t>BAD DEBT - CHANGE IN PROVISION</t>
  </si>
  <si>
    <t>CHARITABLE CARRYFORWARD</t>
  </si>
  <si>
    <t>CUSTOMER ADVANCES - CONSTRUCTION</t>
  </si>
  <si>
    <t>DEFERRED COMPENSATION</t>
  </si>
  <si>
    <t>FAS 112</t>
  </si>
  <si>
    <t xml:space="preserve">Gross Up-Bill E Credit </t>
  </si>
  <si>
    <t>INJURIES AND DAMAGE PAYMENTS</t>
  </si>
  <si>
    <t>MERGER COSTS NC</t>
  </si>
  <si>
    <t>OBSOLETE MATERIALS PROVISION</t>
  </si>
  <si>
    <t>OTHER CURRENT</t>
  </si>
  <si>
    <t>OTHER CURRENT REG ASSET</t>
  </si>
  <si>
    <t>POLE ATTACHMENT RESERVE</t>
  </si>
  <si>
    <t>RESERVE FOR EMPLOYEE LITIGATIONS Current</t>
  </si>
  <si>
    <t>SA UNBILLED RESERVE</t>
  </si>
  <si>
    <t>SECA REFUND</t>
  </si>
  <si>
    <t>SEPTA RAILROAD RENT</t>
  </si>
  <si>
    <t>SEVERANCE PMTS CHANGE IN PROVISION</t>
  </si>
  <si>
    <t>VEGETATION MGMT ACCRUAL</t>
  </si>
  <si>
    <t>WORKERS COMPENSATION RESERVE</t>
  </si>
  <si>
    <t xml:space="preserve">Included because plant in service is included in rate base.  </t>
  </si>
  <si>
    <t>Electric General</t>
  </si>
  <si>
    <t>AEC RECEIVABLE</t>
  </si>
  <si>
    <t>CAP FORGIVENESS REG ASSET</t>
  </si>
  <si>
    <t>CAP SHOPPING REG ASSET</t>
  </si>
  <si>
    <t>DSP 2 - REGULATORY ASSET</t>
  </si>
  <si>
    <t>ELEC RATE CASE EXP - REG ASSET</t>
  </si>
  <si>
    <t>HOLIDAY PAY CHANGE IN PROVISION</t>
  </si>
  <si>
    <t>FIN 47 ARO</t>
  </si>
  <si>
    <t>INCENTIVE PAY</t>
  </si>
  <si>
    <t>PENSION EXPENSE PROVISION</t>
  </si>
  <si>
    <t>POST RETIREMENT BENEFITS</t>
  </si>
  <si>
    <t>VACATION PAY CHANGE IN PROVISION</t>
  </si>
  <si>
    <t>ACT 129 SMART METER</t>
  </si>
  <si>
    <t>AMORT-BK-PREMIUMS ON REACQD DEBT-9.5%</t>
  </si>
  <si>
    <t>STATE TAX RESERVE</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</si>
  <si>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</si>
  <si>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</si>
  <si>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</si>
  <si>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</si>
  <si>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</si>
  <si>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</si>
  <si>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</si>
  <si>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</si>
  <si>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</si>
  <si>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No current book activity, tax deducts as distributions are made from the trust - employees in all functions.</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</si>
  <si>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</si>
  <si>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</si>
  <si>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</si>
  <si>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</si>
  <si>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</si>
  <si>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Books records an estimated liability for injuries and damages; tax purposes a deduction is only taken when actual payments are made.</t>
  </si>
  <si>
    <t>DEFFERRED CHARGES - TAX REPAIRS BILL CREDIT-DIST</t>
  </si>
  <si>
    <t>FACILITY COMMITMENT FEES</t>
  </si>
  <si>
    <t>Debt related</t>
  </si>
  <si>
    <t>FINES &amp; OTHER</t>
  </si>
  <si>
    <t>OTHER NONCURRENT- RAILROAD LIABILITY</t>
  </si>
  <si>
    <t>Related to reserve for required maintenance on right of ways.</t>
  </si>
  <si>
    <t>OTHER UNEARNED REVENUE-DEFERRED RENTS</t>
  </si>
  <si>
    <t>Rent expense deferred and amortized ratably for books, tax deduction when paid - used for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</si>
  <si>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</si>
  <si>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</si>
  <si>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</si>
  <si>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Retail related</t>
  </si>
  <si>
    <t>Reserve for potential transmission rent expense</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</si>
  <si>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</si>
  <si>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</si>
  <si>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</si>
  <si>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</si>
  <si>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</si>
  <si>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</si>
  <si>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ENERGY EFFICIENCY REG ASSET</t>
  </si>
  <si>
    <t>Gross Up on State Def Tax Adj- AMR Reg Asset</t>
  </si>
  <si>
    <t>The book expense on Jan 1 of calendar year; accelerated tax expense taken in previous calendar year. Related to all functions.</t>
  </si>
  <si>
    <t>OCI-Def FIT &amp; SIT</t>
  </si>
  <si>
    <t>OTHER CURRENT REG ASSET:</t>
  </si>
  <si>
    <t>LOSS OF REAQUIRED DEBT</t>
  </si>
  <si>
    <t>Book recapitalizes costs incurred to retire or reacquire debt issuances.  Tax deducts these costs when incurred. Included in debt capitalization ratio on Appendix A, line 111.</t>
  </si>
  <si>
    <t>VACATION ACCRUAL</t>
  </si>
  <si>
    <t>Current portion of vacation pay earned and expensed for books, tax takes the deduction when paid out. Related to all functions.</t>
  </si>
  <si>
    <t>SMART METER</t>
  </si>
  <si>
    <t>PURTA</t>
  </si>
  <si>
    <t>Property taxes. Book records on an accrual method based on the prior year; tax reverses the book accrual and deducts the actual payments made. . Relates to all functions.</t>
  </si>
  <si>
    <t>SEAMLESS MOVES</t>
  </si>
  <si>
    <t>Gas Related</t>
  </si>
  <si>
    <t>The state income tax is cash basis</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</si>
  <si>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</si>
  <si>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</si>
  <si>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</si>
  <si>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</si>
  <si>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</si>
  <si>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</si>
  <si>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</si>
  <si>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</si>
  <si>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</si>
  <si>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</si>
  <si>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</si>
  <si>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</si>
  <si>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</si>
  <si>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</si>
  <si>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</si>
  <si>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</si>
  <si>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</si>
  <si>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</si>
  <si>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</si>
  <si>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</si>
  <si>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</si>
  <si>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</si>
  <si>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</si>
  <si>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</si>
  <si>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</si>
  <si>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</si>
  <si>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</si>
  <si>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</si>
  <si>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</si>
  <si>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</si>
  <si>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</si>
  <si>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</si>
  <si>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</si>
  <si>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</si>
  <si>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</si>
  <si>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</si>
  <si>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</si>
  <si>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</si>
  <si>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</si>
  <si>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</si>
  <si>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</si>
  <si>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</si>
  <si>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</si>
  <si>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</si>
  <si>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</si>
  <si>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</si>
  <si>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</si>
  <si>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</si>
  <si>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</si>
  <si>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</si>
  <si>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</si>
  <si>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</si>
  <si>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</si>
  <si>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</si>
  <si>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</si>
  <si>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</si>
  <si>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</si>
  <si>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</si>
  <si>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</si>
  <si>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</si>
  <si>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</si>
  <si>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</si>
  <si>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</si>
  <si>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</si>
  <si>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</si>
  <si>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</si>
  <si>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</si>
  <si>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</si>
  <si>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</si>
  <si>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</si>
  <si>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</si>
  <si>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</si>
  <si>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</si>
  <si>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R2</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</si>
  <si>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</si>
  <si>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</si>
  <si>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</si>
  <si>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</si>
  <si>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</si>
  <si>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</si>
  <si>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</si>
  <si>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</si>
  <si>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</si>
  <si>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</si>
  <si>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</si>
  <si>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</si>
  <si>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</si>
  <si>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</si>
  <si>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</si>
  <si>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</si>
  <si>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</si>
  <si>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</si>
  <si>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</si>
  <si>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</si>
  <si>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</si>
  <si>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</si>
  <si>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</si>
  <si>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</si>
  <si>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</si>
  <si>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</si>
  <si>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</si>
  <si>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</si>
  <si>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</si>
  <si>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</si>
  <si>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</si>
  <si>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</si>
  <si>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</si>
  <si>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</si>
  <si>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</si>
  <si>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</si>
  <si>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</si>
  <si>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</si>
  <si>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</si>
  <si>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</si>
  <si>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</si>
  <si>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</si>
  <si>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</si>
  <si>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</si>
  <si>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</si>
  <si>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</si>
  <si>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</si>
  <si>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</si>
  <si>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</si>
  <si>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</si>
  <si>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</si>
  <si>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</si>
  <si>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</si>
  <si>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</si>
  <si>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</si>
  <si>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</si>
  <si>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</si>
  <si>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</si>
  <si>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</si>
  <si>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</si>
  <si>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</si>
  <si>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</si>
  <si>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</si>
  <si>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</si>
  <si>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</si>
  <si>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</si>
  <si>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</si>
  <si>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</si>
  <si>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</si>
  <si>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</si>
  <si>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</si>
  <si>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</si>
  <si>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</si>
  <si>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</si>
  <si>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</si>
  <si>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</si>
  <si>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</si>
  <si>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</si>
  <si>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</si>
  <si>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</si>
  <si>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</si>
  <si>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</si>
  <si>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</si>
  <si>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</si>
  <si>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</si>
  <si>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</si>
  <si>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</si>
  <si>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</si>
  <si>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</si>
  <si>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</si>
  <si>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</si>
  <si>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</si>
  <si>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</si>
  <si>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</si>
  <si>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</si>
  <si>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</si>
  <si>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</si>
  <si>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</si>
  <si>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</si>
  <si>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</si>
  <si>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</si>
  <si>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</si>
  <si>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</si>
  <si>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</si>
  <si>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</si>
  <si>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</si>
  <si>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</si>
  <si>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</si>
  <si>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</si>
  <si>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</si>
  <si>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</si>
  <si>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</si>
  <si>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</si>
  <si>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</si>
  <si>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</si>
  <si>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</si>
  <si>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</si>
  <si>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</si>
  <si>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</si>
  <si>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</si>
  <si>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</si>
  <si>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</si>
  <si>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</si>
  <si>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</si>
  <si>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</si>
  <si>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</si>
  <si>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</si>
  <si>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</si>
  <si>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</si>
  <si>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</si>
  <si>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</si>
  <si>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</si>
  <si>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</si>
  <si>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</si>
  <si>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</si>
  <si>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</si>
  <si>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</si>
  <si>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</si>
  <si>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</si>
  <si>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</si>
  <si>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</si>
  <si>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</si>
  <si>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</si>
  <si>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</si>
  <si>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</si>
  <si>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</si>
  <si>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</si>
  <si>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</si>
  <si>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</si>
  <si>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</si>
  <si>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</si>
  <si>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</si>
  <si>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</si>
  <si>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</si>
  <si>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</si>
  <si>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</si>
  <si>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</si>
  <si>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</si>
  <si>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</si>
  <si>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</si>
  <si>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</si>
  <si>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</si>
  <si>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</si>
  <si>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</si>
  <si>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</si>
  <si>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</si>
  <si>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</si>
  <si>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</si>
  <si>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</si>
  <si>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</si>
  <si>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</si>
  <si>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</si>
  <si>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</si>
  <si>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</si>
  <si>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</si>
  <si>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</si>
  <si>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</si>
  <si>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</si>
  <si>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</si>
  <si>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</si>
  <si>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</si>
  <si>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</si>
  <si>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</si>
  <si>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</si>
  <si>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</si>
  <si>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</si>
  <si>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</si>
  <si>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</si>
  <si>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</si>
  <si>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</si>
  <si>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</si>
  <si>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</si>
  <si>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</si>
  <si>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</si>
  <si>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</si>
  <si>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Elroy 500 kV Dynamic Reactive Device</t>
  </si>
  <si>
    <t>Heaton 230 kV Capacitor Bank Addition</t>
  </si>
  <si>
    <t>Environmental Liab - Superfund</t>
  </si>
  <si>
    <t xml:space="preserve">Accrued Severance Plans </t>
  </si>
  <si>
    <t>DEFERRED REVENUE</t>
  </si>
  <si>
    <t>FEDERAL NOL</t>
  </si>
  <si>
    <t xml:space="preserve">PECO is in a net operating loss situation, therefore, losses are carried forward until such losses can be applied to taxable income. </t>
  </si>
  <si>
    <t>PAYROLL TAXES</t>
  </si>
  <si>
    <t>Book records a payroll tax accrual; tax reverses the accrual and deducts the actual amount paid out.  Relates to all functions.</t>
  </si>
  <si>
    <t>PENNSYLVANIA NOL</t>
  </si>
  <si>
    <t>CAP SHOPPING REG ASSET - CURRENT</t>
  </si>
  <si>
    <t>CAP FORGIVENESS REG ASSET - CURRENT</t>
  </si>
  <si>
    <t>ELEC RATE CASE EXP - REG ASSET - CURRENT</t>
  </si>
  <si>
    <t>RATE CHANGE REG ASSET</t>
  </si>
  <si>
    <t>Gross up related to non-property tax rate change/TCJA</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</si>
  <si>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</si>
  <si>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</si>
  <si>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</si>
  <si>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</si>
  <si>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</si>
  <si>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</si>
  <si>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</si>
  <si>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</si>
  <si>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</si>
  <si>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</si>
  <si>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</si>
  <si>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</si>
  <si>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</si>
  <si>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</si>
  <si>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</si>
  <si>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</si>
  <si>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</si>
  <si>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</si>
  <si>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</si>
  <si>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</si>
  <si>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</si>
  <si>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</si>
  <si>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</si>
  <si>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</si>
  <si>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</si>
  <si>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</si>
  <si>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</si>
  <si>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</si>
  <si>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</si>
  <si>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</si>
  <si>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</si>
  <si>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</si>
  <si>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</si>
  <si>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</si>
  <si>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</si>
  <si>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</si>
  <si>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</si>
  <si>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</si>
  <si>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</si>
  <si>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</si>
  <si>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</si>
  <si>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</si>
  <si>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</si>
  <si>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</si>
  <si>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</si>
  <si>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</si>
  <si>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</si>
  <si>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</si>
  <si>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</si>
  <si>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</si>
  <si>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</si>
  <si>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</si>
  <si>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</si>
  <si>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</si>
  <si>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</si>
  <si>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</si>
  <si>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</si>
  <si>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</si>
  <si>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</si>
  <si>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</si>
  <si>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</si>
  <si>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</si>
  <si>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</si>
  <si>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</si>
  <si>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</si>
  <si>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</si>
  <si>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</si>
  <si>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</si>
  <si>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</si>
  <si>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</si>
  <si>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</si>
  <si>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</si>
  <si>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</si>
  <si>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</si>
  <si>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</si>
  <si>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</si>
  <si>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</si>
  <si>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</si>
  <si>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</si>
  <si>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</si>
  <si>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</si>
  <si>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</si>
  <si>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</si>
  <si>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</si>
  <si>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Market Research</t>
  </si>
  <si>
    <t xml:space="preserve">Facilities </t>
  </si>
  <si>
    <t>Land Leasing</t>
  </si>
  <si>
    <t>Fleet Activity</t>
  </si>
  <si>
    <t>Membership dues</t>
  </si>
  <si>
    <t>Postage</t>
  </si>
  <si>
    <t>Prepaid property tax</t>
  </si>
  <si>
    <t>PUC Assessment</t>
  </si>
  <si>
    <t>Retention Incentive</t>
  </si>
  <si>
    <t>VEBA</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</si>
  <si>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</si>
  <si>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</si>
  <si>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</si>
  <si>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</si>
  <si>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</si>
  <si>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</si>
  <si>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</si>
  <si>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</si>
  <si>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</si>
  <si>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</si>
  <si>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</si>
  <si>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</si>
  <si>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</si>
  <si>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</si>
  <si>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</si>
  <si>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</si>
  <si>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</si>
  <si>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</si>
  <si>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</si>
  <si>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</si>
  <si>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</si>
  <si>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</si>
  <si>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</si>
  <si>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</si>
  <si>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</si>
  <si>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</si>
  <si>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</si>
  <si>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</si>
  <si>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</si>
  <si>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</si>
  <si>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</si>
  <si>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</si>
  <si>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</si>
  <si>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</si>
  <si>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</si>
  <si>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</si>
  <si>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</si>
  <si>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</si>
  <si>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</si>
  <si>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</si>
  <si>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</si>
  <si>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</si>
  <si>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</si>
  <si>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</si>
  <si>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</si>
  <si>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</si>
  <si>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</si>
  <si>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</si>
  <si>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</si>
  <si>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</si>
  <si>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</si>
  <si>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Book accrues and capitalizes anticipated Pension costs based on actuarial analysis.  Tax deducts or capitalizes retirement benefits only when the amounts are paid.  Retail related.</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</si>
  <si>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</si>
  <si>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</si>
  <si>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</si>
  <si>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</si>
  <si>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</si>
  <si>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</si>
  <si>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</si>
  <si>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</si>
  <si>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</si>
  <si>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</si>
  <si>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</si>
  <si>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</si>
  <si>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</si>
  <si>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</si>
  <si>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</si>
  <si>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</si>
  <si>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</si>
  <si>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</si>
  <si>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</si>
  <si>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Property Tax Payable</t>
  </si>
  <si>
    <t>Federal Unemployment</t>
  </si>
  <si>
    <t>Social Security</t>
  </si>
  <si>
    <t>PA Unemployment</t>
  </si>
  <si>
    <t>State Use Taxes</t>
  </si>
  <si>
    <t>Miscellaneous Taxes</t>
  </si>
  <si>
    <t>Sales Tax Payable</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</si>
  <si>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</si>
  <si>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</si>
  <si>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</si>
  <si>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</si>
  <si>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</si>
  <si>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</si>
  <si>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</si>
  <si>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</si>
  <si>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</si>
  <si>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</si>
  <si>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</si>
  <si>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</si>
  <si>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</si>
  <si>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</si>
  <si>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</si>
  <si>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</si>
  <si>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</si>
  <si>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</si>
  <si>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</si>
  <si>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</si>
  <si>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</si>
  <si>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</si>
  <si>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</si>
  <si>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</si>
  <si>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</si>
  <si>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</si>
  <si>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</si>
  <si>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</si>
  <si>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</si>
  <si>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</si>
  <si>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</si>
  <si>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</si>
  <si>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</si>
  <si>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</si>
  <si>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</si>
  <si>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</si>
  <si>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</si>
  <si>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</si>
  <si>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</si>
  <si>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</si>
  <si>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</si>
  <si>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</si>
  <si>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</si>
  <si>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</si>
  <si>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</si>
  <si>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</si>
  <si>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</si>
  <si>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</si>
  <si>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</si>
  <si>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</si>
  <si>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</si>
  <si>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</si>
  <si>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</si>
  <si>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</si>
  <si>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</si>
  <si>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</si>
  <si>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</si>
  <si>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</si>
  <si>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</si>
  <si>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</si>
  <si>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</si>
  <si>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</si>
  <si>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</si>
  <si>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</si>
  <si>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</si>
  <si>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</si>
  <si>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</si>
  <si>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</si>
  <si>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</si>
  <si>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</si>
  <si>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</si>
  <si>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</si>
  <si>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</si>
  <si>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</si>
  <si>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</si>
  <si>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</si>
  <si>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</si>
  <si>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</si>
  <si>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</si>
  <si>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</si>
  <si>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</si>
  <si>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</si>
  <si>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</si>
  <si>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</si>
  <si>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</si>
  <si>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</si>
  <si>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</si>
  <si>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</si>
  <si>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</si>
  <si>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</si>
  <si>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</si>
  <si>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</si>
  <si>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</si>
  <si>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</si>
  <si>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</si>
  <si>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</si>
  <si>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</si>
  <si>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</si>
  <si>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</si>
  <si>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</si>
  <si>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</si>
  <si>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</si>
  <si>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</si>
  <si>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</si>
  <si>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</si>
  <si>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</si>
  <si>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</si>
  <si>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</si>
  <si>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</si>
  <si>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</si>
  <si>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</si>
  <si>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</si>
  <si>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</si>
  <si>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</si>
  <si>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</si>
  <si>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</si>
  <si>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</si>
  <si>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</si>
  <si>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</si>
  <si>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</si>
  <si>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</si>
  <si>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</si>
  <si>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</si>
  <si>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</si>
  <si>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</si>
  <si>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</si>
  <si>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</si>
  <si>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</si>
  <si>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</si>
  <si>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</si>
  <si>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</si>
  <si>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</si>
  <si>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</si>
  <si>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</si>
  <si>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</si>
  <si>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</si>
  <si>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</si>
  <si>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</si>
  <si>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</si>
  <si>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</si>
  <si>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</si>
  <si>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</si>
  <si>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</si>
  <si>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</si>
  <si>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</si>
  <si>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</si>
  <si>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</si>
  <si>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</si>
  <si>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</si>
  <si>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</si>
  <si>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</si>
  <si>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</si>
  <si>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</si>
  <si>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</si>
  <si>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</si>
  <si>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</si>
  <si>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</si>
  <si>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</si>
  <si>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</si>
  <si>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</si>
  <si>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</si>
  <si>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</si>
  <si>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</si>
  <si>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</si>
  <si>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</si>
  <si>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</si>
  <si>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</si>
  <si>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PA Gross Receipts Tax - 2018</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</si>
  <si>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</si>
  <si>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</si>
  <si>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</si>
  <si>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</si>
  <si>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</si>
  <si>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</si>
  <si>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</si>
  <si>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</si>
  <si>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</si>
  <si>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</si>
  <si>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</si>
  <si>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</si>
  <si>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</si>
  <si>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</si>
  <si>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</si>
  <si>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</si>
  <si>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</si>
  <si>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</si>
  <si>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</si>
  <si>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</si>
  <si>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</si>
  <si>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</si>
  <si>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</si>
  <si>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</si>
  <si>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</si>
  <si>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As of 12/31/2019</t>
  </si>
  <si>
    <t>FY 2019</t>
  </si>
  <si>
    <t>True-Up for the 12 months ended 12/31/2019</t>
  </si>
  <si>
    <t>IT License &amp; Maintenance Agreements</t>
  </si>
  <si>
    <t>Prepaid Rent</t>
  </si>
  <si>
    <t>Land Acquisitions</t>
  </si>
  <si>
    <t>Leases</t>
  </si>
  <si>
    <t>Building Acquisition</t>
  </si>
  <si>
    <t>k22</t>
  </si>
  <si>
    <t>k23</t>
  </si>
  <si>
    <t>k24</t>
  </si>
  <si>
    <t>k25</t>
  </si>
  <si>
    <t>AIP</t>
  </si>
  <si>
    <t>401K Match</t>
  </si>
  <si>
    <t>Long-term incentive Plans</t>
  </si>
  <si>
    <t>Mgmt. Retiention Incentive Plan</t>
  </si>
  <si>
    <t>Stock Comp</t>
  </si>
  <si>
    <t>Severance - Long Term</t>
  </si>
  <si>
    <t>PA Gross Receipts Tax - 2019</t>
  </si>
  <si>
    <t>PA Real Estate Tax - 2019</t>
  </si>
  <si>
    <t>IT Business Intelligence Data Analysis - Transmission</t>
  </si>
  <si>
    <t>FERC 494 SETTLEMENT DECEMBER 2019</t>
  </si>
  <si>
    <t>TSC UNDER RECOVERY</t>
  </si>
  <si>
    <t>CLOUD COMPUTING</t>
  </si>
  <si>
    <t>Peach Bottom 500-230 kV Transformer Rating Increase</t>
  </si>
  <si>
    <t>b2694</t>
  </si>
  <si>
    <t>3t</t>
  </si>
  <si>
    <t>b1398.8</t>
  </si>
  <si>
    <t>17t</t>
  </si>
  <si>
    <t>21y</t>
  </si>
  <si>
    <t>21z</t>
  </si>
  <si>
    <t>3n</t>
  </si>
  <si>
    <t>17n</t>
  </si>
  <si>
    <t>IT CIMS - Distribution Only Portion</t>
  </si>
  <si>
    <t>For  the 12 months ended 12/31/2020</t>
  </si>
  <si>
    <t>Projection for the 12 months ended 12/31/2020</t>
  </si>
  <si>
    <t>214.16,d, 214.17,d, 214.18,d, 214.20,d, 214.23,d, and 214.25,d for end of year, records for other months</t>
  </si>
  <si>
    <t>24f</t>
  </si>
  <si>
    <t>Intercompany Rent - Transmission</t>
  </si>
  <si>
    <t>17aa</t>
  </si>
  <si>
    <t>Peach Bottom 500 kV Substation Upgrades</t>
  </si>
  <si>
    <t>b2766.2</t>
  </si>
  <si>
    <t>3z</t>
  </si>
  <si>
    <t>From P7</t>
  </si>
  <si>
    <t>b0264</t>
  </si>
  <si>
    <t>Constellation Merger</t>
  </si>
  <si>
    <t>PHI Merger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</si>
</sst>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s>
  <fills count="18">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32">
    <xf numFmtId="172" fontId="0" fillId="0" borderId="0" applyProtection="0"/>
    <xf numFmtId="0" fontId="15" fillId="0" borderId="0"/>
    <xf numFmtId="183" fontId="53" fillId="0" borderId="0" applyFont="0" applyFill="0" applyBorder="0" applyAlignment="0" applyProtection="0"/>
    <xf numFmtId="184" fontId="53" fillId="0" borderId="0" applyFont="0" applyFill="0" applyBorder="0" applyAlignment="0" applyProtection="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0" fontId="23" fillId="0" borderId="0"/>
    <xf numFmtId="189" fontId="15" fillId="2" borderId="0" applyNumberFormat="0" applyFill="0" applyBorder="0" applyAlignment="0" applyProtection="0">
      <alignment horizontal="right" vertical="center"/>
    </xf>
    <xf numFmtId="189" fontId="47" fillId="0" borderId="0" applyNumberFormat="0" applyFill="0" applyBorder="0" applyAlignment="0" applyProtection="0"/>
    <xf numFmtId="0" fontId="15" fillId="0" borderId="1" applyNumberFormat="0" applyFont="0" applyFill="0" applyAlignment="0" applyProtection="0"/>
    <xf numFmtId="190" fontId="45" fillId="0" borderId="0" applyFont="0" applyFill="0" applyBorder="0" applyAlignment="0" applyProtection="0"/>
    <xf numFmtId="191" fontId="53" fillId="0" borderId="0" applyFont="0" applyFill="0" applyBorder="0" applyProtection="0">
      <alignment horizontal="left"/>
    </xf>
    <xf numFmtId="192" fontId="53" fillId="0" borderId="0" applyFont="0" applyFill="0" applyBorder="0" applyProtection="0">
      <alignment horizontal="left"/>
    </xf>
    <xf numFmtId="193" fontId="53" fillId="0" borderId="0" applyFont="0" applyFill="0" applyBorder="0" applyProtection="0">
      <alignment horizontal="left"/>
    </xf>
    <xf numFmtId="37" fontId="54" fillId="0" borderId="0" applyFont="0" applyFill="0" applyBorder="0" applyAlignment="0" applyProtection="0">
      <alignment vertical="center"/>
      <protection locked="0"/>
    </xf>
    <xf numFmtId="194" fontId="55" fillId="0" borderId="0" applyFont="0" applyFill="0" applyBorder="0" applyAlignment="0" applyProtection="0"/>
    <xf numFmtId="0" fontId="56" fillId="0" borderId="0"/>
    <xf numFmtId="0" fontId="56" fillId="0" borderId="0"/>
    <xf numFmtId="172" fontId="13" fillId="0" borderId="0" applyFill="0"/>
    <xf numFmtId="172" fontId="13" fillId="0" borderId="0">
      <alignment horizontal="center"/>
    </xf>
    <xf numFmtId="0" fontId="13" fillId="0" borderId="0" applyFill="0">
      <alignment horizontal="center"/>
    </xf>
    <xf numFmtId="172"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2"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2"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2"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2"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2"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8" fontId="57" fillId="0" borderId="0" applyFont="0" applyFill="0" applyBorder="0" applyAlignment="0" applyProtection="0">
      <protection locked="0"/>
    </xf>
    <xf numFmtId="195" fontId="57" fillId="0" borderId="0" applyFont="0" applyFill="0" applyBorder="0" applyAlignment="0" applyProtection="0">
      <protection locked="0"/>
    </xf>
    <xf numFmtId="39" fontId="15" fillId="0" borderId="0" applyFont="0" applyFill="0" applyBorder="0" applyAlignment="0" applyProtection="0"/>
    <xf numFmtId="196" fontId="58" fillId="0" borderId="0" applyFont="0" applyFill="0" applyBorder="0" applyAlignment="0" applyProtection="0"/>
    <xf numFmtId="181"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7" fontId="53" fillId="0" borderId="0" applyFont="0" applyFill="0" applyBorder="0" applyAlignment="0" applyProtection="0"/>
    <xf numFmtId="198" fontId="53" fillId="0" borderId="0" applyFont="0" applyFill="0" applyBorder="0" applyAlignment="0" applyProtection="0"/>
    <xf numFmtId="199" fontId="53" fillId="0" borderId="0" applyFont="0" applyFill="0" applyBorder="0" applyAlignment="0" applyProtection="0"/>
    <xf numFmtId="200" fontId="51" fillId="0" borderId="0" applyFont="0" applyFill="0" applyBorder="0" applyAlignment="0" applyProtection="0"/>
    <xf numFmtId="201" fontId="60" fillId="0" borderId="0" applyFont="0" applyFill="0" applyBorder="0" applyAlignment="0" applyProtection="0"/>
    <xf numFmtId="202" fontId="60" fillId="0" borderId="0" applyFont="0" applyFill="0" applyBorder="0" applyAlignment="0" applyProtection="0"/>
    <xf numFmtId="203"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2"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4" fontId="53"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60" fillId="0" borderId="0" applyFont="0" applyFill="0" applyBorder="0" applyAlignment="0" applyProtection="0"/>
    <xf numFmtId="208" fontId="60" fillId="0" borderId="0" applyFont="0" applyFill="0" applyBorder="0" applyAlignment="0" applyProtection="0"/>
    <xf numFmtId="209" fontId="60" fillId="0" borderId="0" applyFont="0" applyFill="0" applyBorder="0" applyAlignment="0" applyProtection="0"/>
    <xf numFmtId="210"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1" fontId="55" fillId="0" borderId="0" applyFont="0" applyFill="0" applyBorder="0" applyAlignment="0" applyProtection="0"/>
    <xf numFmtId="180" fontId="15" fillId="0" borderId="0" applyFont="0" applyFill="0" applyBorder="0" applyAlignment="0" applyProtection="0"/>
    <xf numFmtId="212" fontId="57" fillId="0" borderId="0" applyFont="0" applyFill="0" applyBorder="0" applyAlignment="0" applyProtection="0">
      <protection locked="0"/>
    </xf>
    <xf numFmtId="7" fontId="13" fillId="0" borderId="0" applyFont="0" applyFill="0" applyBorder="0" applyAlignment="0" applyProtection="0"/>
    <xf numFmtId="213" fontId="58" fillId="0" borderId="0" applyFont="0" applyFill="0" applyBorder="0" applyAlignment="0" applyProtection="0"/>
    <xf numFmtId="179"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4" fontId="53" fillId="0" borderId="0" applyFont="0" applyFill="0" applyBorder="0" applyProtection="0"/>
    <xf numFmtId="215" fontId="53" fillId="0" borderId="0" applyFont="0" applyFill="0" applyBorder="0" applyProtection="0"/>
    <xf numFmtId="216" fontId="53" fillId="0" borderId="0" applyFont="0" applyFill="0" applyBorder="0" applyAlignment="0" applyProtection="0"/>
    <xf numFmtId="217" fontId="53" fillId="0" borderId="0" applyFont="0" applyFill="0" applyBorder="0" applyAlignment="0" applyProtection="0"/>
    <xf numFmtId="218" fontId="53" fillId="0" borderId="0" applyFont="0" applyFill="0" applyBorder="0" applyAlignment="0" applyProtection="0"/>
    <xf numFmtId="219" fontId="64" fillId="0" borderId="0" applyFont="0" applyFill="0" applyBorder="0" applyAlignment="0" applyProtection="0"/>
    <xf numFmtId="5" fontId="65" fillId="0" borderId="0" applyBorder="0"/>
    <xf numFmtId="180" fontId="65" fillId="0" borderId="0" applyBorder="0"/>
    <xf numFmtId="7" fontId="65" fillId="0" borderId="0" applyBorder="0"/>
    <xf numFmtId="37" fontId="65" fillId="0" borderId="0" applyBorder="0"/>
    <xf numFmtId="178" fontId="65" fillId="0" borderId="0" applyBorder="0"/>
    <xf numFmtId="220" fontId="65" fillId="0" borderId="0" applyBorder="0"/>
    <xf numFmtId="39" fontId="65" fillId="0" borderId="0" applyBorder="0"/>
    <xf numFmtId="221" fontId="65" fillId="0" borderId="0" applyBorder="0"/>
    <xf numFmtId="7" fontId="15" fillId="0" borderId="0" applyFont="0" applyFill="0" applyBorder="0" applyAlignment="0" applyProtection="0"/>
    <xf numFmtId="222" fontId="55" fillId="0" borderId="0" applyFont="0" applyFill="0" applyBorder="0" applyAlignment="0" applyProtection="0"/>
    <xf numFmtId="223" fontId="55" fillId="0" borderId="0" applyFont="0" applyFill="0" applyAlignment="0" applyProtection="0"/>
    <xf numFmtId="222" fontId="55" fillId="0" borderId="0" applyFont="0" applyFill="0" applyBorder="0" applyAlignment="0" applyProtection="0"/>
    <xf numFmtId="224" fontId="13" fillId="0" borderId="0" applyFont="0" applyFill="0" applyBorder="0" applyAlignment="0" applyProtection="0"/>
    <xf numFmtId="2" fontId="15" fillId="0" borderId="0" applyFont="0" applyFill="0" applyBorder="0" applyAlignment="0" applyProtection="0"/>
    <xf numFmtId="0" fontId="66" fillId="0" borderId="0"/>
    <xf numFmtId="178"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5"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6" fontId="53" fillId="0" borderId="0" applyFont="0" applyFill="0" applyBorder="0" applyProtection="0">
      <alignment horizontal="left"/>
    </xf>
    <xf numFmtId="227" fontId="53" fillId="0" borderId="0" applyFont="0" applyFill="0" applyBorder="0" applyProtection="0">
      <alignment horizontal="left"/>
    </xf>
    <xf numFmtId="228" fontId="53" fillId="0" borderId="0" applyFont="0" applyFill="0" applyBorder="0" applyProtection="0">
      <alignment horizontal="left"/>
    </xf>
    <xf numFmtId="229"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0" fontId="71" fillId="0" borderId="0" applyBorder="0"/>
    <xf numFmtId="7" fontId="71" fillId="0" borderId="0" applyBorder="0"/>
    <xf numFmtId="37" fontId="71" fillId="0" borderId="0" applyBorder="0"/>
    <xf numFmtId="178" fontId="71" fillId="0" borderId="0" applyBorder="0"/>
    <xf numFmtId="220" fontId="71" fillId="0" borderId="0" applyBorder="0"/>
    <xf numFmtId="39" fontId="71" fillId="0" borderId="0" applyBorder="0"/>
    <xf numFmtId="221" fontId="71" fillId="0" borderId="0" applyBorder="0"/>
    <xf numFmtId="0" fontId="64" fillId="0" borderId="10" applyNumberFormat="0" applyFont="0" applyFill="0" applyAlignment="0" applyProtection="0"/>
    <xf numFmtId="0" fontId="72" fillId="0" borderId="0"/>
    <xf numFmtId="0" fontId="13" fillId="9" borderId="0"/>
    <xf numFmtId="230" fontId="15" fillId="0" borderId="0" applyFont="0" applyFill="0" applyBorder="0" applyAlignment="0" applyProtection="0"/>
    <xf numFmtId="231" fontId="15" fillId="0" borderId="0" applyFont="0" applyFill="0" applyBorder="0" applyAlignment="0" applyProtection="0"/>
    <xf numFmtId="232" fontId="15" fillId="0" borderId="0" applyFont="0" applyFill="0" applyBorder="0" applyAlignment="0" applyProtection="0"/>
    <xf numFmtId="233" fontId="15" fillId="0" borderId="0" applyFont="0" applyFill="0" applyBorder="0" applyAlignment="0" applyProtection="0"/>
    <xf numFmtId="0" fontId="15" fillId="0" borderId="0" applyFont="0" applyFill="0" applyBorder="0" applyAlignment="0" applyProtection="0">
      <alignment horizontal="right"/>
    </xf>
    <xf numFmtId="234" fontId="15" fillId="0" borderId="0" applyFont="0" applyFill="0" applyBorder="0" applyAlignment="0" applyProtection="0"/>
    <xf numFmtId="37" fontId="73" fillId="0" borderId="0"/>
    <xf numFmtId="0" fontId="55" fillId="0" borderId="0"/>
    <xf numFmtId="0" fontId="94" fillId="0" borderId="0"/>
    <xf numFmtId="7" fontId="93"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72" fontId="35" fillId="0" borderId="0" applyProtection="0"/>
    <xf numFmtId="0" fontId="94" fillId="0" borderId="0"/>
    <xf numFmtId="0" fontId="94" fillId="0" borderId="0"/>
    <xf numFmtId="0" fontId="94" fillId="0" borderId="0"/>
    <xf numFmtId="0" fontId="94" fillId="0" borderId="0"/>
    <xf numFmtId="0" fontId="35" fillId="0" borderId="0" applyProtection="0"/>
    <xf numFmtId="172" fontId="35" fillId="0" borderId="0" applyProtection="0"/>
    <xf numFmtId="172" fontId="35" fillId="0" borderId="0" applyProtection="0"/>
    <xf numFmtId="172" fontId="35" fillId="0" borderId="0" applyProtection="0"/>
    <xf numFmtId="0" fontId="15" fillId="0" borderId="0"/>
    <xf numFmtId="172" fontId="35" fillId="0" borderId="0" applyProtection="0"/>
    <xf numFmtId="0" fontId="15" fillId="0" borderId="0"/>
    <xf numFmtId="0" fontId="45" fillId="10" borderId="0" applyNumberFormat="0" applyFont="0" applyBorder="0" applyAlignment="0"/>
    <xf numFmtId="235" fontId="15" fillId="0" borderId="0" applyFont="0" applyFill="0" applyBorder="0" applyAlignment="0" applyProtection="0"/>
    <xf numFmtId="236" fontId="74"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7" fontId="15" fillId="0" borderId="0"/>
    <xf numFmtId="238" fontId="55" fillId="0" borderId="0"/>
    <xf numFmtId="238" fontId="55" fillId="0" borderId="0"/>
    <xf numFmtId="236" fontId="74" fillId="0" borderId="0"/>
    <xf numFmtId="0" fontId="55" fillId="0" borderId="0"/>
    <xf numFmtId="236" fontId="61" fillId="0" borderId="0"/>
    <xf numFmtId="237" fontId="15" fillId="0" borderId="0"/>
    <xf numFmtId="238" fontId="55" fillId="0" borderId="0"/>
    <xf numFmtId="238" fontId="55" fillId="0" borderId="0"/>
    <xf numFmtId="0" fontId="55" fillId="0" borderId="0"/>
    <xf numFmtId="0" fontId="55"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0" fontId="55"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6" fontId="74" fillId="0" borderId="0"/>
    <xf numFmtId="236" fontId="74" fillId="0" borderId="0"/>
    <xf numFmtId="235" fontId="15" fillId="0" borderId="0" applyFont="0" applyFill="0" applyBorder="0" applyAlignment="0" applyProtection="0"/>
    <xf numFmtId="236" fontId="74" fillId="0" borderId="0"/>
    <xf numFmtId="236" fontId="74"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242" fontId="23" fillId="11" borderId="0" applyFont="0" applyFill="0" applyBorder="0" applyAlignment="0" applyProtection="0"/>
    <xf numFmtId="243" fontId="23" fillId="11" borderId="0" applyFont="0" applyFill="0" applyBorder="0" applyAlignment="0" applyProtection="0"/>
    <xf numFmtId="244" fontId="15" fillId="0" borderId="0" applyFont="0" applyFill="0" applyBorder="0" applyAlignment="0" applyProtection="0"/>
    <xf numFmtId="9" fontId="15" fillId="0" borderId="0" applyFont="0" applyFill="0" applyBorder="0" applyAlignment="0" applyProtection="0"/>
    <xf numFmtId="245" fontId="60" fillId="0" borderId="0" applyFont="0" applyFill="0" applyBorder="0" applyAlignment="0" applyProtection="0"/>
    <xf numFmtId="246" fontId="51" fillId="0" borderId="0" applyFont="0" applyFill="0" applyBorder="0" applyAlignment="0" applyProtection="0"/>
    <xf numFmtId="247" fontId="15" fillId="0" borderId="0" applyFont="0" applyFill="0" applyBorder="0" applyAlignment="0" applyProtection="0"/>
    <xf numFmtId="248" fontId="53" fillId="0" borderId="0" applyFont="0" applyFill="0" applyBorder="0" applyAlignment="0" applyProtection="0"/>
    <xf numFmtId="249" fontId="53"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60" fillId="0" borderId="0" applyFont="0" applyFill="0" applyBorder="0" applyAlignment="0" applyProtection="0"/>
    <xf numFmtId="253" fontId="51"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18" fillId="0" borderId="0" applyFont="0" applyFill="0" applyBorder="0" applyAlignment="0" applyProtection="0">
      <protection locked="0"/>
    </xf>
    <xf numFmtId="259"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89" fontId="61" fillId="0" borderId="0" applyFill="0" applyBorder="0" applyAlignment="0" applyProtection="0"/>
    <xf numFmtId="9" fontId="65" fillId="0" borderId="0" applyBorder="0"/>
    <xf numFmtId="170"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2"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0" fontId="62" fillId="0" borderId="0">
      <alignment horizontal="center"/>
    </xf>
    <xf numFmtId="261"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2"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2" fontId="51" fillId="0" borderId="0" applyFont="0" applyFill="0" applyBorder="0" applyAlignment="0" applyProtection="0"/>
    <xf numFmtId="263" fontId="51" fillId="0" borderId="0" applyFon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83" fillId="3" borderId="13" applyFont="0" applyFill="0" applyBorder="0" applyAlignment="0" applyProtection="0"/>
    <xf numFmtId="270" fontId="55" fillId="0" borderId="0" applyFont="0" applyFill="0" applyBorder="0" applyAlignment="0" applyProtection="0"/>
    <xf numFmtId="271" fontId="58" fillId="0" borderId="0" applyFont="0" applyFill="0" applyBorder="0" applyAlignment="0" applyProtection="0"/>
    <xf numFmtId="272" fontId="62" fillId="0" borderId="7" applyFont="0" applyFill="0" applyBorder="0" applyAlignment="0" applyProtection="0">
      <alignment horizontal="right"/>
      <protection locked="0"/>
    </xf>
    <xf numFmtId="43" fontId="11" fillId="0" borderId="0" applyFont="0" applyFill="0" applyBorder="0" applyAlignment="0" applyProtection="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7" fillId="0" borderId="0"/>
    <xf numFmtId="0" fontId="8" fillId="0" borderId="0"/>
    <xf numFmtId="43" fontId="8" fillId="0" borderId="0" applyFont="0" applyFill="0" applyBorder="0" applyAlignment="0" applyProtection="0"/>
    <xf numFmtId="0" fontId="15" fillId="0" borderId="0"/>
    <xf numFmtId="172" fontId="35" fillId="0" borderId="0" applyProtection="0"/>
    <xf numFmtId="0" fontId="7" fillId="0" borderId="0"/>
    <xf numFmtId="0" fontId="6" fillId="0" borderId="0"/>
    <xf numFmtId="172" fontId="35"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43" fontId="15" fillId="0" borderId="0" applyFont="0" applyFill="0" applyBorder="0" applyAlignment="0" applyProtection="0"/>
    <xf numFmtId="0" fontId="15" fillId="0" borderId="0"/>
    <xf numFmtId="0" fontId="98" fillId="0" borderId="0"/>
    <xf numFmtId="0" fontId="5" fillId="0" borderId="0"/>
    <xf numFmtId="0" fontId="5" fillId="0" borderId="0"/>
    <xf numFmtId="9" fontId="11" fillId="0" borderId="0" applyFont="0" applyFill="0" applyBorder="0" applyAlignment="0" applyProtection="0"/>
    <xf numFmtId="43" fontId="11" fillId="0" borderId="0" applyFont="0" applyFill="0" applyBorder="0" applyAlignment="0" applyProtection="0"/>
    <xf numFmtId="0" fontId="5" fillId="0" borderId="0"/>
    <xf numFmtId="43" fontId="11"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5" fillId="0" borderId="0" applyFont="0" applyFill="0" applyBorder="0" applyAlignment="0" applyProtection="0"/>
    <xf numFmtId="0" fontId="2" fillId="0" borderId="0"/>
    <xf numFmtId="9" fontId="2"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0" fontId="31" fillId="0" borderId="0" applyFont="0" applyFill="0" applyBorder="0" applyAlignment="0" applyProtection="0"/>
    <xf numFmtId="0"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35" fillId="0" borderId="0" applyProtection="0"/>
    <xf numFmtId="9" fontId="15" fillId="0" borderId="0" applyFont="0" applyFill="0" applyBorder="0" applyAlignment="0" applyProtection="0"/>
    <xf numFmtId="0" fontId="1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2" fontId="35" fillId="0" borderId="0" applyProtection="0"/>
    <xf numFmtId="9" fontId="15"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172" fontId="35" fillId="0" borderId="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0" fontId="36" fillId="0" borderId="0" applyNumberFormat="0" applyFont="0" applyFill="0" applyBorder="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72" fontId="35" fillId="0" borderId="0" applyProtection="0"/>
  </cellStyleXfs>
  <cellXfs count="1085">
    <xf numFmtId="172" fontId="0" fillId="0" borderId="0" xfId="0" applyAlignment="1"/>
    <xf numFmtId="0" fontId="55" fillId="0" borderId="0" xfId="201" applyNumberFormat="1" applyFont="1" applyFill="1" applyBorder="1" applyProtection="1">
      <protection locked="0"/>
    </xf>
    <xf numFmtId="0" fontId="55" fillId="0" borderId="0" xfId="201" applyNumberFormat="1" applyFont="1" applyFill="1" applyBorder="1"/>
    <xf numFmtId="172" fontId="55" fillId="0" borderId="0" xfId="211" applyFont="1" applyFill="1" applyAlignment="1" applyProtection="1"/>
    <xf numFmtId="3" fontId="55" fillId="0" borderId="0" xfId="211" applyNumberFormat="1" applyFont="1" applyFill="1" applyAlignment="1" applyProtection="1"/>
    <xf numFmtId="169" fontId="55" fillId="0" borderId="0" xfId="211" applyNumberFormat="1" applyFont="1" applyFill="1" applyBorder="1" applyAlignment="1" applyProtection="1"/>
    <xf numFmtId="172" fontId="55" fillId="0" borderId="0" xfId="0" applyFont="1" applyFill="1"/>
    <xf numFmtId="172" fontId="45" fillId="0" borderId="0" xfId="0" applyFont="1" applyAlignment="1"/>
    <xf numFmtId="169" fontId="45" fillId="0" borderId="0" xfId="0" applyNumberFormat="1" applyFont="1" applyAlignment="1"/>
    <xf numFmtId="169" fontId="55" fillId="0" borderId="0" xfId="211" applyNumberFormat="1" applyFont="1" applyFill="1" applyBorder="1" applyAlignment="1" applyProtection="1">
      <alignment vertical="top"/>
    </xf>
    <xf numFmtId="3" fontId="55" fillId="0" borderId="0" xfId="211" applyNumberFormat="1" applyFont="1" applyFill="1" applyAlignment="1" applyProtection="1">
      <alignment vertical="top"/>
    </xf>
    <xf numFmtId="173" fontId="45" fillId="0" borderId="0" xfId="59" applyNumberFormat="1" applyFont="1" applyAlignment="1"/>
    <xf numFmtId="172" fontId="55" fillId="0" borderId="0" xfId="0" applyNumberFormat="1" applyFont="1" applyFill="1" applyBorder="1" applyAlignment="1" applyProtection="1"/>
    <xf numFmtId="172" fontId="55" fillId="0" borderId="0" xfId="201" applyFont="1" applyFill="1" applyBorder="1" applyAlignment="1"/>
    <xf numFmtId="172" fontId="55" fillId="0" borderId="0" xfId="0" applyFont="1" applyFill="1" applyBorder="1" applyAlignment="1">
      <alignment horizontal="center"/>
    </xf>
    <xf numFmtId="172" fontId="125" fillId="0" borderId="0" xfId="0" applyFont="1" applyAlignment="1" applyProtection="1">
      <alignment vertical="center"/>
    </xf>
    <xf numFmtId="172" fontId="45" fillId="0" borderId="0" xfId="0" applyFont="1" applyAlignment="1" applyProtection="1"/>
    <xf numFmtId="172" fontId="45" fillId="0" borderId="0" xfId="0" applyFont="1" applyAlignment="1" applyProtection="1">
      <alignment horizontal="center"/>
    </xf>
    <xf numFmtId="0" fontId="55" fillId="0" borderId="0" xfId="188" applyFont="1" applyFill="1" applyProtection="1"/>
    <xf numFmtId="0" fontId="62" fillId="0" borderId="0" xfId="188" applyFont="1" applyFill="1" applyProtection="1"/>
    <xf numFmtId="0" fontId="55" fillId="0" borderId="0" xfId="188" applyFont="1" applyFill="1" applyAlignment="1" applyProtection="1">
      <alignment horizontal="right"/>
    </xf>
    <xf numFmtId="172" fontId="55" fillId="0" borderId="0" xfId="0" applyFont="1" applyFill="1" applyAlignment="1" applyProtection="1"/>
    <xf numFmtId="0" fontId="55" fillId="0" borderId="0" xfId="211" applyNumberFormat="1" applyFont="1" applyFill="1" applyAlignment="1" applyProtection="1"/>
    <xf numFmtId="172" fontId="55" fillId="0" borderId="0" xfId="211" applyNumberFormat="1" applyFont="1" applyFill="1" applyAlignment="1" applyProtection="1"/>
    <xf numFmtId="0" fontId="55" fillId="0" borderId="0" xfId="211" applyNumberFormat="1" applyFont="1" applyFill="1" applyAlignment="1" applyProtection="1">
      <alignment horizontal="center"/>
    </xf>
    <xf numFmtId="0" fontId="55" fillId="0" borderId="0" xfId="211" applyNumberFormat="1" applyFont="1" applyFill="1" applyProtection="1"/>
    <xf numFmtId="0" fontId="55" fillId="17" borderId="0" xfId="201" applyNumberFormat="1" applyFont="1" applyFill="1" applyAlignment="1" applyProtection="1">
      <alignment horizontal="right"/>
    </xf>
    <xf numFmtId="3" fontId="55" fillId="0" borderId="0" xfId="211" applyNumberFormat="1" applyFont="1" applyFill="1" applyAlignment="1" applyProtection="1">
      <alignment horizontal="center"/>
    </xf>
    <xf numFmtId="0" fontId="90" fillId="0" borderId="0" xfId="211" applyNumberFormat="1" applyFont="1" applyFill="1" applyProtection="1"/>
    <xf numFmtId="172" fontId="96" fillId="0" borderId="0" xfId="0" applyFont="1" applyFill="1" applyAlignment="1" applyProtection="1">
      <alignment horizontal="center" vertical="center"/>
    </xf>
    <xf numFmtId="49" fontId="55" fillId="0" borderId="0" xfId="211" applyNumberFormat="1" applyFont="1" applyFill="1" applyAlignment="1" applyProtection="1"/>
    <xf numFmtId="49" fontId="55" fillId="0" borderId="0" xfId="211" applyNumberFormat="1" applyFont="1" applyFill="1" applyAlignment="1" applyProtection="1">
      <alignment horizontal="center"/>
    </xf>
    <xf numFmtId="173" fontId="55" fillId="0" borderId="0" xfId="59" applyNumberFormat="1" applyFont="1" applyFill="1" applyProtection="1"/>
    <xf numFmtId="173" fontId="55" fillId="0" borderId="0" xfId="59" applyNumberFormat="1" applyFont="1" applyFill="1" applyAlignment="1" applyProtection="1">
      <alignment horizontal="center"/>
    </xf>
    <xf numFmtId="49" fontId="55" fillId="0" borderId="0" xfId="211" applyNumberFormat="1" applyFont="1" applyFill="1" applyProtection="1"/>
    <xf numFmtId="0" fontId="55" fillId="0" borderId="8" xfId="211" applyNumberFormat="1" applyFont="1" applyFill="1" applyBorder="1" applyAlignment="1" applyProtection="1">
      <alignment horizontal="center"/>
    </xf>
    <xf numFmtId="173" fontId="55" fillId="0" borderId="8" xfId="59" applyNumberFormat="1" applyFont="1" applyFill="1" applyBorder="1" applyAlignment="1" applyProtection="1">
      <alignment horizontal="center"/>
    </xf>
    <xf numFmtId="3" fontId="55" fillId="0" borderId="0" xfId="211" applyNumberFormat="1" applyFont="1" applyFill="1" applyProtection="1"/>
    <xf numFmtId="43" fontId="55" fillId="0" borderId="0" xfId="59" applyNumberFormat="1" applyFont="1" applyFill="1" applyProtection="1"/>
    <xf numFmtId="173" fontId="55" fillId="0" borderId="0" xfId="59" applyNumberFormat="1" applyFont="1" applyFill="1" applyAlignment="1" applyProtection="1"/>
    <xf numFmtId="0" fontId="55" fillId="0" borderId="8" xfId="211" applyNumberFormat="1" applyFont="1" applyFill="1" applyBorder="1" applyAlignment="1" applyProtection="1">
      <alignment horizontal="centerContinuous"/>
    </xf>
    <xf numFmtId="43" fontId="55" fillId="0" borderId="0" xfId="59" applyFont="1" applyFill="1" applyAlignment="1" applyProtection="1"/>
    <xf numFmtId="10" fontId="55" fillId="0" borderId="0" xfId="266" applyNumberFormat="1" applyFont="1" applyFill="1" applyAlignment="1" applyProtection="1"/>
    <xf numFmtId="3" fontId="55" fillId="0" borderId="0" xfId="188" applyNumberFormat="1" applyFont="1" applyFill="1" applyAlignment="1" applyProtection="1"/>
    <xf numFmtId="3" fontId="55" fillId="0" borderId="0" xfId="211" applyNumberFormat="1" applyFont="1" applyFill="1" applyBorder="1" applyProtection="1"/>
    <xf numFmtId="3" fontId="55" fillId="0" borderId="0" xfId="211" applyNumberFormat="1" applyFont="1" applyFill="1" applyAlignment="1" applyProtection="1">
      <alignment horizontal="left"/>
    </xf>
    <xf numFmtId="173" fontId="55" fillId="0" borderId="8" xfId="59" applyNumberFormat="1" applyFont="1" applyFill="1" applyBorder="1" applyAlignment="1" applyProtection="1"/>
    <xf numFmtId="3" fontId="55" fillId="0" borderId="0" xfId="211" applyNumberFormat="1" applyFont="1" applyFill="1" applyAlignment="1" applyProtection="1">
      <alignment horizontal="fill"/>
    </xf>
    <xf numFmtId="173" fontId="55" fillId="0" borderId="18" xfId="59" applyNumberFormat="1" applyFont="1" applyFill="1" applyBorder="1" applyAlignment="1" applyProtection="1">
      <alignment horizontal="right"/>
    </xf>
    <xf numFmtId="43" fontId="55" fillId="0" borderId="0" xfId="211" applyNumberFormat="1" applyFont="1" applyFill="1" applyProtection="1"/>
    <xf numFmtId="0" fontId="55" fillId="0" borderId="0" xfId="206" applyNumberFormat="1" applyFont="1" applyFill="1" applyBorder="1" applyProtection="1"/>
    <xf numFmtId="3" fontId="55" fillId="0" borderId="0" xfId="211" applyNumberFormat="1" applyFont="1" applyFill="1" applyBorder="1" applyAlignment="1" applyProtection="1">
      <alignment horizontal="fill"/>
    </xf>
    <xf numFmtId="3" fontId="55" fillId="0" borderId="0" xfId="211" applyNumberFormat="1" applyFont="1" applyFill="1" applyBorder="1" applyAlignment="1" applyProtection="1"/>
    <xf numFmtId="173" fontId="55" fillId="0" borderId="0" xfId="59" applyNumberFormat="1" applyFont="1" applyFill="1" applyBorder="1" applyAlignment="1" applyProtection="1"/>
    <xf numFmtId="0" fontId="55" fillId="0" borderId="0" xfId="211" applyNumberFormat="1" applyFont="1" applyFill="1" applyBorder="1" applyProtection="1"/>
    <xf numFmtId="0" fontId="55" fillId="0" borderId="0" xfId="206" applyNumberFormat="1" applyFont="1" applyFill="1" applyAlignment="1" applyProtection="1"/>
    <xf numFmtId="173" fontId="55" fillId="0" borderId="0" xfId="59" applyNumberFormat="1" applyFont="1" applyFill="1" applyBorder="1" applyProtection="1"/>
    <xf numFmtId="0" fontId="55" fillId="0" borderId="0" xfId="206" applyNumberFormat="1" applyFont="1" applyFill="1" applyAlignment="1" applyProtection="1">
      <alignment horizontal="center"/>
    </xf>
    <xf numFmtId="0" fontId="55" fillId="0" borderId="0" xfId="206" applyNumberFormat="1" applyFont="1" applyFill="1" applyBorder="1" applyAlignment="1" applyProtection="1">
      <alignment horizontal="left"/>
    </xf>
    <xf numFmtId="43" fontId="55" fillId="0" borderId="0" xfId="59" applyFont="1" applyFill="1" applyBorder="1" applyAlignment="1" applyProtection="1"/>
    <xf numFmtId="0" fontId="55" fillId="0" borderId="0" xfId="206" applyNumberFormat="1" applyFont="1" applyFill="1" applyBorder="1" applyAlignment="1" applyProtection="1"/>
    <xf numFmtId="166" fontId="55" fillId="0" borderId="0" xfId="206" applyNumberFormat="1" applyFont="1" applyFill="1" applyBorder="1" applyAlignment="1" applyProtection="1"/>
    <xf numFmtId="172" fontId="55" fillId="0" borderId="0" xfId="0" applyFont="1" applyFill="1" applyBorder="1" applyAlignment="1" applyProtection="1"/>
    <xf numFmtId="0" fontId="55" fillId="0" borderId="0" xfId="206" applyFont="1" applyFill="1" applyBorder="1" applyAlignment="1" applyProtection="1"/>
    <xf numFmtId="173" fontId="55" fillId="0" borderId="0" xfId="211" applyNumberFormat="1" applyFont="1" applyFill="1" applyBorder="1" applyProtection="1"/>
    <xf numFmtId="3" fontId="55" fillId="0" borderId="0" xfId="206" applyNumberFormat="1" applyFont="1" applyFill="1" applyBorder="1" applyAlignment="1" applyProtection="1"/>
    <xf numFmtId="173" fontId="55" fillId="0" borderId="0" xfId="59" applyNumberFormat="1" applyFont="1" applyFill="1" applyBorder="1" applyAlignment="1" applyProtection="1">
      <alignment horizontal="right"/>
    </xf>
    <xf numFmtId="172" fontId="55" fillId="0" borderId="0" xfId="211" applyFont="1" applyFill="1" applyBorder="1" applyAlignment="1" applyProtection="1"/>
    <xf numFmtId="0" fontId="55" fillId="0" borderId="0" xfId="211" applyNumberFormat="1" applyFont="1" applyFill="1" applyBorder="1" applyAlignment="1" applyProtection="1">
      <alignment horizontal="center"/>
    </xf>
    <xf numFmtId="0" fontId="55" fillId="0" borderId="0" xfId="211" applyNumberFormat="1" applyFont="1" applyFill="1" applyBorder="1" applyAlignment="1" applyProtection="1"/>
    <xf numFmtId="171" fontId="55" fillId="0" borderId="0" xfId="211" applyNumberFormat="1" applyFont="1" applyFill="1" applyBorder="1" applyProtection="1"/>
    <xf numFmtId="171" fontId="55" fillId="0" borderId="0" xfId="211" applyNumberFormat="1" applyFont="1" applyFill="1" applyProtection="1"/>
    <xf numFmtId="169" fontId="55" fillId="0" borderId="0" xfId="211" applyNumberFormat="1" applyFont="1" applyFill="1" applyProtection="1"/>
    <xf numFmtId="278" fontId="55" fillId="0" borderId="0" xfId="211" applyNumberFormat="1" applyFont="1" applyFill="1" applyProtection="1"/>
    <xf numFmtId="168" fontId="55" fillId="0" borderId="0" xfId="211" applyNumberFormat="1" applyFont="1" applyFill="1" applyProtection="1"/>
    <xf numFmtId="0" fontId="55" fillId="0" borderId="0" xfId="211" applyNumberFormat="1" applyFont="1" applyFill="1" applyAlignment="1" applyProtection="1">
      <alignment horizontal="right"/>
    </xf>
    <xf numFmtId="3" fontId="62" fillId="0" borderId="0" xfId="211" applyNumberFormat="1" applyFont="1" applyFill="1" applyAlignment="1" applyProtection="1">
      <alignment horizontal="center"/>
    </xf>
    <xf numFmtId="0" fontId="62" fillId="0" borderId="0" xfId="211" applyNumberFormat="1" applyFont="1" applyFill="1" applyAlignment="1" applyProtection="1">
      <alignment horizontal="center"/>
    </xf>
    <xf numFmtId="172" fontId="62" fillId="0" borderId="0" xfId="211" applyFont="1" applyFill="1" applyAlignment="1" applyProtection="1">
      <alignment horizontal="center"/>
    </xf>
    <xf numFmtId="3" fontId="62" fillId="0" borderId="0" xfId="211" applyNumberFormat="1" applyFont="1" applyFill="1" applyAlignment="1" applyProtection="1"/>
    <xf numFmtId="0" fontId="62" fillId="0" borderId="0" xfId="211" applyNumberFormat="1" applyFont="1" applyFill="1" applyAlignment="1" applyProtection="1"/>
    <xf numFmtId="165" fontId="55" fillId="0" borderId="0" xfId="211" applyNumberFormat="1" applyFont="1" applyFill="1" applyAlignment="1" applyProtection="1"/>
    <xf numFmtId="10" fontId="55" fillId="0" borderId="0" xfId="266" applyNumberFormat="1" applyFont="1" applyFill="1" applyAlignment="1" applyProtection="1">
      <alignment horizontal="center"/>
    </xf>
    <xf numFmtId="164" fontId="55" fillId="0" borderId="0" xfId="211" applyNumberFormat="1" applyFont="1" applyFill="1" applyAlignment="1" applyProtection="1">
      <alignment horizontal="center"/>
    </xf>
    <xf numFmtId="10" fontId="55" fillId="0" borderId="0" xfId="266" applyNumberFormat="1" applyFont="1" applyFill="1" applyAlignment="1" applyProtection="1">
      <alignment horizontal="right"/>
    </xf>
    <xf numFmtId="0" fontId="55" fillId="0" borderId="0" xfId="206" applyFont="1" applyFill="1" applyAlignment="1" applyProtection="1"/>
    <xf numFmtId="3" fontId="55" fillId="0" borderId="0" xfId="206" applyNumberFormat="1" applyFont="1" applyFill="1" applyAlignment="1" applyProtection="1"/>
    <xf numFmtId="10" fontId="55" fillId="0" borderId="0" xfId="266" applyNumberFormat="1" applyFont="1" applyFill="1" applyBorder="1" applyAlignment="1" applyProtection="1"/>
    <xf numFmtId="172" fontId="55" fillId="0" borderId="0" xfId="0" applyFont="1" applyFill="1" applyProtection="1"/>
    <xf numFmtId="172" fontId="55" fillId="0" borderId="0" xfId="0" applyFont="1" applyFill="1" applyBorder="1" applyProtection="1"/>
    <xf numFmtId="3" fontId="55" fillId="0" borderId="0" xfId="211" quotePrefix="1" applyNumberFormat="1" applyFont="1" applyFill="1" applyAlignment="1" applyProtection="1">
      <alignment horizontal="left"/>
    </xf>
    <xf numFmtId="0" fontId="55" fillId="0" borderId="0" xfId="188" applyNumberFormat="1" applyFont="1" applyFill="1" applyProtection="1"/>
    <xf numFmtId="173" fontId="55" fillId="0" borderId="18" xfId="59" applyNumberFormat="1" applyFont="1" applyFill="1" applyBorder="1" applyAlignment="1" applyProtection="1"/>
    <xf numFmtId="164" fontId="55" fillId="0" borderId="0" xfId="188" applyNumberFormat="1" applyFont="1" applyFill="1" applyAlignment="1" applyProtection="1">
      <alignment horizontal="center"/>
    </xf>
    <xf numFmtId="0" fontId="45" fillId="0" borderId="0" xfId="0" applyNumberFormat="1" applyFont="1" applyFill="1" applyBorder="1" applyAlignment="1" applyProtection="1">
      <alignment horizontal="left"/>
    </xf>
    <xf numFmtId="172" fontId="45" fillId="0" borderId="0" xfId="0" applyFont="1" applyFill="1" applyProtection="1"/>
    <xf numFmtId="172" fontId="45" fillId="0" borderId="0" xfId="0" applyFont="1" applyFill="1" applyBorder="1" applyAlignment="1" applyProtection="1">
      <alignment horizontal="left"/>
    </xf>
    <xf numFmtId="3" fontId="45" fillId="0" borderId="0" xfId="0" applyNumberFormat="1" applyFont="1" applyFill="1" applyBorder="1" applyAlignment="1" applyProtection="1"/>
    <xf numFmtId="172" fontId="45" fillId="0" borderId="0" xfId="0" applyFont="1" applyFill="1" applyBorder="1" applyProtection="1"/>
    <xf numFmtId="3" fontId="45" fillId="0" borderId="0" xfId="0" applyNumberFormat="1" applyFont="1" applyFill="1" applyBorder="1" applyAlignment="1" applyProtection="1">
      <alignment horizontal="right"/>
    </xf>
    <xf numFmtId="3" fontId="55" fillId="0" borderId="0" xfId="188" applyNumberFormat="1" applyFont="1" applyFill="1" applyBorder="1" applyAlignment="1" applyProtection="1"/>
    <xf numFmtId="172" fontId="128" fillId="0" borderId="0" xfId="0" applyFont="1" applyFill="1" applyBorder="1" applyAlignment="1" applyProtection="1">
      <alignment horizontal="center"/>
    </xf>
    <xf numFmtId="3" fontId="55" fillId="0" borderId="0" xfId="211" applyNumberFormat="1" applyFont="1" applyFill="1" applyAlignment="1" applyProtection="1">
      <alignment horizontal="right"/>
    </xf>
    <xf numFmtId="172" fontId="45" fillId="0" borderId="0" xfId="0" applyFont="1" applyFill="1" applyAlignment="1" applyProtection="1">
      <alignment horizontal="center"/>
    </xf>
    <xf numFmtId="3" fontId="55" fillId="0" borderId="0" xfId="211" quotePrefix="1" applyNumberFormat="1" applyFont="1" applyFill="1" applyAlignment="1" applyProtection="1"/>
    <xf numFmtId="0" fontId="55" fillId="0" borderId="0" xfId="211" applyNumberFormat="1" applyFont="1" applyFill="1" applyAlignment="1" applyProtection="1">
      <alignment wrapText="1"/>
    </xf>
    <xf numFmtId="3" fontId="55" fillId="0" borderId="0" xfId="211" applyNumberFormat="1" applyFont="1" applyFill="1" applyAlignment="1" applyProtection="1">
      <alignment wrapText="1"/>
    </xf>
    <xf numFmtId="0" fontId="55" fillId="0" borderId="0" xfId="211" quotePrefix="1" applyNumberFormat="1" applyFont="1" applyFill="1" applyAlignment="1" applyProtection="1">
      <alignment horizontal="left"/>
    </xf>
    <xf numFmtId="0" fontId="55" fillId="0" borderId="0" xfId="211" applyNumberFormat="1" applyFont="1" applyFill="1" applyAlignment="1" applyProtection="1">
      <alignment horizontal="left" indent="2"/>
    </xf>
    <xf numFmtId="0" fontId="55" fillId="0" borderId="0" xfId="0" applyNumberFormat="1" applyFont="1" applyFill="1" applyAlignment="1" applyProtection="1">
      <alignment horizontal="left"/>
    </xf>
    <xf numFmtId="164" fontId="55" fillId="0" borderId="0" xfId="211" applyNumberFormat="1" applyFont="1" applyFill="1" applyAlignment="1" applyProtection="1">
      <alignment horizontal="left"/>
    </xf>
    <xf numFmtId="182" fontId="55" fillId="0" borderId="0" xfId="59" applyNumberFormat="1" applyFont="1" applyFill="1" applyAlignment="1" applyProtection="1">
      <alignment horizontal="right"/>
    </xf>
    <xf numFmtId="10" fontId="55" fillId="0" borderId="0" xfId="211" applyNumberFormat="1" applyFont="1" applyFill="1" applyAlignment="1" applyProtection="1">
      <alignment horizontal="left"/>
    </xf>
    <xf numFmtId="173" fontId="55" fillId="0" borderId="0" xfId="59" applyNumberFormat="1" applyFont="1" applyFill="1" applyAlignment="1" applyProtection="1">
      <alignment horizontal="right"/>
    </xf>
    <xf numFmtId="0" fontId="55" fillId="0" borderId="0" xfId="188" applyFont="1" applyFill="1" applyAlignment="1" applyProtection="1"/>
    <xf numFmtId="173" fontId="55" fillId="0" borderId="8" xfId="59" applyNumberFormat="1" applyFont="1" applyFill="1" applyBorder="1" applyAlignment="1" applyProtection="1">
      <alignment horizontal="right"/>
    </xf>
    <xf numFmtId="166" fontId="55" fillId="0" borderId="0" xfId="188" applyNumberFormat="1" applyFont="1" applyFill="1" applyAlignment="1" applyProtection="1"/>
    <xf numFmtId="167" fontId="55" fillId="0" borderId="0" xfId="211" applyNumberFormat="1" applyFont="1" applyFill="1" applyAlignment="1" applyProtection="1"/>
    <xf numFmtId="166" fontId="55" fillId="0" borderId="0" xfId="211" applyNumberFormat="1" applyFont="1" applyFill="1" applyAlignment="1" applyProtection="1"/>
    <xf numFmtId="166" fontId="55" fillId="0" borderId="0" xfId="188" applyNumberFormat="1" applyFont="1" applyFill="1" applyAlignment="1" applyProtection="1">
      <alignment horizontal="center"/>
    </xf>
    <xf numFmtId="173" fontId="55" fillId="0" borderId="14" xfId="59" applyNumberFormat="1" applyFont="1" applyFill="1" applyBorder="1" applyAlignment="1" applyProtection="1"/>
    <xf numFmtId="0" fontId="55" fillId="0" borderId="0" xfId="188" applyNumberFormat="1" applyFont="1" applyFill="1" applyAlignment="1" applyProtection="1"/>
    <xf numFmtId="172" fontId="55" fillId="0" borderId="0" xfId="211" applyFont="1" applyFill="1" applyAlignment="1" applyProtection="1">
      <alignment horizontal="center"/>
    </xf>
    <xf numFmtId="172" fontId="55" fillId="0" borderId="0" xfId="211" applyFont="1" applyFill="1" applyAlignment="1" applyProtection="1">
      <alignment horizontal="right"/>
    </xf>
    <xf numFmtId="0" fontId="85" fillId="0" borderId="0" xfId="211" applyNumberFormat="1" applyFont="1" applyFill="1" applyAlignment="1" applyProtection="1">
      <alignment horizontal="center"/>
    </xf>
    <xf numFmtId="3" fontId="85" fillId="0" borderId="0" xfId="211" applyNumberFormat="1" applyFont="1" applyFill="1" applyAlignment="1" applyProtection="1"/>
    <xf numFmtId="172" fontId="85" fillId="0" borderId="0" xfId="0" applyFont="1" applyFill="1" applyAlignment="1" applyProtection="1"/>
    <xf numFmtId="0" fontId="55" fillId="0" borderId="8" xfId="211" applyNumberFormat="1" applyFont="1" applyFill="1" applyBorder="1" applyProtection="1"/>
    <xf numFmtId="3" fontId="55" fillId="0" borderId="8" xfId="211" applyNumberFormat="1" applyFont="1" applyFill="1" applyBorder="1" applyAlignment="1" applyProtection="1"/>
    <xf numFmtId="3" fontId="55" fillId="0" borderId="8" xfId="211" applyNumberFormat="1" applyFont="1" applyFill="1" applyBorder="1" applyAlignment="1" applyProtection="1">
      <alignment horizontal="center"/>
    </xf>
    <xf numFmtId="170" fontId="55" fillId="0" borderId="0" xfId="266" applyNumberFormat="1" applyFont="1" applyFill="1" applyAlignment="1" applyProtection="1"/>
    <xf numFmtId="4" fontId="55" fillId="0" borderId="0" xfId="211" applyNumberFormat="1" applyFont="1" applyFill="1" applyAlignment="1" applyProtection="1"/>
    <xf numFmtId="3" fontId="55" fillId="0" borderId="0" xfId="188" applyNumberFormat="1" applyFont="1" applyFill="1" applyBorder="1" applyAlignment="1" applyProtection="1">
      <alignment horizontal="center"/>
    </xf>
    <xf numFmtId="0" fontId="55" fillId="0" borderId="8" xfId="188" applyNumberFormat="1" applyFont="1" applyFill="1" applyBorder="1" applyAlignment="1" applyProtection="1">
      <alignment horizontal="center"/>
    </xf>
    <xf numFmtId="0" fontId="55" fillId="0" borderId="0" xfId="188" applyNumberFormat="1" applyFont="1" applyFill="1" applyAlignment="1" applyProtection="1">
      <alignment horizontal="center"/>
    </xf>
    <xf numFmtId="10" fontId="55" fillId="0" borderId="8" xfId="266" applyNumberFormat="1" applyFont="1" applyFill="1" applyBorder="1" applyAlignment="1" applyProtection="1">
      <alignment horizontal="center"/>
    </xf>
    <xf numFmtId="168" fontId="55" fillId="0" borderId="0" xfId="211" applyNumberFormat="1" applyFont="1" applyFill="1" applyAlignment="1" applyProtection="1"/>
    <xf numFmtId="169" fontId="55" fillId="0" borderId="0" xfId="211" applyNumberFormat="1" applyFont="1" applyFill="1" applyAlignment="1" applyProtection="1">
      <alignment horizontal="right"/>
    </xf>
    <xf numFmtId="3"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xf>
    <xf numFmtId="10" fontId="55" fillId="0" borderId="0" xfId="266" applyNumberFormat="1" applyFont="1" applyFill="1" applyAlignment="1" applyProtection="1">
      <alignment vertical="top"/>
    </xf>
    <xf numFmtId="43" fontId="55" fillId="0" borderId="0" xfId="59" applyFont="1" applyFill="1" applyAlignment="1" applyProtection="1">
      <alignment vertical="top"/>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applyNumberFormat="1" applyFont="1" applyFill="1" applyAlignment="1" applyProtection="1">
      <alignment vertical="top"/>
    </xf>
    <xf numFmtId="172" fontId="55" fillId="0" borderId="0" xfId="0" applyFont="1" applyFill="1" applyAlignment="1" applyProtection="1">
      <alignment vertical="top"/>
    </xf>
    <xf numFmtId="0" fontId="55" fillId="0" borderId="0" xfId="388" applyFont="1" applyFill="1" applyAlignment="1" applyProtection="1">
      <alignment vertical="center"/>
    </xf>
    <xf numFmtId="172" fontId="55" fillId="0" borderId="0" xfId="201" applyFont="1" applyFill="1" applyBorder="1" applyAlignment="1" applyProtection="1"/>
    <xf numFmtId="172" fontId="55" fillId="0" borderId="0" xfId="201" applyFont="1" applyFill="1" applyBorder="1" applyAlignment="1" applyProtection="1">
      <alignment horizontal="right"/>
    </xf>
    <xf numFmtId="0" fontId="55" fillId="0" borderId="0" xfId="201" applyNumberFormat="1" applyFont="1" applyFill="1" applyBorder="1" applyAlignment="1" applyProtection="1"/>
    <xf numFmtId="0" fontId="55" fillId="0" borderId="0" xfId="201" applyNumberFormat="1" applyFont="1" applyFill="1" applyBorder="1" applyAlignment="1" applyProtection="1">
      <alignment horizontal="center"/>
    </xf>
    <xf numFmtId="0" fontId="55" fillId="0" borderId="0" xfId="201" applyNumberFormat="1" applyFont="1" applyFill="1" applyBorder="1" applyProtection="1"/>
    <xf numFmtId="0" fontId="55" fillId="0" borderId="0" xfId="201" applyNumberFormat="1" applyFont="1" applyFill="1" applyAlignment="1" applyProtection="1">
      <alignment horizontal="right"/>
    </xf>
    <xf numFmtId="173" fontId="87" fillId="0" borderId="0" xfId="59" applyNumberFormat="1" applyFont="1" applyFill="1" applyBorder="1" applyProtection="1"/>
    <xf numFmtId="3" fontId="55" fillId="0" borderId="0" xfId="201" applyNumberFormat="1" applyFont="1" applyFill="1" applyBorder="1" applyAlignment="1" applyProtection="1"/>
    <xf numFmtId="0" fontId="87" fillId="0" borderId="0" xfId="201" applyNumberFormat="1" applyFont="1" applyFill="1" applyBorder="1" applyAlignment="1" applyProtection="1">
      <alignment horizontal="center"/>
    </xf>
    <xf numFmtId="0" fontId="87" fillId="0" borderId="0" xfId="201" applyNumberFormat="1" applyFont="1" applyFill="1" applyBorder="1" applyProtection="1"/>
    <xf numFmtId="49" fontId="55" fillId="0" borderId="0" xfId="201" applyNumberFormat="1" applyFont="1" applyFill="1" applyBorder="1" applyProtection="1"/>
    <xf numFmtId="3" fontId="55" fillId="0" borderId="0" xfId="201" applyNumberFormat="1" applyFont="1" applyFill="1" applyBorder="1" applyProtection="1"/>
    <xf numFmtId="49" fontId="55" fillId="0" borderId="0" xfId="201" applyNumberFormat="1" applyFont="1" applyFill="1" applyBorder="1" applyAlignment="1" applyProtection="1">
      <alignment horizontal="center"/>
    </xf>
    <xf numFmtId="3" fontId="62" fillId="0" borderId="0" xfId="201"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xf>
    <xf numFmtId="172" fontId="62" fillId="0" borderId="0" xfId="201" applyFont="1" applyFill="1" applyBorder="1" applyAlignment="1" applyProtection="1">
      <alignment horizontal="center"/>
    </xf>
    <xf numFmtId="0" fontId="62" fillId="0" borderId="0" xfId="201" applyNumberFormat="1" applyFont="1" applyFill="1" applyBorder="1" applyAlignment="1" applyProtection="1">
      <alignment horizontal="center"/>
    </xf>
    <xf numFmtId="0" fontId="62"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left"/>
    </xf>
    <xf numFmtId="43" fontId="55" fillId="0" borderId="0" xfId="59" applyNumberFormat="1" applyFont="1" applyFill="1" applyBorder="1" applyAlignment="1" applyProtection="1"/>
    <xf numFmtId="43" fontId="76" fillId="0" borderId="0" xfId="59" applyNumberFormat="1" applyFont="1" applyFill="1" applyBorder="1" applyAlignment="1" applyProtection="1"/>
    <xf numFmtId="10" fontId="76" fillId="0" borderId="0" xfId="266" applyNumberFormat="1" applyFont="1" applyFill="1" applyBorder="1" applyAlignment="1" applyProtection="1"/>
    <xf numFmtId="10" fontId="62" fillId="0" borderId="0" xfId="201" applyNumberFormat="1" applyFont="1" applyFill="1" applyBorder="1" applyAlignment="1" applyProtection="1"/>
    <xf numFmtId="3" fontId="62" fillId="0" borderId="0" xfId="201" applyNumberFormat="1" applyFont="1" applyFill="1" applyBorder="1" applyAlignment="1" applyProtection="1"/>
    <xf numFmtId="165" fontId="62" fillId="0" borderId="0" xfId="201" applyNumberFormat="1" applyFont="1" applyFill="1" applyBorder="1" applyAlignment="1" applyProtection="1"/>
    <xf numFmtId="10" fontId="55" fillId="0" borderId="0" xfId="201" applyNumberFormat="1" applyFont="1" applyFill="1" applyBorder="1" applyAlignment="1" applyProtection="1"/>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center"/>
    </xf>
    <xf numFmtId="43" fontId="55" fillId="0" borderId="0" xfId="59" applyFont="1" applyFill="1" applyBorder="1" applyAlignment="1" applyProtection="1">
      <alignment horizontal="center"/>
    </xf>
    <xf numFmtId="49" fontId="62" fillId="0" borderId="0" xfId="201" applyNumberFormat="1" applyFont="1" applyFill="1" applyBorder="1" applyAlignment="1" applyProtection="1">
      <alignment horizontal="center"/>
    </xf>
    <xf numFmtId="172" fontId="62" fillId="0" borderId="0" xfId="201" applyFont="1" applyFill="1" applyBorder="1" applyAlignment="1" applyProtection="1"/>
    <xf numFmtId="3" fontId="62" fillId="0" borderId="0" xfId="201" applyNumberFormat="1" applyFont="1" applyFill="1" applyBorder="1" applyAlignment="1" applyProtection="1">
      <alignment horizontal="left"/>
    </xf>
    <xf numFmtId="43" fontId="62" fillId="0" borderId="0" xfId="59" applyNumberFormat="1" applyFont="1" applyFill="1" applyBorder="1" applyAlignment="1" applyProtection="1"/>
    <xf numFmtId="10" fontId="62" fillId="0" borderId="0" xfId="266" applyNumberFormat="1" applyFont="1" applyFill="1" applyBorder="1" applyAlignment="1" applyProtection="1"/>
    <xf numFmtId="0" fontId="55" fillId="0" borderId="0" xfId="201" applyNumberFormat="1" applyFont="1" applyFill="1" applyBorder="1" applyAlignment="1" applyProtection="1">
      <alignment horizontal="fill"/>
    </xf>
    <xf numFmtId="172" fontId="86" fillId="0" borderId="0" xfId="201" applyFont="1" applyFill="1" applyBorder="1" applyAlignment="1" applyProtection="1"/>
    <xf numFmtId="3" fontId="86" fillId="0" borderId="0" xfId="201" applyNumberFormat="1" applyFont="1" applyFill="1" applyBorder="1" applyAlignment="1" applyProtection="1"/>
    <xf numFmtId="164" fontId="55" fillId="0" borderId="0" xfId="201" applyNumberFormat="1" applyFont="1" applyFill="1" applyBorder="1" applyAlignment="1" applyProtection="1">
      <alignment horizontal="left"/>
    </xf>
    <xf numFmtId="164" fontId="55" fillId="0" borderId="0" xfId="201" applyNumberFormat="1" applyFont="1" applyFill="1" applyBorder="1" applyAlignment="1" applyProtection="1">
      <alignment horizontal="center"/>
    </xf>
    <xf numFmtId="169" fontId="55" fillId="0" borderId="0" xfId="201" applyNumberFormat="1" applyFont="1" applyFill="1" applyBorder="1" applyAlignment="1" applyProtection="1"/>
    <xf numFmtId="0" fontId="86" fillId="0" borderId="0" xfId="201" applyNumberFormat="1" applyFont="1" applyFill="1" applyBorder="1" applyProtection="1"/>
    <xf numFmtId="49" fontId="55" fillId="0" borderId="0" xfId="201" applyNumberFormat="1" applyFont="1" applyFill="1" applyBorder="1" applyAlignment="1" applyProtection="1">
      <alignment horizontal="left"/>
    </xf>
    <xf numFmtId="0" fontId="55" fillId="0" borderId="0" xfId="201" applyNumberFormat="1" applyFont="1" applyFill="1" applyBorder="1" applyAlignment="1" applyProtection="1">
      <alignment horizontal="right"/>
    </xf>
    <xf numFmtId="175" fontId="62" fillId="0" borderId="0" xfId="201" applyNumberFormat="1" applyFont="1" applyFill="1" applyBorder="1" applyAlignment="1" applyProtection="1">
      <alignment horizontal="center"/>
    </xf>
    <xf numFmtId="175" fontId="62" fillId="0" borderId="0" xfId="201" quotePrefix="1" applyNumberFormat="1" applyFont="1" applyFill="1" applyBorder="1" applyAlignment="1" applyProtection="1">
      <alignment horizontal="center"/>
    </xf>
    <xf numFmtId="172" fontId="62" fillId="0" borderId="16" xfId="201" applyFont="1" applyFill="1" applyBorder="1" applyAlignment="1" applyProtection="1">
      <alignment horizontal="center" wrapText="1"/>
    </xf>
    <xf numFmtId="172" fontId="62" fillId="0" borderId="7" xfId="201" applyFont="1" applyFill="1" applyBorder="1" applyAlignment="1" applyProtection="1"/>
    <xf numFmtId="172" fontId="62" fillId="0" borderId="3" xfId="201" applyFont="1" applyFill="1" applyBorder="1" applyAlignment="1" applyProtection="1"/>
    <xf numFmtId="172" fontId="62" fillId="0" borderId="7" xfId="201" applyFont="1" applyFill="1" applyBorder="1" applyAlignment="1" applyProtection="1">
      <alignment horizontal="center" wrapText="1"/>
    </xf>
    <xf numFmtId="0" fontId="62" fillId="0" borderId="7" xfId="201" applyNumberFormat="1" applyFont="1" applyFill="1" applyBorder="1" applyAlignment="1" applyProtection="1">
      <alignment horizontal="center" wrapText="1"/>
    </xf>
    <xf numFmtId="172" fontId="62" fillId="0" borderId="9" xfId="201" applyFont="1" applyFill="1" applyBorder="1" applyAlignment="1" applyProtection="1">
      <alignment horizontal="center" wrapText="1"/>
    </xf>
    <xf numFmtId="3" fontId="62" fillId="0" borderId="9" xfId="201" applyNumberFormat="1" applyFont="1" applyFill="1" applyBorder="1" applyAlignment="1" applyProtection="1">
      <alignment horizontal="center" wrapText="1"/>
    </xf>
    <xf numFmtId="0" fontId="55" fillId="0" borderId="16" xfId="201" applyNumberFormat="1" applyFont="1" applyFill="1" applyBorder="1" applyProtection="1"/>
    <xf numFmtId="0" fontId="55" fillId="0" borderId="7" xfId="201" applyNumberFormat="1" applyFont="1" applyFill="1" applyBorder="1" applyProtection="1"/>
    <xf numFmtId="0" fontId="55" fillId="0" borderId="7"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wrapText="1"/>
    </xf>
    <xf numFmtId="0" fontId="55" fillId="0" borderId="7"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xf>
    <xf numFmtId="0" fontId="55" fillId="0" borderId="10" xfId="201" applyNumberFormat="1" applyFont="1" applyFill="1" applyBorder="1" applyProtection="1"/>
    <xf numFmtId="0" fontId="55" fillId="0" borderId="11" xfId="201" applyNumberFormat="1" applyFont="1" applyFill="1" applyBorder="1" applyProtection="1"/>
    <xf numFmtId="0" fontId="55" fillId="0" borderId="19" xfId="201" applyNumberFormat="1" applyFont="1" applyFill="1" applyBorder="1" applyProtection="1"/>
    <xf numFmtId="0" fontId="55" fillId="0" borderId="22" xfId="201" applyNumberFormat="1" applyFont="1" applyFill="1" applyBorder="1" applyProtection="1"/>
    <xf numFmtId="3" fontId="55" fillId="0" borderId="11" xfId="201" applyNumberFormat="1" applyFont="1" applyFill="1" applyBorder="1" applyAlignment="1" applyProtection="1"/>
    <xf numFmtId="172" fontId="55" fillId="0" borderId="10" xfId="209" applyFont="1" applyFill="1" applyBorder="1" applyAlignment="1" applyProtection="1"/>
    <xf numFmtId="172" fontId="55" fillId="0" borderId="0" xfId="209" applyFont="1" applyFill="1" applyBorder="1" applyAlignment="1" applyProtection="1"/>
    <xf numFmtId="0" fontId="55" fillId="0" borderId="0" xfId="59" applyNumberFormat="1" applyFont="1" applyFill="1" applyBorder="1" applyAlignment="1" applyProtection="1"/>
    <xf numFmtId="174" fontId="55" fillId="0" borderId="0" xfId="93" applyNumberFormat="1" applyFont="1" applyFill="1" applyBorder="1" applyAlignment="1" applyProtection="1"/>
    <xf numFmtId="43" fontId="55" fillId="0" borderId="11" xfId="59" applyFont="1" applyFill="1" applyBorder="1" applyAlignment="1" applyProtection="1"/>
    <xf numFmtId="173" fontId="55" fillId="0" borderId="11" xfId="59" applyNumberFormat="1" applyFont="1" applyFill="1" applyBorder="1" applyAlignment="1" applyProtection="1"/>
    <xf numFmtId="173" fontId="55" fillId="0" borderId="10" xfId="59" applyNumberFormat="1" applyFont="1" applyFill="1" applyBorder="1" applyAlignment="1" applyProtection="1"/>
    <xf numFmtId="173" fontId="55" fillId="16" borderId="11" xfId="59" applyNumberFormat="1" applyFont="1" applyFill="1" applyBorder="1" applyAlignment="1" applyProtection="1"/>
    <xf numFmtId="172" fontId="55" fillId="0" borderId="10" xfId="201" applyFont="1" applyFill="1" applyBorder="1" applyAlignment="1" applyProtection="1"/>
    <xf numFmtId="172" fontId="55" fillId="0" borderId="17" xfId="201" applyFont="1" applyFill="1" applyBorder="1" applyAlignment="1" applyProtection="1"/>
    <xf numFmtId="172" fontId="55" fillId="0" borderId="1" xfId="201" applyFont="1" applyFill="1" applyBorder="1" applyAlignment="1" applyProtection="1"/>
    <xf numFmtId="172" fontId="55" fillId="0" borderId="15" xfId="201" applyFont="1" applyFill="1" applyBorder="1" applyAlignment="1" applyProtection="1"/>
    <xf numFmtId="173" fontId="55" fillId="0" borderId="15" xfId="59" applyNumberFormat="1" applyFont="1" applyFill="1" applyBorder="1" applyAlignment="1" applyProtection="1"/>
    <xf numFmtId="173" fontId="84" fillId="0" borderId="15" xfId="59" applyNumberFormat="1" applyFont="1" applyFill="1" applyBorder="1" applyAlignment="1" applyProtection="1"/>
    <xf numFmtId="1" fontId="55" fillId="0" borderId="0" xfId="59" applyNumberFormat="1" applyFont="1" applyFill="1" applyBorder="1" applyAlignment="1" applyProtection="1">
      <alignment horizontal="center"/>
    </xf>
    <xf numFmtId="172" fontId="55" fillId="0" borderId="8" xfId="201" applyFont="1" applyFill="1" applyBorder="1" applyAlignment="1" applyProtection="1"/>
    <xf numFmtId="172" fontId="55" fillId="0" borderId="0" xfId="201" applyFont="1" applyFill="1" applyBorder="1" applyAlignment="1" applyProtection="1">
      <alignment horizontal="center" vertical="top"/>
    </xf>
    <xf numFmtId="172" fontId="101" fillId="0" borderId="0" xfId="201" applyFont="1" applyFill="1" applyBorder="1" applyAlignment="1" applyProtection="1"/>
    <xf numFmtId="173" fontId="45" fillId="0" borderId="0" xfId="59" applyNumberFormat="1" applyFont="1" applyAlignment="1" applyProtection="1"/>
    <xf numFmtId="0" fontId="45" fillId="0" borderId="0" xfId="201" applyNumberFormat="1" applyFont="1" applyFill="1" applyBorder="1" applyAlignment="1" applyProtection="1"/>
    <xf numFmtId="0" fontId="45" fillId="0" borderId="0" xfId="201" applyNumberFormat="1" applyFont="1" applyFill="1" applyBorder="1" applyAlignment="1" applyProtection="1">
      <alignment horizontal="center"/>
    </xf>
    <xf numFmtId="0" fontId="45" fillId="0" borderId="0" xfId="201" applyNumberFormat="1" applyFont="1" applyFill="1" applyAlignment="1" applyProtection="1">
      <alignment horizontal="right"/>
    </xf>
    <xf numFmtId="3" fontId="45" fillId="0" borderId="0" xfId="201" applyNumberFormat="1" applyFont="1" applyFill="1" applyBorder="1" applyAlignment="1" applyProtection="1"/>
    <xf numFmtId="0" fontId="45" fillId="0" borderId="0" xfId="201" applyNumberFormat="1" applyFont="1" applyFill="1" applyBorder="1" applyProtection="1"/>
    <xf numFmtId="172" fontId="45" fillId="0" borderId="0" xfId="201" applyFont="1" applyFill="1" applyBorder="1" applyAlignment="1" applyProtection="1"/>
    <xf numFmtId="173" fontId="45" fillId="0" borderId="0" xfId="59" applyNumberFormat="1" applyFont="1" applyFill="1" applyAlignment="1" applyProtection="1"/>
    <xf numFmtId="0" fontId="45" fillId="0" borderId="0" xfId="211" applyNumberFormat="1" applyFont="1" applyFill="1" applyAlignment="1" applyProtection="1">
      <alignment horizontal="center"/>
    </xf>
    <xf numFmtId="169" fontId="45" fillId="0" borderId="0" xfId="0" applyNumberFormat="1" applyFont="1" applyAlignment="1" applyProtection="1"/>
    <xf numFmtId="173" fontId="45" fillId="0" borderId="0" xfId="59" applyNumberFormat="1" applyFont="1" applyAlignment="1" applyProtection="1">
      <alignment horizontal="center"/>
    </xf>
    <xf numFmtId="0" fontId="45" fillId="0" borderId="0" xfId="211" applyNumberFormat="1" applyFont="1" applyAlignment="1" applyProtection="1"/>
    <xf numFmtId="3" fontId="45" fillId="0" borderId="0" xfId="211" applyNumberFormat="1" applyFont="1" applyAlignment="1" applyProtection="1"/>
    <xf numFmtId="3" fontId="45" fillId="0" borderId="8" xfId="211" applyNumberFormat="1" applyFont="1" applyBorder="1" applyAlignment="1" applyProtection="1">
      <alignment horizontal="center"/>
    </xf>
    <xf numFmtId="3" fontId="45" fillId="0" borderId="0" xfId="211" applyNumberFormat="1" applyFont="1" applyAlignment="1" applyProtection="1">
      <alignment horizontal="center"/>
    </xf>
    <xf numFmtId="0" fontId="45" fillId="0" borderId="8" xfId="211" applyNumberFormat="1" applyFont="1" applyBorder="1" applyAlignment="1" applyProtection="1">
      <alignment horizontal="center"/>
    </xf>
    <xf numFmtId="172" fontId="45" fillId="0" borderId="0" xfId="211" applyFont="1" applyFill="1" applyAlignment="1" applyProtection="1"/>
    <xf numFmtId="173" fontId="45" fillId="0" borderId="0" xfId="59" applyNumberFormat="1" applyFont="1" applyFill="1" applyAlignment="1" applyProtection="1">
      <alignment horizontal="center"/>
    </xf>
    <xf numFmtId="170" fontId="45" fillId="0" borderId="0" xfId="266" applyNumberFormat="1" applyFont="1" applyFill="1" applyAlignment="1" applyProtection="1">
      <alignment horizontal="center"/>
    </xf>
    <xf numFmtId="43" fontId="45" fillId="0" borderId="0" xfId="59" applyFont="1" applyAlignment="1" applyProtection="1"/>
    <xf numFmtId="10" fontId="45" fillId="0" borderId="0" xfId="266" applyNumberFormat="1" applyFont="1" applyFill="1" applyAlignment="1" applyProtection="1">
      <alignment horizontal="center"/>
    </xf>
    <xf numFmtId="170" fontId="45" fillId="0" borderId="0" xfId="266" applyNumberFormat="1" applyFont="1" applyAlignment="1" applyProtection="1"/>
    <xf numFmtId="172" fontId="45" fillId="0" borderId="0" xfId="211" applyFont="1" applyFill="1" applyAlignment="1" applyProtection="1">
      <alignment wrapText="1"/>
    </xf>
    <xf numFmtId="170" fontId="45" fillId="0" borderId="8" xfId="266" applyNumberFormat="1" applyFont="1" applyBorder="1" applyAlignment="1" applyProtection="1"/>
    <xf numFmtId="172" fontId="45" fillId="0" borderId="0" xfId="211" applyFont="1" applyAlignment="1" applyProtection="1"/>
    <xf numFmtId="43" fontId="45" fillId="0" borderId="0" xfId="59" applyFont="1" applyFill="1" applyAlignment="1" applyProtection="1">
      <alignment horizontal="center"/>
    </xf>
    <xf numFmtId="3" fontId="45" fillId="0" borderId="0" xfId="211" applyNumberFormat="1" applyFont="1" applyFill="1" applyAlignment="1" applyProtection="1"/>
    <xf numFmtId="166" fontId="45" fillId="0" borderId="0" xfId="211" applyNumberFormat="1" applyFont="1" applyAlignment="1" applyProtection="1">
      <alignment horizontal="center"/>
    </xf>
    <xf numFmtId="164" fontId="45" fillId="0" borderId="0" xfId="211" applyNumberFormat="1" applyFont="1" applyAlignment="1" applyProtection="1">
      <alignment horizontal="left"/>
    </xf>
    <xf numFmtId="274" fontId="45" fillId="0" borderId="0" xfId="266" applyNumberFormat="1" applyFont="1" applyFill="1" applyAlignment="1" applyProtection="1">
      <alignment horizontal="right"/>
    </xf>
    <xf numFmtId="182" fontId="45" fillId="0" borderId="0" xfId="59" applyNumberFormat="1" applyFont="1" applyFill="1" applyAlignment="1" applyProtection="1">
      <alignment horizontal="right"/>
    </xf>
    <xf numFmtId="0" fontId="45" fillId="0" borderId="0" xfId="211" applyNumberFormat="1" applyFont="1" applyFill="1" applyAlignment="1" applyProtection="1"/>
    <xf numFmtId="164" fontId="45" fillId="0" borderId="0" xfId="211" applyNumberFormat="1" applyFont="1" applyFill="1" applyAlignment="1" applyProtection="1">
      <alignment horizontal="left"/>
    </xf>
    <xf numFmtId="173" fontId="45" fillId="0" borderId="0" xfId="59" applyNumberFormat="1" applyFont="1" applyFill="1" applyAlignment="1" applyProtection="1">
      <alignment horizontal="right"/>
    </xf>
    <xf numFmtId="173" fontId="45" fillId="0" borderId="0" xfId="59" applyNumberFormat="1" applyFont="1" applyBorder="1" applyAlignment="1" applyProtection="1"/>
    <xf numFmtId="10" fontId="45" fillId="0" borderId="0" xfId="211" applyNumberFormat="1" applyFont="1" applyFill="1" applyAlignment="1" applyProtection="1">
      <alignment horizontal="left"/>
    </xf>
    <xf numFmtId="173" fontId="45" fillId="0" borderId="0" xfId="59" applyNumberFormat="1" applyFont="1" applyAlignment="1" applyProtection="1">
      <alignment horizontal="right"/>
    </xf>
    <xf numFmtId="3" fontId="45" fillId="0" borderId="0" xfId="188" applyNumberFormat="1" applyFont="1" applyAlignment="1" applyProtection="1"/>
    <xf numFmtId="166" fontId="45" fillId="0" borderId="0" xfId="188" applyNumberFormat="1" applyFont="1" applyAlignment="1" applyProtection="1"/>
    <xf numFmtId="0" fontId="45" fillId="0" borderId="0" xfId="188" applyFont="1" applyAlignment="1" applyProtection="1"/>
    <xf numFmtId="173" fontId="45" fillId="0" borderId="1" xfId="59" applyNumberFormat="1" applyFont="1" applyBorder="1" applyAlignment="1" applyProtection="1">
      <alignment horizontal="right"/>
    </xf>
    <xf numFmtId="173" fontId="45" fillId="0" borderId="0" xfId="0" applyNumberFormat="1" applyFont="1" applyAlignment="1" applyProtection="1"/>
    <xf numFmtId="173" fontId="45" fillId="0" borderId="1" xfId="59" applyNumberFormat="1" applyFont="1" applyBorder="1" applyAlignment="1" applyProtection="1"/>
    <xf numFmtId="173" fontId="45" fillId="0" borderId="0" xfId="59" applyNumberFormat="1" applyFont="1" applyAlignment="1" applyProtection="1">
      <alignment horizontal="left" indent="2"/>
    </xf>
    <xf numFmtId="182" fontId="45" fillId="0" borderId="0" xfId="59" applyNumberFormat="1" applyFont="1" applyAlignment="1" applyProtection="1"/>
    <xf numFmtId="173" fontId="45" fillId="0" borderId="8" xfId="59" applyNumberFormat="1" applyFont="1" applyBorder="1" applyAlignment="1" applyProtection="1"/>
    <xf numFmtId="0" fontId="55" fillId="0" borderId="0" xfId="59" applyNumberFormat="1" applyFont="1" applyFill="1" applyBorder="1" applyAlignment="1" applyProtection="1">
      <alignment horizontal="center"/>
    </xf>
    <xf numFmtId="0" fontId="55" fillId="0" borderId="0" xfId="208" applyNumberFormat="1" applyFont="1" applyFill="1" applyBorder="1" applyAlignment="1" applyProtection="1">
      <alignment horizontal="center"/>
    </xf>
    <xf numFmtId="0" fontId="55" fillId="0" borderId="0" xfId="59" applyNumberFormat="1" applyFont="1" applyFill="1" applyAlignment="1" applyProtection="1">
      <alignment horizontal="center"/>
    </xf>
    <xf numFmtId="172" fontId="55" fillId="0" borderId="0" xfId="0" applyFont="1" applyFill="1" applyAlignment="1" applyProtection="1">
      <alignment horizontal="center"/>
    </xf>
    <xf numFmtId="172" fontId="55" fillId="0" borderId="19" xfId="0" applyFont="1" applyFill="1" applyBorder="1" applyProtection="1"/>
    <xf numFmtId="172" fontId="55" fillId="0" borderId="22" xfId="0" applyFont="1" applyFill="1" applyBorder="1" applyAlignment="1" applyProtection="1">
      <alignment horizontal="center"/>
    </xf>
    <xf numFmtId="172" fontId="55" fillId="0" borderId="3" xfId="0" applyFont="1" applyFill="1" applyBorder="1" applyProtection="1"/>
    <xf numFmtId="172" fontId="55" fillId="0" borderId="20" xfId="0" applyFont="1" applyFill="1" applyBorder="1" applyProtection="1"/>
    <xf numFmtId="172" fontId="55" fillId="0" borderId="17" xfId="0" applyFont="1" applyFill="1" applyBorder="1" applyAlignment="1" applyProtection="1">
      <alignment horizontal="center"/>
    </xf>
    <xf numFmtId="172" fontId="55" fillId="0" borderId="15" xfId="0" applyFont="1" applyFill="1" applyBorder="1" applyAlignment="1" applyProtection="1">
      <alignment horizontal="center"/>
    </xf>
    <xf numFmtId="172" fontId="55" fillId="0" borderId="17" xfId="0" applyFont="1" applyFill="1" applyBorder="1" applyAlignment="1" applyProtection="1"/>
    <xf numFmtId="172" fontId="55" fillId="0" borderId="1" xfId="0" applyFont="1" applyFill="1" applyBorder="1" applyAlignment="1" applyProtection="1"/>
    <xf numFmtId="172" fontId="55" fillId="0" borderId="21" xfId="0" applyFont="1" applyFill="1" applyBorder="1" applyAlignment="1" applyProtection="1"/>
    <xf numFmtId="172" fontId="55" fillId="0" borderId="22" xfId="0" applyFont="1" applyFill="1" applyBorder="1" applyProtection="1"/>
    <xf numFmtId="174" fontId="55" fillId="0" borderId="10" xfId="93" applyNumberFormat="1" applyFont="1" applyFill="1" applyBorder="1" applyProtection="1"/>
    <xf numFmtId="172" fontId="55" fillId="0" borderId="11" xfId="0" applyFont="1" applyFill="1" applyBorder="1" applyProtection="1"/>
    <xf numFmtId="172" fontId="55" fillId="0" borderId="9" xfId="0" applyFont="1" applyFill="1" applyBorder="1" applyAlignment="1" applyProtection="1">
      <alignment horizontal="center"/>
    </xf>
    <xf numFmtId="172" fontId="55" fillId="0" borderId="11" xfId="0" applyFont="1" applyFill="1" applyBorder="1" applyAlignment="1" applyProtection="1">
      <alignment horizontal="center"/>
    </xf>
    <xf numFmtId="172" fontId="55" fillId="0" borderId="10" xfId="0"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15" xfId="201" applyFont="1" applyFill="1" applyBorder="1" applyAlignment="1" applyProtection="1">
      <alignment horizontal="center"/>
    </xf>
    <xf numFmtId="173" fontId="55" fillId="0" borderId="11" xfId="59" applyNumberFormat="1" applyFont="1" applyFill="1" applyBorder="1" applyAlignment="1" applyProtection="1">
      <alignment horizontal="center"/>
    </xf>
    <xf numFmtId="43" fontId="55" fillId="0" borderId="11" xfId="59" applyFont="1" applyFill="1" applyBorder="1" applyAlignment="1" applyProtection="1">
      <alignment horizontal="center"/>
    </xf>
    <xf numFmtId="172" fontId="55" fillId="0" borderId="15" xfId="0" applyFont="1" applyFill="1" applyBorder="1" applyProtection="1"/>
    <xf numFmtId="173" fontId="55" fillId="0" borderId="17" xfId="93" applyNumberFormat="1" applyFont="1" applyFill="1" applyBorder="1" applyProtection="1"/>
    <xf numFmtId="10" fontId="55" fillId="0" borderId="15" xfId="266" applyNumberFormat="1" applyFont="1" applyFill="1" applyBorder="1" applyProtection="1"/>
    <xf numFmtId="174" fontId="55" fillId="0" borderId="15" xfId="93" applyNumberFormat="1" applyFont="1" applyFill="1" applyBorder="1" applyProtection="1"/>
    <xf numFmtId="172" fontId="55" fillId="0" borderId="21" xfId="0" applyFont="1" applyFill="1" applyBorder="1" applyProtection="1"/>
    <xf numFmtId="43" fontId="55" fillId="0" borderId="0" xfId="59" applyFont="1" applyFill="1" applyProtection="1"/>
    <xf numFmtId="172" fontId="74" fillId="0" borderId="0" xfId="0" applyFont="1" applyFill="1" applyProtection="1"/>
    <xf numFmtId="172" fontId="55" fillId="0" borderId="0" xfId="201" applyFont="1" applyFill="1" applyAlignment="1" applyProtection="1"/>
    <xf numFmtId="0" fontId="62" fillId="0" borderId="0" xfId="59" applyNumberFormat="1" applyFont="1" applyFill="1" applyBorder="1" applyAlignment="1" applyProtection="1">
      <alignment horizontal="left"/>
    </xf>
    <xf numFmtId="172" fontId="55" fillId="0" borderId="1" xfId="201" applyFont="1" applyFill="1" applyBorder="1" applyAlignment="1" applyProtection="1">
      <alignment horizontal="center"/>
    </xf>
    <xf numFmtId="172" fontId="55" fillId="0" borderId="0" xfId="201" applyFont="1" applyFill="1" applyAlignment="1" applyProtection="1">
      <alignment horizontal="center"/>
    </xf>
    <xf numFmtId="172" fontId="55" fillId="0" borderId="19" xfId="201" applyFont="1" applyFill="1" applyBorder="1" applyAlignment="1" applyProtection="1">
      <alignment horizontal="center"/>
    </xf>
    <xf numFmtId="172" fontId="55" fillId="0" borderId="22" xfId="201" applyFont="1" applyFill="1" applyBorder="1" applyAlignment="1" applyProtection="1">
      <alignment horizontal="center"/>
    </xf>
    <xf numFmtId="172" fontId="55" fillId="0" borderId="10" xfId="201" applyFont="1" applyFill="1" applyBorder="1" applyAlignment="1" applyProtection="1">
      <alignment horizontal="center"/>
    </xf>
    <xf numFmtId="172" fontId="55" fillId="0" borderId="11" xfId="201" applyFont="1" applyFill="1" applyBorder="1" applyAlignment="1" applyProtection="1">
      <alignment horizontal="center"/>
    </xf>
    <xf numFmtId="172" fontId="55" fillId="0" borderId="17" xfId="201" applyFont="1" applyFill="1" applyBorder="1" applyAlignment="1" applyProtection="1">
      <alignment horizontal="center"/>
    </xf>
    <xf numFmtId="0" fontId="55" fillId="0" borderId="8" xfId="59" applyNumberFormat="1" applyFont="1" applyFill="1" applyBorder="1" applyAlignment="1" applyProtection="1">
      <alignment horizontal="center"/>
    </xf>
    <xf numFmtId="0" fontId="55" fillId="0" borderId="0" xfId="210" applyFont="1" applyFill="1" applyProtection="1"/>
    <xf numFmtId="0" fontId="55" fillId="0" borderId="0" xfId="0" applyNumberFormat="1" applyFont="1" applyFill="1" applyAlignment="1" applyProtection="1">
      <alignment horizontal="center" vertical="top"/>
    </xf>
    <xf numFmtId="173" fontId="55" fillId="0" borderId="11" xfId="59" applyNumberFormat="1" applyFont="1" applyFill="1" applyBorder="1" applyAlignment="1" applyProtection="1">
      <alignment horizontal="center"/>
      <protection locked="0"/>
    </xf>
    <xf numFmtId="43" fontId="55" fillId="0" borderId="11" xfId="59" applyFont="1" applyFill="1" applyBorder="1" applyProtection="1">
      <protection locked="0"/>
    </xf>
    <xf numFmtId="0" fontId="85" fillId="0" borderId="0" xfId="0" applyNumberFormat="1" applyFont="1" applyFill="1" applyAlignment="1" applyProtection="1">
      <alignment horizontal="center"/>
    </xf>
    <xf numFmtId="0" fontId="55" fillId="0" borderId="0" xfId="212" applyFont="1" applyFill="1" applyProtection="1"/>
    <xf numFmtId="0" fontId="55" fillId="0" borderId="0" xfId="212" applyFont="1" applyFill="1" applyAlignment="1" applyProtection="1">
      <alignment horizontal="right"/>
    </xf>
    <xf numFmtId="0" fontId="55" fillId="0" borderId="0" xfId="0" applyNumberFormat="1" applyFont="1" applyFill="1" applyAlignment="1" applyProtection="1">
      <alignment horizontal="center"/>
    </xf>
    <xf numFmtId="0" fontId="55" fillId="0" borderId="0" xfId="212" applyFont="1" applyFill="1" applyAlignment="1" applyProtection="1">
      <alignment horizontal="center"/>
    </xf>
    <xf numFmtId="172" fontId="55" fillId="0" borderId="0" xfId="0" applyFont="1" applyFill="1" applyAlignment="1" applyProtection="1">
      <alignment horizontal="right"/>
    </xf>
    <xf numFmtId="0" fontId="62" fillId="0" borderId="0" xfId="212" applyFont="1" applyFill="1" applyAlignment="1" applyProtection="1">
      <alignment horizontal="centerContinuous"/>
    </xf>
    <xf numFmtId="0" fontId="62" fillId="0" borderId="0" xfId="212" applyFont="1" applyFill="1" applyAlignment="1" applyProtection="1">
      <alignment horizontal="center"/>
    </xf>
    <xf numFmtId="0" fontId="55" fillId="0" borderId="0" xfId="0" applyNumberFormat="1" applyFont="1" applyFill="1" applyAlignment="1" applyProtection="1">
      <alignment horizontal="center" wrapText="1"/>
    </xf>
    <xf numFmtId="0" fontId="62" fillId="0" borderId="0" xfId="212" applyFont="1" applyFill="1" applyAlignment="1" applyProtection="1">
      <alignment horizontal="center" wrapText="1"/>
    </xf>
    <xf numFmtId="172" fontId="62" fillId="0" borderId="0" xfId="0" applyFont="1" applyFill="1" applyAlignment="1" applyProtection="1">
      <alignment horizontal="center" wrapText="1"/>
    </xf>
    <xf numFmtId="172" fontId="55" fillId="0" borderId="0" xfId="0" applyFont="1" applyFill="1" applyAlignment="1" applyProtection="1">
      <alignment wrapText="1"/>
    </xf>
    <xf numFmtId="0" fontId="62" fillId="0" borderId="0" xfId="206" applyFont="1" applyFill="1" applyBorder="1" applyAlignment="1" applyProtection="1">
      <alignment horizontal="center" wrapText="1"/>
    </xf>
    <xf numFmtId="0" fontId="55" fillId="0" borderId="0" xfId="192" applyFont="1" applyFill="1" applyAlignment="1" applyProtection="1">
      <alignment horizontal="left" wrapText="1"/>
    </xf>
    <xf numFmtId="37" fontId="55" fillId="0" borderId="0" xfId="59" applyNumberFormat="1" applyFont="1" applyFill="1" applyAlignment="1" applyProtection="1">
      <alignment horizontal="center"/>
    </xf>
    <xf numFmtId="37" fontId="55" fillId="0" borderId="0" xfId="59" applyNumberFormat="1" applyFont="1" applyFill="1" applyAlignment="1" applyProtection="1">
      <alignment horizontal="center" wrapText="1"/>
    </xf>
    <xf numFmtId="37" fontId="55" fillId="0" borderId="0" xfId="59" applyNumberFormat="1" applyFont="1" applyFill="1" applyBorder="1" applyAlignment="1" applyProtection="1">
      <alignment horizontal="center" wrapText="1"/>
    </xf>
    <xf numFmtId="3" fontId="55" fillId="0" borderId="0" xfId="188" applyNumberFormat="1" applyFont="1" applyFill="1" applyAlignment="1" applyProtection="1">
      <alignment horizontal="left" wrapText="1"/>
    </xf>
    <xf numFmtId="3" fontId="55" fillId="0" borderId="0" xfId="188" applyNumberFormat="1" applyFont="1" applyFill="1" applyAlignment="1" applyProtection="1">
      <alignment wrapText="1"/>
    </xf>
    <xf numFmtId="3" fontId="55" fillId="0" borderId="0" xfId="188" applyNumberFormat="1" applyFont="1" applyFill="1" applyAlignment="1" applyProtection="1">
      <alignment horizontal="center" wrapText="1"/>
    </xf>
    <xf numFmtId="0" fontId="55" fillId="0" borderId="0" xfId="212" quotePrefix="1" applyFont="1" applyFill="1" applyAlignment="1" applyProtection="1">
      <alignment horizontal="left"/>
    </xf>
    <xf numFmtId="173" fontId="55" fillId="0" borderId="14" xfId="59" applyNumberFormat="1" applyFont="1" applyFill="1" applyBorder="1" applyProtection="1"/>
    <xf numFmtId="37" fontId="55" fillId="0" borderId="0" xfId="212" applyNumberFormat="1" applyFont="1" applyFill="1" applyProtection="1"/>
    <xf numFmtId="172" fontId="55" fillId="0" borderId="0" xfId="207" applyFont="1" applyFill="1" applyAlignment="1" applyProtection="1"/>
    <xf numFmtId="0" fontId="62" fillId="0" borderId="0" xfId="212" applyFont="1" applyFill="1" applyAlignment="1" applyProtection="1">
      <alignment horizontal="centerContinuous" wrapText="1"/>
    </xf>
    <xf numFmtId="0" fontId="55" fillId="0" borderId="0" xfId="206" applyFont="1" applyFill="1" applyBorder="1" applyAlignment="1" applyProtection="1">
      <alignment horizontal="center" wrapText="1"/>
    </xf>
    <xf numFmtId="41" fontId="99" fillId="16" borderId="0" xfId="212" applyNumberFormat="1" applyFont="1" applyFill="1" applyProtection="1"/>
    <xf numFmtId="0" fontId="55" fillId="0" borderId="0" xfId="212" applyFont="1" applyFill="1" applyAlignment="1" applyProtection="1">
      <alignment horizontal="left"/>
    </xf>
    <xf numFmtId="43" fontId="55" fillId="0" borderId="14" xfId="59" applyFont="1" applyFill="1" applyBorder="1" applyProtection="1"/>
    <xf numFmtId="44" fontId="55" fillId="0" borderId="0" xfId="0" applyNumberFormat="1" applyFont="1" applyFill="1" applyBorder="1" applyAlignment="1" applyProtection="1"/>
    <xf numFmtId="0" fontId="55" fillId="0" borderId="0" xfId="187" applyFont="1" applyFill="1" applyBorder="1" applyAlignment="1" applyProtection="1"/>
    <xf numFmtId="0" fontId="55" fillId="0" borderId="0" xfId="187" applyFont="1" applyFill="1" applyBorder="1" applyAlignment="1" applyProtection="1">
      <alignment horizontal="center"/>
    </xf>
    <xf numFmtId="3" fontId="55" fillId="0" borderId="0" xfId="187" applyNumberFormat="1" applyFont="1" applyFill="1" applyBorder="1" applyAlignment="1" applyProtection="1">
      <alignment horizontal="center" wrapText="1"/>
    </xf>
    <xf numFmtId="0" fontId="55" fillId="0" borderId="0" xfId="187" applyFont="1" applyFill="1" applyBorder="1" applyAlignment="1" applyProtection="1">
      <alignment horizontal="center" wrapText="1"/>
    </xf>
    <xf numFmtId="172" fontId="85" fillId="0" borderId="0" xfId="0" applyFont="1" applyFill="1" applyBorder="1" applyAlignment="1" applyProtection="1"/>
    <xf numFmtId="10" fontId="55" fillId="0" borderId="0" xfId="59"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wrapText="1"/>
    </xf>
    <xf numFmtId="43" fontId="55" fillId="0" borderId="1" xfId="59" applyFont="1" applyFill="1" applyBorder="1" applyAlignment="1" applyProtection="1">
      <alignment horizontal="center"/>
    </xf>
    <xf numFmtId="173" fontId="55" fillId="0" borderId="1" xfId="59" applyNumberFormat="1" applyFont="1" applyFill="1" applyBorder="1" applyAlignment="1" applyProtection="1">
      <alignment horizontal="center" wrapText="1"/>
    </xf>
    <xf numFmtId="0" fontId="84" fillId="0" borderId="0" xfId="0" applyNumberFormat="1" applyFont="1" applyFill="1" applyAlignment="1" applyProtection="1">
      <alignment horizontal="center"/>
    </xf>
    <xf numFmtId="172" fontId="84" fillId="0" borderId="0" xfId="0" applyFont="1" applyFill="1" applyAlignment="1" applyProtection="1">
      <alignment horizontal="center"/>
    </xf>
    <xf numFmtId="44" fontId="84" fillId="0" borderId="0" xfId="0" applyNumberFormat="1" applyFont="1" applyFill="1" applyBorder="1" applyAlignment="1" applyProtection="1"/>
    <xf numFmtId="0" fontId="55" fillId="0" borderId="8" xfId="0" applyNumberFormat="1" applyFont="1" applyFill="1" applyBorder="1" applyAlignment="1" applyProtection="1">
      <alignment horizontal="center"/>
    </xf>
    <xf numFmtId="172" fontId="55" fillId="0" borderId="0" xfId="0" applyFont="1" applyFill="1" applyAlignment="1" applyProtection="1">
      <alignment vertical="center" wrapText="1"/>
    </xf>
    <xf numFmtId="172" fontId="55" fillId="0" borderId="0" xfId="0" applyFont="1" applyFill="1" applyAlignment="1" applyProtection="1">
      <alignment horizontal="left" vertical="center"/>
    </xf>
    <xf numFmtId="0" fontId="55" fillId="0" borderId="0" xfId="0" applyNumberFormat="1" applyFont="1" applyFill="1" applyBorder="1" applyAlignment="1" applyProtection="1">
      <alignment vertical="top"/>
    </xf>
    <xf numFmtId="0" fontId="103" fillId="0" borderId="0" xfId="389" applyFont="1" applyFill="1" applyAlignment="1" applyProtection="1">
      <alignment horizontal="center"/>
    </xf>
    <xf numFmtId="0" fontId="103" fillId="0" borderId="0" xfId="389" applyFont="1" applyFill="1" applyProtection="1"/>
    <xf numFmtId="0" fontId="51" fillId="0" borderId="0" xfId="389" applyFont="1" applyFill="1" applyProtection="1"/>
    <xf numFmtId="0" fontId="45" fillId="0" borderId="0" xfId="390" applyNumberFormat="1" applyFont="1" applyFill="1" applyAlignment="1" applyProtection="1">
      <alignment horizontal="right"/>
    </xf>
    <xf numFmtId="0" fontId="103" fillId="0" borderId="0" xfId="389" applyFont="1" applyFill="1" applyBorder="1" applyProtection="1"/>
    <xf numFmtId="49" fontId="96" fillId="0" borderId="0" xfId="390" applyNumberFormat="1" applyFont="1" applyFill="1" applyAlignment="1" applyProtection="1">
      <alignment horizontal="center"/>
    </xf>
    <xf numFmtId="0" fontId="104" fillId="0" borderId="0" xfId="389" applyFont="1" applyFill="1" applyAlignment="1" applyProtection="1"/>
    <xf numFmtId="0" fontId="105" fillId="0" borderId="0" xfId="389" applyFont="1" applyFill="1" applyAlignment="1" applyProtection="1"/>
    <xf numFmtId="0" fontId="104" fillId="0" borderId="0" xfId="389" applyFont="1" applyFill="1" applyAlignment="1" applyProtection="1">
      <alignment horizontal="center"/>
    </xf>
    <xf numFmtId="0" fontId="104" fillId="0" borderId="0" xfId="389" applyFont="1" applyFill="1" applyAlignment="1" applyProtection="1">
      <alignment horizontal="left"/>
    </xf>
    <xf numFmtId="9" fontId="103" fillId="0" borderId="0" xfId="389" applyNumberFormat="1" applyFont="1" applyFill="1" applyAlignment="1" applyProtection="1">
      <alignment horizontal="center"/>
    </xf>
    <xf numFmtId="9" fontId="104" fillId="0" borderId="0" xfId="391" applyNumberFormat="1" applyFont="1" applyFill="1" applyBorder="1" applyAlignment="1" applyProtection="1">
      <alignment horizontal="center"/>
    </xf>
    <xf numFmtId="182" fontId="103" fillId="0" borderId="0" xfId="392" applyNumberFormat="1" applyFont="1" applyFill="1" applyBorder="1" applyAlignment="1" applyProtection="1">
      <alignment horizontal="center"/>
    </xf>
    <xf numFmtId="182" fontId="103" fillId="0" borderId="0" xfId="392" applyNumberFormat="1" applyFont="1" applyFill="1" applyAlignment="1" applyProtection="1">
      <alignment horizontal="center"/>
    </xf>
    <xf numFmtId="10" fontId="103" fillId="0" borderId="0" xfId="391" applyNumberFormat="1" applyFont="1" applyFill="1" applyBorder="1" applyAlignment="1" applyProtection="1">
      <alignment horizontal="center"/>
    </xf>
    <xf numFmtId="0" fontId="45" fillId="0" borderId="0" xfId="389" applyFont="1" applyFill="1" applyBorder="1" applyProtection="1"/>
    <xf numFmtId="0" fontId="108" fillId="0" borderId="0" xfId="389" applyFont="1" applyFill="1" applyBorder="1" applyProtection="1"/>
    <xf numFmtId="10" fontId="103" fillId="0" borderId="0" xfId="391" applyNumberFormat="1" applyFont="1" applyFill="1" applyProtection="1"/>
    <xf numFmtId="182" fontId="103" fillId="0" borderId="0" xfId="392" applyNumberFormat="1" applyFont="1" applyFill="1" applyProtection="1"/>
    <xf numFmtId="0" fontId="118" fillId="0" borderId="0" xfId="393" applyFont="1" applyFill="1" applyBorder="1" applyAlignment="1" applyProtection="1">
      <alignment horizontal="center" vertical="center" wrapText="1"/>
    </xf>
    <xf numFmtId="9" fontId="103" fillId="0" borderId="0" xfId="391" applyFont="1" applyFill="1" applyProtection="1"/>
    <xf numFmtId="0" fontId="118" fillId="0" borderId="0" xfId="393" applyFont="1" applyFill="1" applyBorder="1" applyProtection="1"/>
    <xf numFmtId="0" fontId="118" fillId="0" borderId="0" xfId="393" applyFont="1" applyFill="1" applyBorder="1" applyAlignment="1" applyProtection="1">
      <alignment horizontal="left" vertical="center"/>
    </xf>
    <xf numFmtId="15" fontId="118" fillId="0" borderId="0" xfId="393" applyNumberFormat="1" applyFont="1" applyFill="1" applyBorder="1" applyAlignment="1" applyProtection="1">
      <alignment vertical="center" wrapText="1"/>
    </xf>
    <xf numFmtId="173" fontId="118" fillId="0" borderId="0" xfId="394" applyNumberFormat="1" applyFont="1" applyFill="1" applyBorder="1" applyAlignment="1" applyProtection="1">
      <alignment horizontal="right" vertical="center" wrapText="1"/>
    </xf>
    <xf numFmtId="173" fontId="118" fillId="0" borderId="0" xfId="394" applyNumberFormat="1" applyFont="1" applyFill="1" applyBorder="1" applyAlignment="1" applyProtection="1">
      <alignment vertical="center" wrapText="1"/>
    </xf>
    <xf numFmtId="10" fontId="118" fillId="0" borderId="0" xfId="391" applyNumberFormat="1" applyFont="1" applyFill="1" applyBorder="1" applyProtection="1"/>
    <xf numFmtId="43" fontId="103" fillId="0" borderId="0" xfId="392" applyFont="1" applyFill="1" applyBorder="1" applyProtection="1"/>
    <xf numFmtId="173" fontId="103" fillId="0" borderId="0" xfId="392" applyNumberFormat="1" applyFont="1" applyFill="1" applyBorder="1" applyProtection="1"/>
    <xf numFmtId="173" fontId="51" fillId="0" borderId="0" xfId="392" applyNumberFormat="1" applyFont="1" applyFill="1" applyProtection="1"/>
    <xf numFmtId="173" fontId="103" fillId="0" borderId="0" xfId="59" applyNumberFormat="1" applyFont="1" applyFill="1" applyProtection="1"/>
    <xf numFmtId="173" fontId="103" fillId="0" borderId="0" xfId="389" applyNumberFormat="1" applyFont="1" applyFill="1" applyProtection="1"/>
    <xf numFmtId="10" fontId="103" fillId="0" borderId="0" xfId="391" applyNumberFormat="1" applyFont="1" applyFill="1" applyBorder="1" applyProtection="1"/>
    <xf numFmtId="43" fontId="103" fillId="0" borderId="0" xfId="392" applyFont="1" applyFill="1" applyProtection="1"/>
    <xf numFmtId="182" fontId="45" fillId="0" borderId="0" xfId="392" applyNumberFormat="1" applyFont="1" applyFill="1" applyBorder="1" applyProtection="1"/>
    <xf numFmtId="9" fontId="45" fillId="0" borderId="0" xfId="391" applyFont="1" applyFill="1" applyBorder="1" applyProtection="1"/>
    <xf numFmtId="173" fontId="103" fillId="0" borderId="0" xfId="392" applyNumberFormat="1" applyFont="1" applyFill="1" applyProtection="1"/>
    <xf numFmtId="41" fontId="51" fillId="0" borderId="0" xfId="389" applyNumberFormat="1" applyFont="1" applyFill="1" applyProtection="1"/>
    <xf numFmtId="49" fontId="45" fillId="0" borderId="0" xfId="390" applyNumberFormat="1" applyFont="1" applyFill="1" applyAlignment="1" applyProtection="1">
      <alignment horizontal="center"/>
    </xf>
    <xf numFmtId="49" fontId="45" fillId="0" borderId="0" xfId="390" applyNumberFormat="1" applyFont="1" applyFill="1" applyAlignment="1" applyProtection="1"/>
    <xf numFmtId="0" fontId="104" fillId="0" borderId="0" xfId="389" applyFont="1" applyFill="1" applyProtection="1"/>
    <xf numFmtId="0" fontId="103" fillId="0" borderId="8" xfId="389" applyFont="1" applyFill="1" applyBorder="1" applyAlignment="1" applyProtection="1">
      <alignment horizontal="left"/>
    </xf>
    <xf numFmtId="0" fontId="103" fillId="0" borderId="0" xfId="389" applyFont="1" applyFill="1" applyAlignment="1" applyProtection="1">
      <alignment horizontal="left"/>
    </xf>
    <xf numFmtId="0" fontId="51" fillId="0" borderId="0" xfId="389" applyFont="1" applyFill="1" applyBorder="1" applyAlignment="1" applyProtection="1">
      <alignment horizontal="left"/>
    </xf>
    <xf numFmtId="0" fontId="51" fillId="0" borderId="0" xfId="389" applyFont="1" applyFill="1" applyBorder="1" applyProtection="1"/>
    <xf numFmtId="41" fontId="126" fillId="0" borderId="0" xfId="389" applyNumberFormat="1" applyFont="1" applyFill="1" applyBorder="1" applyAlignment="1" applyProtection="1">
      <alignment horizontal="center"/>
    </xf>
    <xf numFmtId="41" fontId="51" fillId="0" borderId="0" xfId="389" applyNumberFormat="1" applyFont="1" applyFill="1" applyBorder="1" applyProtection="1"/>
    <xf numFmtId="0" fontId="51" fillId="0" borderId="0" xfId="389" applyFont="1" applyFill="1" applyAlignment="1" applyProtection="1">
      <alignment horizontal="right"/>
    </xf>
    <xf numFmtId="0" fontId="51" fillId="0" borderId="0" xfId="389" applyFont="1" applyFill="1" applyBorder="1" applyAlignment="1" applyProtection="1">
      <alignment horizontal="right"/>
    </xf>
    <xf numFmtId="0" fontId="62" fillId="0" borderId="0" xfId="389" applyFont="1" applyFill="1" applyAlignment="1" applyProtection="1">
      <alignment horizontal="center"/>
    </xf>
    <xf numFmtId="41" fontId="62" fillId="0" borderId="0" xfId="389" applyNumberFormat="1" applyFont="1" applyFill="1" applyAlignment="1" applyProtection="1">
      <alignment horizontal="center"/>
    </xf>
    <xf numFmtId="41" fontId="126" fillId="0" borderId="0" xfId="389" applyNumberFormat="1" applyFont="1" applyFill="1" applyAlignment="1" applyProtection="1">
      <alignment horizontal="center"/>
    </xf>
    <xf numFmtId="0" fontId="126" fillId="0" borderId="0" xfId="389" applyFont="1" applyFill="1" applyBorder="1" applyProtection="1"/>
    <xf numFmtId="274" fontId="51" fillId="0" borderId="0" xfId="391" applyNumberFormat="1" applyFont="1" applyFill="1" applyBorder="1" applyProtection="1"/>
    <xf numFmtId="274" fontId="51" fillId="0" borderId="0" xfId="389" applyNumberFormat="1" applyFont="1" applyFill="1" applyBorder="1" applyProtection="1"/>
    <xf numFmtId="0" fontId="51" fillId="0" borderId="0" xfId="389" applyFont="1" applyFill="1" applyAlignment="1" applyProtection="1">
      <alignment horizontal="left"/>
    </xf>
    <xf numFmtId="41" fontId="51" fillId="0" borderId="0" xfId="389" applyNumberFormat="1" applyFont="1" applyFill="1" applyAlignment="1" applyProtection="1">
      <alignment horizontal="left"/>
    </xf>
    <xf numFmtId="0" fontId="126" fillId="0" borderId="0" xfId="389" applyFont="1" applyFill="1" applyProtection="1"/>
    <xf numFmtId="0" fontId="126" fillId="0" borderId="0" xfId="389" applyFont="1" applyFill="1" applyAlignment="1" applyProtection="1">
      <alignment horizontal="center"/>
    </xf>
    <xf numFmtId="0" fontId="55" fillId="0" borderId="0" xfId="389" applyFont="1" applyFill="1" applyProtection="1"/>
    <xf numFmtId="41" fontId="55" fillId="0" borderId="0" xfId="389" applyNumberFormat="1" applyFont="1" applyFill="1" applyProtection="1"/>
    <xf numFmtId="0" fontId="103" fillId="0" borderId="0" xfId="389" applyFont="1" applyFill="1" applyBorder="1" applyAlignment="1" applyProtection="1">
      <alignment horizontal="left"/>
    </xf>
    <xf numFmtId="0" fontId="62" fillId="0" borderId="9" xfId="389" applyFont="1" applyFill="1" applyBorder="1" applyProtection="1"/>
    <xf numFmtId="41" fontId="51" fillId="0" borderId="9" xfId="389" applyNumberFormat="1" applyFont="1" applyFill="1" applyBorder="1" applyProtection="1"/>
    <xf numFmtId="37" fontId="51" fillId="0" borderId="9" xfId="389" applyNumberFormat="1" applyFont="1" applyFill="1" applyBorder="1" applyProtection="1"/>
    <xf numFmtId="41" fontId="103" fillId="0" borderId="0" xfId="389" applyNumberFormat="1" applyFont="1" applyFill="1" applyProtection="1"/>
    <xf numFmtId="0" fontId="62" fillId="0" borderId="0" xfId="389" applyFont="1" applyFill="1" applyBorder="1" applyProtection="1"/>
    <xf numFmtId="41" fontId="62" fillId="0" borderId="0" xfId="389" applyNumberFormat="1" applyFont="1" applyFill="1" applyBorder="1" applyProtection="1"/>
    <xf numFmtId="41" fontId="51" fillId="0" borderId="0" xfId="389" applyNumberFormat="1" applyFont="1" applyFill="1" applyBorder="1" applyAlignment="1" applyProtection="1">
      <alignment horizontal="center"/>
    </xf>
    <xf numFmtId="37" fontId="51" fillId="0" borderId="0" xfId="389" applyNumberFormat="1" applyFont="1" applyFill="1" applyBorder="1" applyAlignment="1" applyProtection="1">
      <alignment horizontal="center"/>
    </xf>
    <xf numFmtId="0" fontId="62" fillId="0" borderId="19" xfId="389" applyFont="1" applyFill="1" applyBorder="1" applyProtection="1"/>
    <xf numFmtId="41" fontId="62" fillId="0" borderId="3" xfId="389" applyNumberFormat="1" applyFont="1" applyFill="1" applyBorder="1" applyProtection="1"/>
    <xf numFmtId="41" fontId="51" fillId="0" borderId="3" xfId="389" applyNumberFormat="1" applyFont="1" applyFill="1" applyBorder="1" applyProtection="1"/>
    <xf numFmtId="41" fontId="51" fillId="0" borderId="3" xfId="389" applyNumberFormat="1" applyFont="1" applyFill="1" applyBorder="1" applyAlignment="1" applyProtection="1">
      <alignment horizontal="center"/>
    </xf>
    <xf numFmtId="0" fontId="51" fillId="0" borderId="20" xfId="389" applyFont="1" applyFill="1" applyBorder="1" applyAlignment="1" applyProtection="1">
      <alignment horizontal="center"/>
    </xf>
    <xf numFmtId="0" fontId="62" fillId="0" borderId="10" xfId="389" applyFont="1" applyFill="1" applyBorder="1" applyAlignment="1" applyProtection="1">
      <alignment horizontal="left"/>
    </xf>
    <xf numFmtId="0" fontId="51" fillId="0" borderId="12" xfId="389" applyFont="1" applyFill="1" applyBorder="1" applyProtection="1"/>
    <xf numFmtId="41" fontId="62" fillId="0" borderId="0" xfId="389" applyNumberFormat="1" applyFont="1" applyFill="1" applyBorder="1" applyAlignment="1" applyProtection="1">
      <alignment horizontal="left"/>
    </xf>
    <xf numFmtId="0" fontId="51" fillId="0" borderId="12" xfId="389" applyFont="1" applyFill="1" applyBorder="1" applyAlignment="1" applyProtection="1">
      <alignment horizontal="center"/>
    </xf>
    <xf numFmtId="0" fontId="62" fillId="0" borderId="10" xfId="389" applyFont="1" applyFill="1" applyBorder="1" applyAlignment="1" applyProtection="1"/>
    <xf numFmtId="0" fontId="62" fillId="0" borderId="10" xfId="389" applyFont="1" applyFill="1" applyBorder="1" applyProtection="1"/>
    <xf numFmtId="0" fontId="62" fillId="0" borderId="17" xfId="389" applyFont="1" applyFill="1" applyBorder="1" applyAlignment="1" applyProtection="1">
      <alignment horizontal="left"/>
    </xf>
    <xf numFmtId="41" fontId="62" fillId="0" borderId="1" xfId="389" applyNumberFormat="1" applyFont="1" applyFill="1" applyBorder="1" applyAlignment="1" applyProtection="1">
      <alignment horizontal="left"/>
    </xf>
    <xf numFmtId="41" fontId="51" fillId="0" borderId="1" xfId="389" applyNumberFormat="1" applyFont="1" applyFill="1" applyBorder="1" applyProtection="1"/>
    <xf numFmtId="41" fontId="51" fillId="0" borderId="1" xfId="389" applyNumberFormat="1" applyFont="1" applyFill="1" applyBorder="1" applyAlignment="1" applyProtection="1">
      <alignment horizontal="center"/>
    </xf>
    <xf numFmtId="0" fontId="51" fillId="0" borderId="21" xfId="389" applyFont="1" applyFill="1" applyBorder="1" applyAlignment="1" applyProtection="1">
      <alignment horizontal="center"/>
    </xf>
    <xf numFmtId="0" fontId="55" fillId="0" borderId="0" xfId="389" applyFont="1" applyFill="1" applyBorder="1" applyAlignment="1" applyProtection="1">
      <alignment horizontal="left"/>
    </xf>
    <xf numFmtId="41" fontId="62" fillId="0" borderId="0" xfId="389" applyNumberFormat="1" applyFont="1" applyFill="1" applyBorder="1" applyAlignment="1" applyProtection="1">
      <alignment horizontal="center"/>
    </xf>
    <xf numFmtId="41" fontId="51" fillId="0" borderId="0" xfId="389" applyNumberFormat="1" applyFont="1" applyFill="1" applyBorder="1" applyAlignment="1" applyProtection="1"/>
    <xf numFmtId="0" fontId="62" fillId="0" borderId="0" xfId="389" applyFont="1" applyFill="1" applyBorder="1" applyAlignment="1" applyProtection="1">
      <alignment horizontal="center"/>
    </xf>
    <xf numFmtId="0" fontId="51" fillId="0" borderId="0" xfId="389" applyFont="1" applyFill="1" applyBorder="1" applyAlignment="1" applyProtection="1"/>
    <xf numFmtId="0" fontId="55" fillId="0" borderId="0" xfId="389" applyFont="1" applyFill="1" applyBorder="1" applyProtection="1"/>
    <xf numFmtId="41" fontId="55" fillId="0" borderId="0" xfId="389" applyNumberFormat="1" applyFont="1" applyFill="1" applyBorder="1" applyProtection="1"/>
    <xf numFmtId="41" fontId="55" fillId="0" borderId="0" xfId="389" applyNumberFormat="1" applyFont="1" applyFill="1" applyBorder="1" applyAlignment="1" applyProtection="1"/>
    <xf numFmtId="0" fontId="51" fillId="0" borderId="9" xfId="389" applyFont="1" applyFill="1" applyBorder="1" applyProtection="1"/>
    <xf numFmtId="41" fontId="127" fillId="0" borderId="0" xfId="389" applyNumberFormat="1" applyFont="1" applyFill="1" applyBorder="1" applyProtection="1"/>
    <xf numFmtId="37" fontId="51" fillId="0" borderId="0" xfId="389" applyNumberFormat="1" applyFont="1" applyFill="1" applyBorder="1" applyProtection="1"/>
    <xf numFmtId="0" fontId="62" fillId="0" borderId="24" xfId="389" applyFont="1" applyFill="1" applyBorder="1" applyProtection="1"/>
    <xf numFmtId="41" fontId="62" fillId="0" borderId="25" xfId="389" applyNumberFormat="1" applyFont="1" applyFill="1" applyBorder="1" applyProtection="1"/>
    <xf numFmtId="41" fontId="51" fillId="0" borderId="25" xfId="389" applyNumberFormat="1" applyFont="1" applyFill="1" applyBorder="1" applyProtection="1"/>
    <xf numFmtId="41" fontId="51" fillId="0" borderId="25" xfId="389" applyNumberFormat="1" applyFont="1" applyFill="1" applyBorder="1" applyAlignment="1" applyProtection="1">
      <alignment horizontal="center"/>
    </xf>
    <xf numFmtId="0" fontId="51" fillId="0" borderId="26" xfId="389" applyFont="1" applyFill="1" applyBorder="1" applyAlignment="1" applyProtection="1">
      <alignment horizontal="center"/>
    </xf>
    <xf numFmtId="41" fontId="62" fillId="0" borderId="0" xfId="389" applyNumberFormat="1" applyFont="1" applyFill="1" applyBorder="1" applyAlignment="1" applyProtection="1">
      <alignment horizontal="left" wrapText="1"/>
    </xf>
    <xf numFmtId="0" fontId="51" fillId="0" borderId="27" xfId="389" applyFont="1" applyFill="1" applyBorder="1" applyAlignment="1" applyProtection="1"/>
    <xf numFmtId="0" fontId="51" fillId="0" borderId="27" xfId="389" applyFont="1" applyFill="1" applyBorder="1" applyAlignment="1" applyProtection="1">
      <alignment horizontal="center"/>
    </xf>
    <xf numFmtId="41" fontId="62" fillId="0" borderId="0" xfId="389" applyNumberFormat="1" applyFont="1" applyFill="1" applyBorder="1" applyAlignment="1" applyProtection="1">
      <alignment wrapText="1"/>
    </xf>
    <xf numFmtId="41" fontId="51" fillId="0" borderId="0" xfId="389" applyNumberFormat="1" applyFont="1" applyFill="1" applyBorder="1" applyAlignment="1" applyProtection="1">
      <alignment wrapText="1"/>
    </xf>
    <xf numFmtId="0" fontId="51" fillId="0" borderId="27" xfId="389" applyFont="1" applyFill="1" applyBorder="1" applyAlignment="1" applyProtection="1">
      <alignment wrapText="1"/>
    </xf>
    <xf numFmtId="41" fontId="62" fillId="0" borderId="8" xfId="389" applyNumberFormat="1" applyFont="1" applyFill="1" applyBorder="1" applyAlignment="1" applyProtection="1">
      <alignment horizontal="left"/>
    </xf>
    <xf numFmtId="41" fontId="51" fillId="0" borderId="8" xfId="389" applyNumberFormat="1" applyFont="1" applyFill="1" applyBorder="1" applyProtection="1"/>
    <xf numFmtId="41" fontId="51" fillId="0" borderId="8" xfId="389" applyNumberFormat="1" applyFont="1" applyFill="1" applyBorder="1" applyAlignment="1" applyProtection="1">
      <alignment horizontal="center"/>
    </xf>
    <xf numFmtId="0" fontId="51" fillId="0" borderId="28" xfId="389" applyFont="1" applyFill="1" applyBorder="1" applyAlignment="1" applyProtection="1">
      <alignment horizontal="center"/>
    </xf>
    <xf numFmtId="0" fontId="62" fillId="0" borderId="0" xfId="389" applyFont="1" applyFill="1" applyBorder="1" applyAlignment="1" applyProtection="1">
      <alignment horizontal="left"/>
    </xf>
    <xf numFmtId="41" fontId="51" fillId="0" borderId="9" xfId="392" applyNumberFormat="1" applyFont="1" applyFill="1" applyBorder="1" applyAlignment="1" applyProtection="1">
      <alignment horizontal="right"/>
    </xf>
    <xf numFmtId="0" fontId="55" fillId="0" borderId="9" xfId="389" applyFont="1" applyFill="1" applyBorder="1" applyProtection="1"/>
    <xf numFmtId="41" fontId="51" fillId="0" borderId="0" xfId="392" applyNumberFormat="1" applyFont="1" applyFill="1" applyBorder="1" applyAlignment="1" applyProtection="1">
      <alignment horizontal="right"/>
    </xf>
    <xf numFmtId="41" fontId="51" fillId="14" borderId="9" xfId="440" applyNumberFormat="1" applyFont="1" applyFill="1" applyBorder="1" applyProtection="1">
      <protection locked="0"/>
    </xf>
    <xf numFmtId="37" fontId="51" fillId="14" borderId="9" xfId="440" applyNumberFormat="1" applyFont="1" applyFill="1" applyBorder="1" applyAlignment="1" applyProtection="1">
      <alignment wrapText="1"/>
      <protection locked="0"/>
    </xf>
    <xf numFmtId="0" fontId="51" fillId="0" borderId="0" xfId="389" applyFont="1" applyFill="1" applyBorder="1" applyAlignment="1" applyProtection="1">
      <alignment horizontal="right" wrapText="1"/>
    </xf>
    <xf numFmtId="0" fontId="51" fillId="0" borderId="0" xfId="389" applyFont="1" applyFill="1" applyBorder="1" applyAlignment="1" applyProtection="1">
      <alignment wrapText="1"/>
    </xf>
    <xf numFmtId="173" fontId="51" fillId="0" borderId="0" xfId="392" applyNumberFormat="1" applyFont="1" applyFill="1" applyBorder="1" applyProtection="1"/>
    <xf numFmtId="10" fontId="51" fillId="0" borderId="0" xfId="391" applyNumberFormat="1" applyFont="1" applyFill="1" applyBorder="1" applyProtection="1"/>
    <xf numFmtId="10" fontId="51" fillId="0" borderId="0" xfId="391" applyNumberFormat="1" applyFont="1" applyFill="1" applyBorder="1" applyAlignment="1" applyProtection="1">
      <alignment wrapText="1"/>
    </xf>
    <xf numFmtId="173" fontId="51" fillId="0" borderId="0" xfId="392" applyNumberFormat="1" applyFont="1" applyFill="1" applyBorder="1" applyAlignment="1" applyProtection="1">
      <alignment wrapText="1"/>
    </xf>
    <xf numFmtId="41" fontId="51" fillId="0" borderId="0" xfId="389" applyNumberFormat="1" applyFont="1" applyFill="1" applyBorder="1" applyAlignment="1" applyProtection="1">
      <alignment horizontal="left"/>
    </xf>
    <xf numFmtId="0" fontId="51" fillId="0" borderId="0" xfId="389" applyFont="1" applyFill="1" applyAlignment="1" applyProtection="1">
      <alignment wrapText="1"/>
    </xf>
    <xf numFmtId="0" fontId="62" fillId="0" borderId="0" xfId="389" applyFont="1" applyFill="1" applyAlignment="1" applyProtection="1">
      <alignment horizontal="center" wrapText="1"/>
    </xf>
    <xf numFmtId="0" fontId="126" fillId="0" borderId="0" xfId="389" applyFont="1" applyFill="1" applyAlignment="1" applyProtection="1">
      <alignment horizontal="center" wrapText="1"/>
    </xf>
    <xf numFmtId="41" fontId="51" fillId="0" borderId="0" xfId="389" applyNumberFormat="1" applyFont="1" applyFill="1" applyAlignment="1" applyProtection="1">
      <alignment horizontal="center"/>
    </xf>
    <xf numFmtId="0" fontId="102" fillId="0" borderId="0" xfId="396" applyFont="1" applyFill="1" applyProtection="1"/>
    <xf numFmtId="0" fontId="62" fillId="0" borderId="9" xfId="440" applyFont="1" applyFill="1" applyBorder="1" applyProtection="1"/>
    <xf numFmtId="41" fontId="51" fillId="0" borderId="9" xfId="440" applyNumberFormat="1" applyFont="1" applyFill="1" applyBorder="1" applyProtection="1"/>
    <xf numFmtId="37" fontId="51" fillId="0" borderId="9" xfId="440" applyNumberFormat="1" applyFont="1" applyFill="1" applyBorder="1" applyAlignment="1" applyProtection="1">
      <alignment wrapText="1"/>
    </xf>
    <xf numFmtId="37" fontId="51" fillId="0" borderId="0" xfId="389" applyNumberFormat="1" applyFont="1" applyFill="1" applyBorder="1" applyAlignment="1" applyProtection="1">
      <alignment horizontal="center" wrapText="1"/>
    </xf>
    <xf numFmtId="0" fontId="51" fillId="0" borderId="20" xfId="389" applyFont="1" applyFill="1" applyBorder="1" applyAlignment="1" applyProtection="1">
      <alignment horizontal="center" wrapText="1"/>
    </xf>
    <xf numFmtId="0" fontId="51" fillId="0" borderId="12" xfId="389" applyFont="1" applyFill="1" applyBorder="1" applyAlignment="1" applyProtection="1">
      <alignment wrapText="1"/>
    </xf>
    <xf numFmtId="0" fontId="51" fillId="0" borderId="12" xfId="389" applyFont="1" applyFill="1" applyBorder="1" applyAlignment="1" applyProtection="1">
      <alignment horizontal="center" wrapText="1"/>
    </xf>
    <xf numFmtId="0" fontId="51" fillId="0" borderId="21" xfId="389" applyFont="1" applyFill="1" applyBorder="1" applyAlignment="1" applyProtection="1">
      <alignment horizontal="center" wrapText="1"/>
    </xf>
    <xf numFmtId="0" fontId="45" fillId="0" borderId="0" xfId="390" applyNumberFormat="1" applyFont="1" applyFill="1" applyAlignment="1" applyProtection="1">
      <alignment horizontal="right" wrapText="1"/>
    </xf>
    <xf numFmtId="0" fontId="51" fillId="0" borderId="0" xfId="389" applyFont="1" applyFill="1" applyAlignment="1" applyProtection="1">
      <alignment horizontal="right" wrapText="1"/>
    </xf>
    <xf numFmtId="0" fontId="126" fillId="0" borderId="0" xfId="389" applyFont="1" applyFill="1" applyBorder="1" applyAlignment="1" applyProtection="1">
      <alignment wrapText="1"/>
    </xf>
    <xf numFmtId="0" fontId="62" fillId="0" borderId="0" xfId="389" applyFont="1" applyFill="1" applyBorder="1" applyAlignment="1" applyProtection="1">
      <alignment horizontal="center" wrapText="1"/>
    </xf>
    <xf numFmtId="0" fontId="51" fillId="0" borderId="9" xfId="389" applyFont="1" applyFill="1" applyBorder="1" applyAlignment="1" applyProtection="1">
      <alignment wrapText="1"/>
    </xf>
    <xf numFmtId="41" fontId="51" fillId="0" borderId="9" xfId="448" applyNumberFormat="1" applyFont="1" applyFill="1" applyBorder="1" applyProtection="1"/>
    <xf numFmtId="0" fontId="51" fillId="0" borderId="9" xfId="448" applyFont="1" applyFill="1" applyBorder="1" applyAlignment="1" applyProtection="1">
      <alignment wrapText="1"/>
    </xf>
    <xf numFmtId="37" fontId="51" fillId="0" borderId="0" xfId="389" applyNumberFormat="1" applyFont="1" applyFill="1" applyBorder="1" applyAlignment="1" applyProtection="1">
      <alignment wrapText="1"/>
    </xf>
    <xf numFmtId="0" fontId="51" fillId="0" borderId="0" xfId="389" applyFont="1" applyFill="1" applyBorder="1" applyAlignment="1" applyProtection="1">
      <alignment horizontal="center" wrapText="1"/>
    </xf>
    <xf numFmtId="0" fontId="51" fillId="0" borderId="26" xfId="389" applyFont="1" applyFill="1" applyBorder="1" applyAlignment="1" applyProtection="1">
      <alignment horizontal="center" wrapText="1"/>
    </xf>
    <xf numFmtId="0" fontId="51" fillId="0" borderId="27" xfId="389" applyFont="1" applyFill="1" applyBorder="1" applyAlignment="1" applyProtection="1">
      <alignment horizontal="center" wrapText="1"/>
    </xf>
    <xf numFmtId="0" fontId="62" fillId="0" borderId="29" xfId="389" applyFont="1" applyFill="1" applyBorder="1" applyAlignment="1" applyProtection="1">
      <alignment horizontal="left"/>
    </xf>
    <xf numFmtId="0" fontId="51" fillId="0" borderId="28" xfId="389" applyFont="1" applyFill="1" applyBorder="1" applyAlignment="1" applyProtection="1">
      <alignment horizontal="center" wrapText="1"/>
    </xf>
    <xf numFmtId="0" fontId="62" fillId="0" borderId="0" xfId="389" applyFont="1" applyFill="1" applyBorder="1" applyAlignment="1" applyProtection="1"/>
    <xf numFmtId="41" fontId="51" fillId="0" borderId="9" xfId="442" applyNumberFormat="1" applyFont="1" applyFill="1" applyBorder="1" applyAlignment="1" applyProtection="1">
      <alignment horizontal="right"/>
    </xf>
    <xf numFmtId="0" fontId="55" fillId="0" borderId="9" xfId="389" applyFont="1" applyFill="1" applyBorder="1" applyAlignment="1" applyProtection="1">
      <alignment wrapText="1"/>
    </xf>
    <xf numFmtId="0" fontId="55" fillId="0" borderId="0" xfId="389" applyFont="1" applyFill="1" applyBorder="1" applyAlignment="1" applyProtection="1">
      <alignment wrapText="1"/>
    </xf>
    <xf numFmtId="41" fontId="51" fillId="14" borderId="9" xfId="445" applyNumberFormat="1" applyFont="1" applyFill="1" applyBorder="1" applyProtection="1">
      <protection locked="0"/>
    </xf>
    <xf numFmtId="41" fontId="51" fillId="14" borderId="9" xfId="440" applyNumberFormat="1" applyFont="1" applyFill="1" applyBorder="1" applyAlignment="1" applyProtection="1">
      <alignment horizontal="left" vertical="top" wrapText="1"/>
      <protection locked="0"/>
    </xf>
    <xf numFmtId="0" fontId="51" fillId="14" borderId="9" xfId="440" applyFont="1" applyFill="1" applyBorder="1" applyAlignment="1" applyProtection="1">
      <alignment wrapText="1"/>
      <protection locked="0"/>
    </xf>
    <xf numFmtId="0" fontId="55" fillId="14" borderId="9" xfId="440" applyFont="1" applyFill="1" applyBorder="1" applyAlignment="1" applyProtection="1">
      <alignment wrapText="1"/>
      <protection locked="0"/>
    </xf>
    <xf numFmtId="37" fontId="51" fillId="14" borderId="9" xfId="440" applyNumberFormat="1" applyFont="1" applyFill="1" applyBorder="1" applyProtection="1">
      <protection locked="0"/>
    </xf>
    <xf numFmtId="41" fontId="55" fillId="14" borderId="9" xfId="440" applyNumberFormat="1" applyFont="1" applyFill="1" applyBorder="1" applyProtection="1">
      <protection locked="0"/>
    </xf>
    <xf numFmtId="172" fontId="51" fillId="0" borderId="0" xfId="0" applyFont="1" applyFill="1" applyAlignment="1" applyProtection="1"/>
    <xf numFmtId="172" fontId="105" fillId="0" borderId="0" xfId="0" applyFont="1" applyFill="1" applyAlignment="1" applyProtection="1"/>
    <xf numFmtId="0" fontId="51" fillId="0" borderId="0" xfId="212" quotePrefix="1" applyFont="1" applyFill="1" applyAlignment="1" applyProtection="1">
      <alignment horizontal="left"/>
    </xf>
    <xf numFmtId="172" fontId="51" fillId="0" borderId="0" xfId="0" applyFont="1" applyFill="1" applyAlignment="1" applyProtection="1">
      <alignment horizontal="center"/>
    </xf>
    <xf numFmtId="0" fontId="103" fillId="0" borderId="0" xfId="389" quotePrefix="1" applyFont="1" applyFill="1" applyAlignment="1" applyProtection="1">
      <alignment horizontal="center"/>
    </xf>
    <xf numFmtId="172" fontId="51" fillId="0" borderId="0" xfId="0" quotePrefix="1" applyFont="1" applyFill="1" applyAlignment="1" applyProtection="1">
      <alignment horizontal="center"/>
    </xf>
    <xf numFmtId="0" fontId="51" fillId="0" borderId="0" xfId="0" applyNumberFormat="1" applyFont="1" applyFill="1" applyAlignment="1" applyProtection="1">
      <alignment horizontal="center"/>
    </xf>
    <xf numFmtId="173" fontId="51" fillId="0" borderId="0" xfId="59" applyNumberFormat="1" applyFont="1" applyFill="1" applyAlignment="1" applyProtection="1"/>
    <xf numFmtId="173" fontId="51" fillId="0" borderId="0" xfId="59" applyNumberFormat="1" applyFont="1" applyFill="1" applyAlignment="1" applyProtection="1">
      <alignment horizontal="right"/>
    </xf>
    <xf numFmtId="10" fontId="51" fillId="0" borderId="0" xfId="266" applyNumberFormat="1" applyFont="1" applyFill="1" applyAlignment="1" applyProtection="1"/>
    <xf numFmtId="173" fontId="103" fillId="0" borderId="0" xfId="389" applyNumberFormat="1" applyFont="1" applyFill="1" applyAlignment="1" applyProtection="1">
      <alignment horizontal="center"/>
    </xf>
    <xf numFmtId="172" fontId="45" fillId="0" borderId="0" xfId="0" applyFont="1" applyFill="1" applyAlignment="1" applyProtection="1"/>
    <xf numFmtId="173" fontId="55" fillId="0" borderId="0" xfId="59" applyNumberFormat="1" applyFont="1" applyFill="1" applyAlignment="1" applyProtection="1">
      <alignment horizontal="left"/>
    </xf>
    <xf numFmtId="0" fontId="125" fillId="0" borderId="0" xfId="184" applyFont="1" applyFill="1" applyProtection="1"/>
    <xf numFmtId="0" fontId="55" fillId="0" borderId="0" xfId="184" applyFont="1" applyFill="1" applyProtection="1"/>
    <xf numFmtId="173" fontId="62" fillId="0" borderId="0" xfId="59" applyNumberFormat="1" applyFont="1" applyFill="1" applyAlignment="1" applyProtection="1"/>
    <xf numFmtId="0" fontId="62" fillId="0" borderId="0" xfId="212" quotePrefix="1" applyFont="1" applyFill="1" applyAlignment="1" applyProtection="1">
      <alignment horizontal="left"/>
    </xf>
    <xf numFmtId="0" fontId="55" fillId="0" borderId="0" xfId="212" quotePrefix="1" applyFont="1" applyFill="1" applyAlignment="1" applyProtection="1">
      <alignment horizontal="center"/>
    </xf>
    <xf numFmtId="174" fontId="55" fillId="0" borderId="0" xfId="93" quotePrefix="1" applyNumberFormat="1" applyFont="1" applyFill="1" applyAlignment="1" applyProtection="1">
      <alignment horizontal="left"/>
    </xf>
    <xf numFmtId="173" fontId="55" fillId="0" borderId="0" xfId="59" quotePrefix="1" applyNumberFormat="1" applyFont="1" applyFill="1" applyAlignment="1" applyProtection="1">
      <alignment horizontal="left"/>
    </xf>
    <xf numFmtId="172" fontId="45" fillId="0" borderId="8" xfId="0" applyFont="1" applyBorder="1" applyAlignment="1" applyProtection="1"/>
    <xf numFmtId="49" fontId="85" fillId="0" borderId="0" xfId="0" applyNumberFormat="1" applyFont="1" applyFill="1" applyAlignment="1" applyProtection="1">
      <alignment horizontal="center"/>
    </xf>
    <xf numFmtId="49" fontId="55" fillId="0" borderId="0" xfId="0" applyNumberFormat="1" applyFont="1" applyFill="1" applyAlignment="1" applyProtection="1">
      <alignment horizontal="center" vertical="center" wrapText="1"/>
    </xf>
    <xf numFmtId="0" fontId="55" fillId="0" borderId="0" xfId="192" applyFont="1" applyFill="1" applyAlignment="1" applyProtection="1">
      <alignment horizontal="center" vertical="center" wrapText="1"/>
    </xf>
    <xf numFmtId="0" fontId="55" fillId="0" borderId="0" xfId="206" applyNumberFormat="1" applyFont="1" applyFill="1" applyAlignment="1" applyProtection="1">
      <alignment horizontal="center" wrapText="1"/>
    </xf>
    <xf numFmtId="172" fontId="55" fillId="0" borderId="0" xfId="0" applyFont="1" applyFill="1" applyAlignment="1" applyProtection="1">
      <alignment horizontal="center" vertical="center" wrapText="1"/>
    </xf>
    <xf numFmtId="0" fontId="84" fillId="0" borderId="0" xfId="192" applyFont="1" applyFill="1" applyBorder="1" applyAlignment="1" applyProtection="1">
      <alignment horizontal="center" vertical="center" wrapText="1"/>
    </xf>
    <xf numFmtId="0" fontId="55" fillId="0" borderId="0" xfId="192" applyFont="1" applyFill="1" applyAlignment="1" applyProtection="1">
      <alignment horizontal="center"/>
    </xf>
    <xf numFmtId="0" fontId="55" fillId="0" borderId="0" xfId="212" applyFont="1" applyFill="1" applyAlignment="1" applyProtection="1">
      <alignment horizontal="center" wrapText="1"/>
    </xf>
    <xf numFmtId="49" fontId="55" fillId="0" borderId="0" xfId="0" applyNumberFormat="1" applyFont="1" applyFill="1" applyAlignment="1" applyProtection="1">
      <alignment horizontal="center"/>
    </xf>
    <xf numFmtId="0" fontId="84" fillId="0" borderId="0" xfId="192" applyFont="1" applyFill="1" applyBorder="1" applyAlignment="1" applyProtection="1">
      <alignment horizontal="center"/>
    </xf>
    <xf numFmtId="0" fontId="55" fillId="0" borderId="0" xfId="192" applyFont="1" applyFill="1" applyAlignment="1" applyProtection="1">
      <alignment horizontal="center" wrapText="1"/>
    </xf>
    <xf numFmtId="172" fontId="55" fillId="0" borderId="0" xfId="0" applyFont="1" applyFill="1" applyAlignment="1" applyProtection="1">
      <alignment horizontal="center" wrapText="1"/>
    </xf>
    <xf numFmtId="172" fontId="85" fillId="0" borderId="0" xfId="0" applyFont="1" applyFill="1" applyAlignment="1" applyProtection="1">
      <alignment horizontal="center"/>
    </xf>
    <xf numFmtId="172" fontId="85" fillId="0" borderId="0" xfId="0" applyFont="1" applyFill="1" applyBorder="1" applyAlignment="1" applyProtection="1">
      <alignment horizontal="center"/>
    </xf>
    <xf numFmtId="0" fontId="55" fillId="0" borderId="0" xfId="192" applyFont="1" applyFill="1" applyAlignment="1" applyProtection="1">
      <alignment wrapText="1"/>
    </xf>
    <xf numFmtId="0" fontId="55" fillId="0" borderId="3" xfId="192" applyFont="1" applyFill="1" applyBorder="1" applyProtection="1"/>
    <xf numFmtId="174" fontId="55" fillId="0" borderId="3" xfId="93" applyNumberFormat="1" applyFont="1" applyFill="1" applyBorder="1" applyProtection="1"/>
    <xf numFmtId="174" fontId="84" fillId="0" borderId="0" xfId="93" applyNumberFormat="1" applyFont="1" applyFill="1" applyBorder="1" applyProtection="1"/>
    <xf numFmtId="0" fontId="55" fillId="0" borderId="0" xfId="192" applyFont="1" applyFill="1" applyProtection="1"/>
    <xf numFmtId="0" fontId="84" fillId="0" borderId="0" xfId="192" applyFont="1" applyFill="1" applyBorder="1" applyProtection="1"/>
    <xf numFmtId="0" fontId="55" fillId="0" borderId="0" xfId="192" applyFont="1" applyFill="1" applyBorder="1" applyProtection="1"/>
    <xf numFmtId="174" fontId="55" fillId="0" borderId="0" xfId="93" applyNumberFormat="1" applyFont="1" applyFill="1" applyBorder="1" applyProtection="1"/>
    <xf numFmtId="0" fontId="84" fillId="0" borderId="0" xfId="192" applyFont="1" applyFill="1" applyProtection="1"/>
    <xf numFmtId="49" fontId="100" fillId="0" borderId="0" xfId="0" applyNumberFormat="1" applyFont="1" applyFill="1" applyAlignment="1" applyProtection="1">
      <alignment horizontal="center"/>
    </xf>
    <xf numFmtId="0" fontId="45" fillId="0" borderId="0" xfId="192" applyFont="1" applyFill="1" applyProtection="1"/>
    <xf numFmtId="172" fontId="45" fillId="0" borderId="0" xfId="0" applyFont="1" applyFill="1" applyAlignment="1" applyProtection="1">
      <alignment horizontal="center" vertical="center"/>
    </xf>
    <xf numFmtId="1" fontId="55" fillId="0" borderId="0" xfId="0" applyNumberFormat="1" applyFont="1" applyFill="1" applyAlignment="1" applyProtection="1">
      <alignment horizontal="center"/>
    </xf>
    <xf numFmtId="3" fontId="55" fillId="0" borderId="0" xfId="0" applyNumberFormat="1" applyFont="1" applyFill="1" applyAlignment="1" applyProtection="1"/>
    <xf numFmtId="3" fontId="55" fillId="0" borderId="8" xfId="0" applyNumberFormat="1" applyFont="1" applyFill="1" applyBorder="1" applyAlignment="1" applyProtection="1">
      <alignment horizontal="center"/>
    </xf>
    <xf numFmtId="3" fontId="55" fillId="0" borderId="0" xfId="211" applyNumberFormat="1" applyFont="1" applyFill="1" applyBorder="1" applyAlignment="1" applyProtection="1">
      <alignment horizontal="center"/>
    </xf>
    <xf numFmtId="43" fontId="55" fillId="0" borderId="0" xfId="192" applyNumberFormat="1" applyFont="1" applyFill="1" applyProtection="1"/>
    <xf numFmtId="0" fontId="55" fillId="0" borderId="0" xfId="0" applyNumberFormat="1" applyFont="1" applyFill="1" applyProtection="1"/>
    <xf numFmtId="3" fontId="55" fillId="0" borderId="0" xfId="0" applyNumberFormat="1" applyFont="1" applyFill="1" applyAlignment="1" applyProtection="1">
      <alignment horizontal="center"/>
    </xf>
    <xf numFmtId="10" fontId="55" fillId="0" borderId="8" xfId="266" applyNumberFormat="1" applyFont="1" applyFill="1" applyBorder="1" applyAlignment="1" applyProtection="1"/>
    <xf numFmtId="172" fontId="55" fillId="0" borderId="8" xfId="0" applyFont="1" applyFill="1" applyBorder="1" applyAlignment="1" applyProtection="1"/>
    <xf numFmtId="49" fontId="55" fillId="0" borderId="0" xfId="0" applyNumberFormat="1" applyFont="1" applyFill="1" applyAlignment="1" applyProtection="1">
      <alignment horizontal="center" vertical="center"/>
    </xf>
    <xf numFmtId="172" fontId="55" fillId="0" borderId="0" xfId="764" applyFont="1" applyFill="1" applyAlignment="1" applyProtection="1"/>
    <xf numFmtId="0" fontId="51" fillId="0" borderId="0" xfId="184" applyFont="1" applyFill="1" applyProtection="1"/>
    <xf numFmtId="0" fontId="51" fillId="0" borderId="0" xfId="184" applyFont="1" applyFill="1" applyAlignment="1" applyProtection="1">
      <alignment horizontal="center"/>
    </xf>
    <xf numFmtId="0" fontId="51" fillId="0" borderId="0" xfId="59" applyNumberFormat="1" applyFont="1" applyFill="1" applyAlignment="1" applyProtection="1">
      <alignment horizontal="center"/>
    </xf>
    <xf numFmtId="172" fontId="106" fillId="0" borderId="0" xfId="0" applyFont="1" applyFill="1" applyProtection="1"/>
    <xf numFmtId="172" fontId="51" fillId="0" borderId="0" xfId="0" applyFont="1" applyFill="1" applyProtection="1"/>
    <xf numFmtId="0" fontId="51" fillId="0" borderId="0" xfId="184" applyFont="1" applyFill="1" applyAlignment="1" applyProtection="1"/>
    <xf numFmtId="172" fontId="51" fillId="0" borderId="0" xfId="0" applyFont="1" applyFill="1" applyAlignment="1" applyProtection="1">
      <alignment horizontal="left"/>
    </xf>
    <xf numFmtId="173" fontId="51" fillId="0" borderId="0" xfId="59" applyNumberFormat="1" applyFont="1" applyFill="1" applyAlignment="1" applyProtection="1">
      <alignment wrapText="1"/>
    </xf>
    <xf numFmtId="173" fontId="51" fillId="0" borderId="0" xfId="59" applyNumberFormat="1" applyFont="1" applyFill="1" applyBorder="1" applyAlignment="1" applyProtection="1">
      <alignment wrapText="1"/>
    </xf>
    <xf numFmtId="0" fontId="51" fillId="0" borderId="0" xfId="184" applyFont="1" applyFill="1" applyAlignment="1" applyProtection="1">
      <alignment horizontal="left" vertical="center" wrapText="1"/>
    </xf>
    <xf numFmtId="0" fontId="105" fillId="0" borderId="0" xfId="184" applyFont="1" applyFill="1" applyProtection="1"/>
    <xf numFmtId="0" fontId="51" fillId="0" borderId="0" xfId="184" applyFont="1" applyFill="1" applyAlignment="1" applyProtection="1">
      <alignment horizontal="left" wrapText="1"/>
    </xf>
    <xf numFmtId="172" fontId="51" fillId="0" borderId="0" xfId="0" applyFont="1" applyFill="1" applyAlignment="1" applyProtection="1">
      <alignment horizontal="left" vertical="center"/>
    </xf>
    <xf numFmtId="172" fontId="51" fillId="0" borderId="0" xfId="0" applyFont="1" applyFill="1" applyAlignment="1" applyProtection="1">
      <alignment horizontal="left" vertical="center" wrapText="1"/>
    </xf>
    <xf numFmtId="173" fontId="51" fillId="0" borderId="0" xfId="59" applyNumberFormat="1" applyFont="1" applyFill="1" applyAlignment="1" applyProtection="1">
      <alignment vertical="center" wrapText="1"/>
    </xf>
    <xf numFmtId="172" fontId="51" fillId="0" borderId="0" xfId="0" applyFont="1" applyFill="1" applyAlignment="1" applyProtection="1">
      <alignment horizontal="left" wrapText="1"/>
    </xf>
    <xf numFmtId="174" fontId="51" fillId="0" borderId="0" xfId="0" applyNumberFormat="1" applyFont="1" applyFill="1" applyProtection="1"/>
    <xf numFmtId="173" fontId="51" fillId="0" borderId="0" xfId="397" applyNumberFormat="1" applyFont="1" applyFill="1" applyAlignment="1" applyProtection="1">
      <alignment wrapText="1"/>
    </xf>
    <xf numFmtId="172" fontId="109" fillId="0" borderId="0" xfId="0" applyFont="1" applyFill="1" applyAlignment="1" applyProtection="1">
      <alignment wrapText="1"/>
    </xf>
    <xf numFmtId="173" fontId="51" fillId="0" borderId="0" xfId="59" applyNumberFormat="1" applyFont="1" applyFill="1" applyBorder="1" applyAlignment="1" applyProtection="1"/>
    <xf numFmtId="172" fontId="107" fillId="0" borderId="0" xfId="0" applyFont="1" applyFill="1" applyAlignment="1" applyProtection="1"/>
    <xf numFmtId="0" fontId="51" fillId="0" borderId="0" xfId="184" applyFont="1" applyFill="1" applyAlignment="1" applyProtection="1">
      <alignment vertical="center" wrapText="1"/>
    </xf>
    <xf numFmtId="0" fontId="51" fillId="0" borderId="0" xfId="59" applyNumberFormat="1" applyFont="1" applyFill="1" applyAlignment="1" applyProtection="1">
      <alignment horizontal="center" vertical="top"/>
    </xf>
    <xf numFmtId="172" fontId="51" fillId="0" borderId="0" xfId="0" applyFont="1" applyFill="1" applyAlignment="1" applyProtection="1">
      <alignment wrapText="1"/>
    </xf>
    <xf numFmtId="172" fontId="51" fillId="0" borderId="0" xfId="0" applyFont="1" applyFill="1" applyAlignment="1" applyProtection="1">
      <alignment vertical="center" wrapText="1"/>
    </xf>
    <xf numFmtId="172" fontId="51" fillId="0" borderId="0" xfId="0" applyFont="1" applyFill="1" applyAlignment="1" applyProtection="1">
      <alignment horizontal="center" vertical="center"/>
    </xf>
    <xf numFmtId="173" fontId="51" fillId="0" borderId="0" xfId="0" applyNumberFormat="1" applyFont="1" applyFill="1" applyProtection="1"/>
    <xf numFmtId="0" fontId="105" fillId="0" borderId="0" xfId="59" applyNumberFormat="1" applyFont="1" applyFill="1" applyAlignment="1" applyProtection="1">
      <alignment horizontal="center"/>
    </xf>
    <xf numFmtId="173" fontId="105" fillId="0" borderId="0" xfId="59" applyNumberFormat="1" applyFont="1" applyFill="1" applyAlignment="1" applyProtection="1"/>
    <xf numFmtId="0" fontId="51" fillId="0" borderId="0" xfId="184" applyFont="1" applyFill="1" applyAlignment="1" applyProtection="1">
      <alignment horizontal="center" wrapText="1"/>
    </xf>
    <xf numFmtId="173" fontId="51" fillId="0" borderId="0" xfId="184" applyNumberFormat="1" applyFont="1" applyFill="1" applyProtection="1"/>
    <xf numFmtId="10" fontId="51" fillId="0" borderId="0" xfId="184" applyNumberFormat="1" applyFont="1" applyFill="1" applyProtection="1"/>
    <xf numFmtId="174" fontId="51" fillId="0" borderId="0" xfId="93" applyNumberFormat="1" applyFont="1" applyFill="1" applyAlignment="1" applyProtection="1"/>
    <xf numFmtId="174" fontId="51" fillId="0" borderId="0" xfId="93" applyNumberFormat="1" applyFont="1" applyFill="1" applyProtection="1"/>
    <xf numFmtId="0" fontId="51" fillId="0" borderId="9" xfId="184" applyFont="1" applyFill="1" applyBorder="1" applyProtection="1"/>
    <xf numFmtId="0" fontId="51" fillId="0" borderId="9" xfId="184" applyFont="1" applyFill="1" applyBorder="1" applyAlignment="1" applyProtection="1">
      <alignment horizontal="center" wrapText="1"/>
    </xf>
    <xf numFmtId="0" fontId="51" fillId="0" borderId="9" xfId="184" applyFont="1" applyFill="1" applyBorder="1" applyAlignment="1" applyProtection="1">
      <alignment horizontal="center"/>
    </xf>
    <xf numFmtId="174" fontId="51" fillId="0" borderId="9" xfId="93" applyNumberFormat="1" applyFont="1" applyFill="1" applyBorder="1" applyAlignment="1" applyProtection="1"/>
    <xf numFmtId="174" fontId="51" fillId="0" borderId="9" xfId="93" applyNumberFormat="1" applyFont="1" applyFill="1" applyBorder="1" applyProtection="1"/>
    <xf numFmtId="174" fontId="51" fillId="0" borderId="9" xfId="184" applyNumberFormat="1" applyFont="1" applyFill="1" applyBorder="1" applyProtection="1"/>
    <xf numFmtId="173" fontId="51" fillId="0" borderId="9" xfId="59" applyNumberFormat="1" applyFont="1" applyFill="1" applyBorder="1" applyAlignment="1" applyProtection="1"/>
    <xf numFmtId="173" fontId="51" fillId="0" borderId="9" xfId="184" applyNumberFormat="1" applyFont="1" applyFill="1" applyBorder="1" applyProtection="1"/>
    <xf numFmtId="173" fontId="51" fillId="0" borderId="9" xfId="59" applyNumberFormat="1" applyFont="1" applyFill="1" applyBorder="1" applyProtection="1"/>
    <xf numFmtId="0" fontId="51" fillId="0" borderId="9" xfId="184" applyFont="1" applyFill="1" applyBorder="1" applyAlignment="1" applyProtection="1">
      <alignment horizontal="left" indent="2"/>
    </xf>
    <xf numFmtId="0" fontId="51" fillId="0" borderId="9" xfId="184" applyFont="1" applyFill="1" applyBorder="1" applyAlignment="1" applyProtection="1">
      <alignment horizontal="right"/>
    </xf>
    <xf numFmtId="9" fontId="51" fillId="0" borderId="9" xfId="184" applyNumberFormat="1" applyFont="1" applyFill="1" applyBorder="1" applyProtection="1"/>
    <xf numFmtId="10" fontId="51" fillId="0" borderId="9" xfId="184" applyNumberFormat="1" applyFont="1" applyFill="1" applyBorder="1" applyProtection="1"/>
    <xf numFmtId="9" fontId="51" fillId="0" borderId="0" xfId="184" applyNumberFormat="1" applyFont="1" applyFill="1" applyProtection="1"/>
    <xf numFmtId="9" fontId="51" fillId="14" borderId="0" xfId="184" applyNumberFormat="1" applyFont="1" applyFill="1" applyProtection="1">
      <protection locked="0"/>
    </xf>
    <xf numFmtId="0" fontId="105" fillId="0" borderId="0" xfId="212" applyFont="1" applyFill="1" applyAlignment="1" applyProtection="1">
      <alignment horizontal="center"/>
    </xf>
    <xf numFmtId="0" fontId="105" fillId="0" borderId="0" xfId="212" applyFont="1" applyFill="1" applyAlignment="1" applyProtection="1">
      <alignment horizontal="center" wrapText="1"/>
    </xf>
    <xf numFmtId="172" fontId="51" fillId="0" borderId="0" xfId="0" applyFont="1" applyFill="1" applyAlignment="1" applyProtection="1">
      <alignment horizontal="center" wrapText="1"/>
    </xf>
    <xf numFmtId="1" fontId="51" fillId="0" borderId="1" xfId="0" applyNumberFormat="1" applyFont="1" applyFill="1" applyBorder="1" applyAlignment="1" applyProtection="1">
      <alignment horizontal="center"/>
    </xf>
    <xf numFmtId="172" fontId="51" fillId="0" borderId="1" xfId="0" applyFont="1" applyFill="1" applyBorder="1" applyProtection="1"/>
    <xf numFmtId="0" fontId="105" fillId="0" borderId="0" xfId="399" applyFont="1" applyFill="1" applyBorder="1" applyAlignment="1" applyProtection="1">
      <alignment horizontal="center"/>
    </xf>
    <xf numFmtId="0" fontId="51" fillId="0" borderId="0" xfId="59" applyNumberFormat="1" applyFont="1" applyFill="1" applyAlignment="1" applyProtection="1">
      <alignment horizontal="left"/>
    </xf>
    <xf numFmtId="1" fontId="51" fillId="0" borderId="0" xfId="399" applyNumberFormat="1" applyFont="1" applyFill="1" applyBorder="1" applyAlignment="1" applyProtection="1">
      <alignment horizontal="center"/>
    </xf>
    <xf numFmtId="173" fontId="51" fillId="0" borderId="1" xfId="399" applyNumberFormat="1" applyFont="1" applyFill="1" applyBorder="1" applyAlignment="1" applyProtection="1">
      <alignment horizontal="center"/>
    </xf>
    <xf numFmtId="275" fontId="51" fillId="0" borderId="0" xfId="399" applyNumberFormat="1" applyFont="1" applyFill="1" applyBorder="1" applyAlignment="1" applyProtection="1">
      <alignment horizontal="left"/>
    </xf>
    <xf numFmtId="276" fontId="51" fillId="0" borderId="0" xfId="399" applyNumberFormat="1" applyFont="1" applyFill="1" applyBorder="1" applyAlignment="1" applyProtection="1">
      <alignment horizontal="center"/>
    </xf>
    <xf numFmtId="174" fontId="51" fillId="0" borderId="0" xfId="93" applyNumberFormat="1" applyFont="1" applyFill="1" applyBorder="1" applyProtection="1"/>
    <xf numFmtId="173" fontId="51" fillId="0" borderId="0" xfId="59" applyNumberFormat="1" applyFont="1" applyFill="1" applyBorder="1" applyProtection="1"/>
    <xf numFmtId="276" fontId="51" fillId="0" borderId="0" xfId="0" applyNumberFormat="1" applyFont="1" applyFill="1" applyAlignment="1" applyProtection="1">
      <alignment horizontal="center"/>
    </xf>
    <xf numFmtId="0" fontId="51" fillId="0" borderId="0" xfId="399" applyFont="1" applyFill="1" applyBorder="1" applyAlignment="1" applyProtection="1">
      <alignment horizontal="left"/>
    </xf>
    <xf numFmtId="172" fontId="105" fillId="0" borderId="0" xfId="0" applyFont="1" applyFill="1" applyProtection="1"/>
    <xf numFmtId="174" fontId="51" fillId="0" borderId="7" xfId="93" applyNumberFormat="1" applyFont="1" applyFill="1" applyBorder="1" applyAlignment="1" applyProtection="1"/>
    <xf numFmtId="277" fontId="51" fillId="0" borderId="7" xfId="93" applyNumberFormat="1" applyFont="1" applyFill="1" applyBorder="1" applyAlignment="1" applyProtection="1"/>
    <xf numFmtId="172" fontId="51" fillId="0" borderId="0" xfId="0" applyFont="1" applyFill="1" applyAlignment="1" applyProtection="1">
      <alignment horizontal="right"/>
    </xf>
    <xf numFmtId="10" fontId="51" fillId="0" borderId="0" xfId="266" applyNumberFormat="1" applyFont="1" applyFill="1" applyProtection="1"/>
    <xf numFmtId="173" fontId="51" fillId="0" borderId="0" xfId="59" applyNumberFormat="1" applyFont="1" applyFill="1" applyProtection="1"/>
    <xf numFmtId="169" fontId="51" fillId="0" borderId="0" xfId="0" applyNumberFormat="1" applyFont="1" applyFill="1" applyAlignment="1" applyProtection="1"/>
    <xf numFmtId="173" fontId="51" fillId="0" borderId="0" xfId="59" quotePrefix="1" applyNumberFormat="1" applyFont="1" applyFill="1" applyAlignment="1" applyProtection="1">
      <alignment horizontal="left"/>
    </xf>
    <xf numFmtId="172" fontId="51" fillId="0" borderId="8" xfId="0" applyFont="1" applyFill="1" applyBorder="1" applyAlignment="1" applyProtection="1"/>
    <xf numFmtId="172" fontId="51" fillId="0" borderId="0" xfId="0" applyFont="1" applyProtection="1"/>
    <xf numFmtId="172" fontId="105" fillId="0" borderId="0" xfId="0" applyFont="1" applyFill="1" applyAlignment="1" applyProtection="1">
      <alignment horizontal="center"/>
    </xf>
    <xf numFmtId="172" fontId="105" fillId="0" borderId="0" xfId="0" applyFont="1" applyProtection="1"/>
    <xf numFmtId="172" fontId="51" fillId="0" borderId="0" xfId="0" applyFont="1" applyAlignment="1" applyProtection="1">
      <alignment horizontal="center"/>
    </xf>
    <xf numFmtId="172" fontId="105" fillId="0" borderId="0" xfId="0" applyFont="1" applyBorder="1" applyAlignment="1" applyProtection="1">
      <alignment horizontal="center"/>
    </xf>
    <xf numFmtId="0" fontId="51" fillId="0" borderId="0" xfId="0" applyNumberFormat="1" applyFont="1" applyAlignment="1" applyProtection="1">
      <alignment horizontal="center"/>
    </xf>
    <xf numFmtId="172" fontId="51" fillId="0" borderId="0" xfId="0" applyFont="1" applyAlignment="1" applyProtection="1">
      <alignment horizontal="right"/>
    </xf>
    <xf numFmtId="37" fontId="51" fillId="0" borderId="0" xfId="0" applyNumberFormat="1" applyFont="1" applyAlignment="1" applyProtection="1">
      <alignment horizontal="right" wrapText="1"/>
    </xf>
    <xf numFmtId="172" fontId="51" fillId="0" borderId="0" xfId="0" applyFont="1" applyAlignment="1" applyProtection="1">
      <alignment horizontal="right" wrapText="1"/>
    </xf>
    <xf numFmtId="0" fontId="105" fillId="0" borderId="0" xfId="0" applyNumberFormat="1" applyFont="1" applyFill="1" applyBorder="1" applyAlignment="1" applyProtection="1">
      <alignment horizontal="center"/>
    </xf>
    <xf numFmtId="37" fontId="51" fillId="0" borderId="0" xfId="0" applyNumberFormat="1" applyFont="1" applyFill="1" applyAlignment="1" applyProtection="1">
      <alignment horizontal="right"/>
    </xf>
    <xf numFmtId="37" fontId="51" fillId="0" borderId="0" xfId="0" applyNumberFormat="1" applyFont="1" applyAlignment="1" applyProtection="1">
      <alignment horizontal="right"/>
    </xf>
    <xf numFmtId="0" fontId="51" fillId="0" borderId="0" xfId="0" applyNumberFormat="1" applyFont="1" applyFill="1" applyBorder="1" applyAlignment="1" applyProtection="1">
      <alignment horizontal="left"/>
    </xf>
    <xf numFmtId="172" fontId="105" fillId="0" borderId="0" xfId="0" applyFont="1" applyFill="1" applyBorder="1" applyProtection="1"/>
    <xf numFmtId="37" fontId="105" fillId="0" borderId="0" xfId="0" applyNumberFormat="1" applyFont="1" applyFill="1" applyProtection="1"/>
    <xf numFmtId="41" fontId="51" fillId="0" borderId="0" xfId="0" applyNumberFormat="1" applyFont="1" applyFill="1" applyBorder="1" applyAlignment="1" applyProtection="1">
      <alignment horizontal="right"/>
    </xf>
    <xf numFmtId="37" fontId="51" fillId="0" borderId="0" xfId="0" applyNumberFormat="1" applyFont="1" applyFill="1" applyProtection="1"/>
    <xf numFmtId="41" fontId="117" fillId="0" borderId="0" xfId="0" applyNumberFormat="1" applyFont="1" applyFill="1" applyBorder="1" applyAlignment="1" applyProtection="1">
      <alignment horizontal="left"/>
    </xf>
    <xf numFmtId="172" fontId="107" fillId="0" borderId="0" xfId="0" applyFont="1" applyFill="1" applyProtection="1"/>
    <xf numFmtId="37" fontId="51" fillId="0" borderId="0" xfId="0" applyNumberFormat="1" applyFont="1" applyFill="1" applyAlignment="1" applyProtection="1">
      <alignment horizontal="right" wrapText="1"/>
    </xf>
    <xf numFmtId="37" fontId="51" fillId="14" borderId="0" xfId="0" applyNumberFormat="1" applyFont="1" applyFill="1" applyProtection="1">
      <protection locked="0"/>
    </xf>
    <xf numFmtId="173" fontId="51" fillId="14" borderId="0" xfId="59" applyNumberFormat="1" applyFont="1" applyFill="1" applyAlignment="1" applyProtection="1">
      <alignment horizontal="right"/>
      <protection locked="0"/>
    </xf>
    <xf numFmtId="0" fontId="45" fillId="0" borderId="0" xfId="383" applyNumberFormat="1" applyFont="1" applyFill="1" applyAlignment="1" applyProtection="1">
      <alignment horizontal="center"/>
    </xf>
    <xf numFmtId="0" fontId="45" fillId="0" borderId="0" xfId="383" applyFont="1" applyFill="1" applyBorder="1" applyAlignment="1" applyProtection="1">
      <alignment horizontal="center"/>
    </xf>
    <xf numFmtId="274" fontId="45" fillId="0" borderId="0" xfId="266" applyNumberFormat="1" applyFont="1" applyFill="1" applyBorder="1" applyAlignment="1" applyProtection="1">
      <alignment horizontal="center"/>
    </xf>
    <xf numFmtId="1" fontId="45" fillId="0" borderId="0" xfId="201" applyNumberFormat="1" applyFont="1" applyFill="1" applyAlignment="1" applyProtection="1">
      <alignment horizontal="left"/>
    </xf>
    <xf numFmtId="172" fontId="121" fillId="0" borderId="0" xfId="201" quotePrefix="1" applyFont="1" applyFill="1" applyAlignment="1" applyProtection="1">
      <alignment horizontal="left"/>
    </xf>
    <xf numFmtId="172" fontId="96" fillId="0" borderId="0" xfId="201" applyFont="1" applyFill="1" applyAlignment="1" applyProtection="1"/>
    <xf numFmtId="0" fontId="76" fillId="0" borderId="0" xfId="383" applyFont="1" applyFill="1" applyAlignment="1" applyProtection="1">
      <alignment horizontal="center" wrapText="1"/>
    </xf>
    <xf numFmtId="0" fontId="76" fillId="0" borderId="0" xfId="383" applyFont="1" applyFill="1" applyBorder="1" applyAlignment="1" applyProtection="1">
      <alignment horizontal="center" wrapText="1"/>
    </xf>
    <xf numFmtId="172" fontId="45" fillId="0" borderId="0" xfId="201" applyFont="1" applyFill="1" applyAlignment="1" applyProtection="1"/>
    <xf numFmtId="43" fontId="45" fillId="0" borderId="0" xfId="59" applyFont="1" applyFill="1" applyAlignment="1" applyProtection="1"/>
    <xf numFmtId="10" fontId="122" fillId="0" borderId="0" xfId="383" applyNumberFormat="1" applyFont="1" applyFill="1" applyBorder="1" applyProtection="1"/>
    <xf numFmtId="43" fontId="76" fillId="0" borderId="0" xfId="59" applyFont="1" applyFill="1" applyBorder="1" applyProtection="1"/>
    <xf numFmtId="0" fontId="76" fillId="0" borderId="0" xfId="383" applyFont="1" applyFill="1" applyBorder="1" applyProtection="1"/>
    <xf numFmtId="0" fontId="45" fillId="0" borderId="0" xfId="383" applyNumberFormat="1" applyFont="1" applyFill="1" applyBorder="1" applyAlignment="1" applyProtection="1">
      <alignment horizontal="center"/>
    </xf>
    <xf numFmtId="0" fontId="76" fillId="0" borderId="0" xfId="383" applyFont="1" applyFill="1" applyBorder="1" applyAlignment="1" applyProtection="1">
      <alignment horizontal="center"/>
    </xf>
    <xf numFmtId="10" fontId="76" fillId="0" borderId="0" xfId="383" applyNumberFormat="1" applyFont="1" applyFill="1" applyBorder="1" applyProtection="1"/>
    <xf numFmtId="172" fontId="45" fillId="0" borderId="0" xfId="201" quotePrefix="1" applyFont="1" applyFill="1" applyBorder="1" applyAlignment="1" applyProtection="1">
      <alignment horizontal="left"/>
    </xf>
    <xf numFmtId="43" fontId="45" fillId="0" borderId="0" xfId="59" applyFont="1" applyFill="1" applyBorder="1" applyAlignment="1" applyProtection="1"/>
    <xf numFmtId="0" fontId="123" fillId="0" borderId="0" xfId="383" applyFont="1" applyFill="1" applyBorder="1" applyProtection="1"/>
    <xf numFmtId="172" fontId="45" fillId="0" borderId="0" xfId="201" applyFont="1" applyFill="1" applyAlignment="1" applyProtection="1">
      <alignment horizontal="left"/>
    </xf>
    <xf numFmtId="182" fontId="45" fillId="0" borderId="0" xfId="59" applyNumberFormat="1" applyFont="1" applyFill="1" applyAlignment="1" applyProtection="1"/>
    <xf numFmtId="172" fontId="45" fillId="0" borderId="8" xfId="201" applyFont="1" applyFill="1" applyBorder="1" applyAlignment="1" applyProtection="1"/>
    <xf numFmtId="172" fontId="45" fillId="0" borderId="0" xfId="201" applyFont="1" applyFill="1" applyAlignment="1" applyProtection="1">
      <alignment horizontal="center"/>
    </xf>
    <xf numFmtId="0" fontId="76" fillId="0" borderId="0" xfId="383" applyFont="1" applyFill="1" applyProtection="1"/>
    <xf numFmtId="172" fontId="55" fillId="0" borderId="0" xfId="0" applyFont="1" applyFill="1" applyBorder="1" applyAlignment="1" applyProtection="1">
      <alignment horizontal="center"/>
    </xf>
    <xf numFmtId="172" fontId="55" fillId="0" borderId="3"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0" xfId="0" applyFont="1" applyFill="1" applyBorder="1" applyProtection="1"/>
    <xf numFmtId="172" fontId="55" fillId="0" borderId="12" xfId="201" applyFont="1" applyFill="1" applyBorder="1" applyAlignment="1" applyProtection="1"/>
    <xf numFmtId="172" fontId="55" fillId="0" borderId="12" xfId="0" applyFont="1" applyFill="1" applyBorder="1" applyAlignment="1" applyProtection="1">
      <alignment horizontal="center"/>
    </xf>
    <xf numFmtId="172" fontId="55" fillId="0" borderId="0" xfId="201" applyFont="1" applyFill="1" applyBorder="1" applyAlignment="1" applyProtection="1">
      <alignment horizontal="center" wrapText="1"/>
    </xf>
    <xf numFmtId="172" fontId="55" fillId="0" borderId="0" xfId="0" applyFont="1" applyFill="1" applyBorder="1" applyAlignment="1" applyProtection="1">
      <alignment horizontal="center" wrapText="1"/>
    </xf>
    <xf numFmtId="172" fontId="55" fillId="0" borderId="12" xfId="201" applyFont="1" applyFill="1" applyBorder="1" applyAlignment="1" applyProtection="1">
      <alignment horizontal="center"/>
    </xf>
    <xf numFmtId="172" fontId="55" fillId="0" borderId="12" xfId="0" applyFont="1" applyFill="1" applyBorder="1" applyAlignment="1" applyProtection="1">
      <alignment horizontal="center" wrapText="1"/>
    </xf>
    <xf numFmtId="43" fontId="55" fillId="0" borderId="0" xfId="59" applyFont="1" applyFill="1" applyBorder="1" applyProtection="1"/>
    <xf numFmtId="173" fontId="55" fillId="0" borderId="12" xfId="59" applyNumberFormat="1" applyFont="1" applyFill="1" applyBorder="1" applyProtection="1"/>
    <xf numFmtId="273" fontId="55" fillId="0" borderId="0" xfId="59" applyNumberFormat="1" applyFont="1" applyFill="1" applyBorder="1" applyAlignment="1" applyProtection="1"/>
    <xf numFmtId="43" fontId="55" fillId="0" borderId="12" xfId="59" applyFont="1" applyFill="1" applyBorder="1" applyProtection="1"/>
    <xf numFmtId="172" fontId="55" fillId="0" borderId="17" xfId="0" applyFont="1" applyFill="1" applyBorder="1" applyProtection="1"/>
    <xf numFmtId="172" fontId="55" fillId="0" borderId="1" xfId="0" applyFont="1" applyFill="1" applyBorder="1" applyProtection="1"/>
    <xf numFmtId="43" fontId="55" fillId="0" borderId="1" xfId="59" applyFont="1" applyFill="1" applyBorder="1" applyProtection="1"/>
    <xf numFmtId="43" fontId="55" fillId="0" borderId="21" xfId="59" applyFont="1" applyFill="1" applyBorder="1" applyProtection="1"/>
    <xf numFmtId="10" fontId="55" fillId="0" borderId="0" xfId="266" applyNumberFormat="1" applyFont="1" applyFill="1" applyBorder="1" applyProtection="1"/>
    <xf numFmtId="172" fontId="105" fillId="0" borderId="0" xfId="201" applyFont="1" applyFill="1" applyAlignment="1" applyProtection="1"/>
    <xf numFmtId="172" fontId="51" fillId="0" borderId="0" xfId="201" applyFont="1" applyFill="1" applyAlignment="1" applyProtection="1">
      <alignment horizontal="center"/>
    </xf>
    <xf numFmtId="172" fontId="51" fillId="0" borderId="0" xfId="0" applyFont="1" applyFill="1" applyBorder="1" applyAlignment="1" applyProtection="1"/>
    <xf numFmtId="172" fontId="106" fillId="0" borderId="0" xfId="0" applyFont="1" applyFill="1" applyAlignment="1" applyProtection="1"/>
    <xf numFmtId="0" fontId="51" fillId="0" borderId="0" xfId="187" applyFont="1" applyFill="1" applyBorder="1" applyAlignment="1" applyProtection="1">
      <alignment horizontal="center"/>
    </xf>
    <xf numFmtId="0" fontId="107" fillId="0" borderId="0" xfId="187" applyFont="1" applyFill="1" applyBorder="1" applyAlignment="1" applyProtection="1">
      <alignment horizontal="left"/>
    </xf>
    <xf numFmtId="0" fontId="51" fillId="0" borderId="0" xfId="187" applyFont="1" applyFill="1" applyBorder="1" applyAlignment="1" applyProtection="1"/>
    <xf numFmtId="49" fontId="51" fillId="0" borderId="0" xfId="187" applyNumberFormat="1" applyFont="1" applyFill="1" applyBorder="1" applyAlignment="1" applyProtection="1">
      <alignment horizontal="center"/>
    </xf>
    <xf numFmtId="0" fontId="51" fillId="0" borderId="0" xfId="187" applyFont="1" applyFill="1" applyBorder="1" applyProtection="1"/>
    <xf numFmtId="172" fontId="105" fillId="0" borderId="1" xfId="201" applyFont="1" applyFill="1" applyBorder="1" applyAlignment="1" applyProtection="1">
      <alignment horizontal="center" wrapText="1"/>
    </xf>
    <xf numFmtId="172" fontId="105" fillId="0" borderId="0" xfId="201" applyFont="1" applyFill="1" applyAlignment="1" applyProtection="1">
      <alignment horizontal="center" wrapText="1"/>
    </xf>
    <xf numFmtId="3" fontId="51" fillId="0" borderId="0" xfId="187" applyNumberFormat="1" applyFont="1" applyFill="1" applyBorder="1" applyAlignment="1" applyProtection="1"/>
    <xf numFmtId="0" fontId="51" fillId="0" borderId="0" xfId="204" applyFont="1" applyFill="1" applyBorder="1" applyAlignment="1" applyProtection="1"/>
    <xf numFmtId="173" fontId="51" fillId="0" borderId="1" xfId="59" applyNumberFormat="1" applyFont="1" applyFill="1" applyBorder="1" applyAlignment="1" applyProtection="1"/>
    <xf numFmtId="172" fontId="51" fillId="0" borderId="0" xfId="201" applyFont="1" applyFill="1" applyBorder="1" applyAlignment="1" applyProtection="1"/>
    <xf numFmtId="172" fontId="51" fillId="0" borderId="8" xfId="201" applyFont="1" applyFill="1" applyBorder="1" applyAlignment="1" applyProtection="1"/>
    <xf numFmtId="172" fontId="51" fillId="0" borderId="0" xfId="201" applyFont="1" applyFill="1" applyBorder="1" applyAlignment="1" applyProtection="1">
      <alignment horizontal="center" vertical="top"/>
    </xf>
    <xf numFmtId="172" fontId="51" fillId="0" borderId="0" xfId="201" applyFont="1" applyFill="1" applyBorder="1" applyAlignment="1" applyProtection="1">
      <alignment horizontal="left"/>
    </xf>
    <xf numFmtId="172" fontId="51" fillId="0" borderId="0" xfId="201" applyFont="1" applyFill="1" applyBorder="1" applyAlignment="1" applyProtection="1">
      <alignment vertical="top"/>
    </xf>
    <xf numFmtId="0" fontId="51" fillId="0" borderId="0" xfId="0" applyNumberFormat="1" applyFont="1" applyFill="1" applyAlignment="1" applyProtection="1">
      <alignment horizontal="center" vertical="center"/>
    </xf>
    <xf numFmtId="9" fontId="51" fillId="0" borderId="0" xfId="266" applyFont="1" applyFill="1" applyAlignment="1" applyProtection="1"/>
    <xf numFmtId="172" fontId="51" fillId="0" borderId="0" xfId="0" applyFont="1" applyAlignment="1" applyProtection="1"/>
    <xf numFmtId="0" fontId="45" fillId="0" borderId="0" xfId="0" applyNumberFormat="1" applyFont="1" applyAlignment="1" applyProtection="1">
      <alignment horizontal="center"/>
    </xf>
    <xf numFmtId="172" fontId="45" fillId="0" borderId="0" xfId="0" applyFont="1" applyProtection="1"/>
    <xf numFmtId="173" fontId="45" fillId="0" borderId="0" xfId="59" applyNumberFormat="1" applyFont="1" applyProtection="1"/>
    <xf numFmtId="172" fontId="45" fillId="0" borderId="0" xfId="0" applyFont="1" applyBorder="1" applyProtection="1"/>
    <xf numFmtId="280" fontId="45" fillId="0" borderId="0" xfId="0" applyNumberFormat="1" applyFont="1" applyBorder="1" applyProtection="1"/>
    <xf numFmtId="0" fontId="45" fillId="0" borderId="0" xfId="398" applyFont="1" applyAlignment="1" applyProtection="1">
      <alignment horizontal="center"/>
    </xf>
    <xf numFmtId="43" fontId="45" fillId="0" borderId="0" xfId="59" applyFont="1" applyAlignment="1" applyProtection="1">
      <alignment horizontal="center"/>
    </xf>
    <xf numFmtId="10" fontId="45" fillId="0" borderId="0" xfId="266" applyNumberFormat="1" applyFont="1" applyAlignment="1" applyProtection="1">
      <alignment horizontal="center"/>
    </xf>
    <xf numFmtId="0" fontId="45" fillId="0" borderId="0" xfId="398" applyFont="1" applyProtection="1"/>
    <xf numFmtId="0" fontId="45" fillId="0" borderId="1" xfId="398" applyFont="1" applyBorder="1" applyAlignment="1" applyProtection="1">
      <alignment horizontal="center"/>
    </xf>
    <xf numFmtId="43" fontId="45" fillId="0" borderId="1" xfId="59" applyFont="1" applyBorder="1" applyAlignment="1" applyProtection="1">
      <alignment horizontal="center"/>
    </xf>
    <xf numFmtId="173" fontId="45" fillId="0" borderId="1" xfId="59" applyNumberFormat="1" applyFont="1" applyBorder="1" applyAlignment="1" applyProtection="1">
      <alignment horizontal="center"/>
    </xf>
    <xf numFmtId="0" fontId="112" fillId="0" borderId="0" xfId="398" applyFont="1" applyAlignment="1" applyProtection="1">
      <alignment horizontal="center" vertical="center"/>
    </xf>
    <xf numFmtId="0" fontId="113" fillId="0" borderId="0" xfId="398" applyFont="1" applyAlignment="1" applyProtection="1">
      <alignment horizontal="center" vertical="center"/>
    </xf>
    <xf numFmtId="43" fontId="113" fillId="0" borderId="0" xfId="59" applyFont="1" applyAlignment="1" applyProtection="1">
      <alignment horizontal="center" vertical="center"/>
    </xf>
    <xf numFmtId="10" fontId="113" fillId="0" borderId="0" xfId="266" applyNumberFormat="1" applyFont="1" applyAlignment="1" applyProtection="1">
      <alignment horizontal="center" vertical="center"/>
    </xf>
    <xf numFmtId="173" fontId="113" fillId="0" borderId="0" xfId="59" applyNumberFormat="1" applyFont="1" applyAlignment="1" applyProtection="1">
      <alignment horizontal="center" vertical="center"/>
    </xf>
    <xf numFmtId="0" fontId="96" fillId="0" borderId="0" xfId="398" applyFont="1" applyAlignment="1" applyProtection="1">
      <alignment horizontal="center" vertical="center"/>
    </xf>
    <xf numFmtId="0" fontId="45" fillId="0" borderId="0" xfId="398" applyFont="1" applyAlignment="1" applyProtection="1">
      <alignment horizontal="center" vertical="center"/>
    </xf>
    <xf numFmtId="43" fontId="45" fillId="0" borderId="0" xfId="59" applyFont="1" applyAlignment="1" applyProtection="1">
      <alignment horizontal="center" vertical="center"/>
    </xf>
    <xf numFmtId="10" fontId="45" fillId="0" borderId="0" xfId="266" applyNumberFormat="1" applyFont="1" applyAlignment="1" applyProtection="1">
      <alignment horizontal="center" vertical="center"/>
    </xf>
    <xf numFmtId="173" fontId="45" fillId="0" borderId="0" xfId="59" applyNumberFormat="1" applyFont="1" applyAlignment="1" applyProtection="1">
      <alignment horizontal="center" vertical="center"/>
    </xf>
    <xf numFmtId="0" fontId="45" fillId="0" borderId="0" xfId="398" applyFont="1" applyAlignment="1" applyProtection="1">
      <alignment horizontal="left"/>
    </xf>
    <xf numFmtId="0" fontId="45" fillId="0" borderId="0" xfId="398" applyFont="1" applyFill="1" applyAlignment="1" applyProtection="1">
      <alignment horizontal="center"/>
    </xf>
    <xf numFmtId="2" fontId="45" fillId="0" borderId="0" xfId="398" applyNumberFormat="1" applyFont="1" applyFill="1" applyAlignment="1" applyProtection="1">
      <alignment horizontal="center"/>
    </xf>
    <xf numFmtId="43" fontId="45" fillId="0" borderId="0" xfId="59" applyFont="1" applyFill="1" applyBorder="1" applyAlignment="1" applyProtection="1">
      <alignment horizontal="center"/>
    </xf>
    <xf numFmtId="173" fontId="96" fillId="0" borderId="4" xfId="59" applyNumberFormat="1" applyFont="1" applyBorder="1" applyAlignment="1" applyProtection="1">
      <alignment horizontal="center"/>
    </xf>
    <xf numFmtId="173" fontId="96" fillId="0" borderId="0" xfId="59" applyNumberFormat="1" applyFont="1" applyBorder="1" applyAlignment="1" applyProtection="1">
      <alignment horizontal="center"/>
    </xf>
    <xf numFmtId="0" fontId="96" fillId="0" borderId="0" xfId="398" applyFont="1" applyAlignment="1" applyProtection="1">
      <alignment horizontal="left" vertical="center"/>
    </xf>
    <xf numFmtId="177" fontId="114" fillId="0" borderId="0" xfId="59" applyNumberFormat="1" applyFont="1" applyFill="1" applyAlignment="1" applyProtection="1">
      <alignment horizontal="center"/>
    </xf>
    <xf numFmtId="173" fontId="96" fillId="0" borderId="0" xfId="59" applyNumberFormat="1" applyFont="1" applyFill="1" applyBorder="1" applyAlignment="1" applyProtection="1">
      <alignment horizontal="center"/>
    </xf>
    <xf numFmtId="173" fontId="114" fillId="0" borderId="0" xfId="59" applyNumberFormat="1" applyFont="1" applyFill="1" applyAlignment="1" applyProtection="1">
      <alignment horizontal="center"/>
    </xf>
    <xf numFmtId="173" fontId="114" fillId="0" borderId="0" xfId="59" applyNumberFormat="1" applyFont="1" applyBorder="1" applyAlignment="1" applyProtection="1">
      <alignment horizontal="center"/>
    </xf>
    <xf numFmtId="0" fontId="45" fillId="0" borderId="0" xfId="398" applyFont="1" applyAlignment="1" applyProtection="1">
      <alignment horizontal="left" indent="1"/>
    </xf>
    <xf numFmtId="0" fontId="45" fillId="0" borderId="0" xfId="398" applyFont="1" applyFill="1" applyAlignment="1" applyProtection="1">
      <alignment horizontal="right"/>
    </xf>
    <xf numFmtId="274" fontId="45" fillId="0" borderId="0" xfId="266" applyNumberFormat="1" applyFont="1" applyFill="1" applyAlignment="1" applyProtection="1">
      <alignment horizontal="center"/>
    </xf>
    <xf numFmtId="173" fontId="45" fillId="0" borderId="0" xfId="59" applyNumberFormat="1" applyFont="1" applyFill="1" applyProtection="1"/>
    <xf numFmtId="173" fontId="45" fillId="0" borderId="0" xfId="59" applyNumberFormat="1" applyFont="1" applyFill="1" applyBorder="1" applyProtection="1"/>
    <xf numFmtId="280" fontId="45" fillId="0" borderId="0" xfId="266" applyNumberFormat="1" applyFont="1" applyBorder="1" applyProtection="1"/>
    <xf numFmtId="173" fontId="45" fillId="0" borderId="0" xfId="59" applyNumberFormat="1" applyFont="1" applyFill="1" applyBorder="1" applyAlignment="1" applyProtection="1"/>
    <xf numFmtId="173" fontId="115" fillId="0" borderId="14" xfId="59" applyNumberFormat="1" applyFont="1" applyFill="1" applyBorder="1" applyAlignment="1" applyProtection="1"/>
    <xf numFmtId="172" fontId="114" fillId="0" borderId="0" xfId="0" applyFont="1" applyProtection="1"/>
    <xf numFmtId="173" fontId="115" fillId="0" borderId="0" xfId="59" applyNumberFormat="1" applyFont="1" applyFill="1" applyBorder="1" applyAlignment="1" applyProtection="1"/>
    <xf numFmtId="173" fontId="45" fillId="0" borderId="0" xfId="59" applyNumberFormat="1" applyFont="1" applyBorder="1" applyProtection="1"/>
    <xf numFmtId="274" fontId="114" fillId="0" borderId="0" xfId="59" applyNumberFormat="1" applyFont="1" applyFill="1" applyAlignment="1" applyProtection="1">
      <alignment horizontal="center"/>
    </xf>
    <xf numFmtId="274"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vertical="center" wrapText="1"/>
    </xf>
    <xf numFmtId="173" fontId="45" fillId="0" borderId="0" xfId="59" applyNumberFormat="1" applyFont="1" applyFill="1" applyBorder="1" applyAlignment="1" applyProtection="1">
      <alignment vertical="center" wrapText="1"/>
    </xf>
    <xf numFmtId="3" fontId="45" fillId="0" borderId="0" xfId="0" applyNumberFormat="1" applyFont="1" applyProtection="1"/>
    <xf numFmtId="172" fontId="117" fillId="0" borderId="0" xfId="0" applyFont="1" applyProtection="1"/>
    <xf numFmtId="10" fontId="45" fillId="0" borderId="0" xfId="0" applyNumberFormat="1" applyFont="1" applyFill="1" applyAlignment="1" applyProtection="1">
      <alignment vertical="center" wrapText="1"/>
    </xf>
    <xf numFmtId="173" fontId="115" fillId="0" borderId="14" xfId="59" applyNumberFormat="1" applyFont="1" applyFill="1" applyBorder="1" applyAlignment="1" applyProtection="1">
      <alignment vertical="center" wrapText="1"/>
    </xf>
    <xf numFmtId="173" fontId="115" fillId="0" borderId="0" xfId="59" applyNumberFormat="1" applyFont="1" applyFill="1" applyBorder="1" applyAlignment="1" applyProtection="1">
      <alignment vertical="center" wrapText="1"/>
    </xf>
    <xf numFmtId="0" fontId="45" fillId="0" borderId="0" xfId="398" applyFont="1" applyFill="1" applyAlignment="1" applyProtection="1">
      <alignment horizontal="left"/>
    </xf>
    <xf numFmtId="0" fontId="45" fillId="0" borderId="0" xfId="398" applyFont="1" applyFill="1" applyAlignment="1" applyProtection="1">
      <alignment horizontal="left" indent="1"/>
    </xf>
    <xf numFmtId="10" fontId="45" fillId="0" borderId="0" xfId="0" applyNumberFormat="1" applyFont="1" applyFill="1" applyAlignment="1" applyProtection="1">
      <alignment horizontal="center"/>
    </xf>
    <xf numFmtId="172" fontId="118" fillId="0" borderId="0" xfId="0" applyFont="1" applyFill="1" applyAlignment="1" applyProtection="1">
      <alignment vertical="center" wrapText="1"/>
    </xf>
    <xf numFmtId="274" fontId="45" fillId="0" borderId="0" xfId="0" applyNumberFormat="1" applyFont="1" applyFill="1" applyAlignment="1" applyProtection="1">
      <alignment horizontal="center"/>
    </xf>
    <xf numFmtId="43" fontId="45" fillId="0" borderId="0" xfId="59" applyNumberFormat="1" applyFont="1" applyProtection="1"/>
    <xf numFmtId="274" fontId="45" fillId="0" borderId="0" xfId="0" applyNumberFormat="1" applyFont="1" applyAlignment="1" applyProtection="1">
      <alignment horizontal="center"/>
    </xf>
    <xf numFmtId="43" fontId="45" fillId="0" borderId="0" xfId="59" applyNumberFormat="1" applyFont="1" applyFill="1" applyProtection="1"/>
    <xf numFmtId="173" fontId="45" fillId="0" borderId="0" xfId="59" applyNumberFormat="1" applyFont="1" applyFill="1" applyBorder="1" applyAlignment="1" applyProtection="1">
      <alignment horizontal="right"/>
    </xf>
    <xf numFmtId="10"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horizontal="right" vertical="center" wrapText="1"/>
    </xf>
    <xf numFmtId="173" fontId="45" fillId="0" borderId="0" xfId="59" applyNumberFormat="1" applyFont="1" applyFill="1" applyBorder="1" applyAlignment="1" applyProtection="1">
      <alignment horizontal="right" vertical="center" wrapText="1"/>
    </xf>
    <xf numFmtId="172" fontId="119" fillId="0" borderId="0" xfId="0" applyFont="1" applyProtection="1"/>
    <xf numFmtId="173" fontId="45" fillId="14" borderId="0" xfId="59" applyNumberFormat="1" applyFont="1" applyFill="1" applyBorder="1" applyAlignment="1" applyProtection="1">
      <alignment horizontal="right" vertical="center" wrapText="1"/>
    </xf>
    <xf numFmtId="173" fontId="45" fillId="14" borderId="0" xfId="59" applyNumberFormat="1" applyFont="1" applyFill="1" applyBorder="1" applyAlignment="1" applyProtection="1">
      <alignment vertical="center" wrapText="1"/>
    </xf>
    <xf numFmtId="173" fontId="115" fillId="0" borderId="14" xfId="59" applyNumberFormat="1" applyFont="1" applyFill="1" applyBorder="1" applyProtection="1"/>
    <xf numFmtId="173" fontId="115" fillId="0" borderId="0" xfId="59" applyNumberFormat="1" applyFont="1" applyFill="1" applyBorder="1" applyProtection="1"/>
    <xf numFmtId="41" fontId="45" fillId="0" borderId="0" xfId="0" applyNumberFormat="1" applyFont="1" applyProtection="1"/>
    <xf numFmtId="0" fontId="45" fillId="0" borderId="0" xfId="398" applyFont="1" applyFill="1" applyAlignment="1" applyProtection="1">
      <alignment horizontal="center" vertical="top"/>
    </xf>
    <xf numFmtId="172" fontId="45" fillId="0" borderId="0" xfId="0" applyFont="1" applyFill="1" applyAlignment="1" applyProtection="1">
      <alignment horizontal="left" wrapText="1"/>
    </xf>
    <xf numFmtId="172" fontId="45" fillId="0" borderId="0" xfId="0" applyFont="1" applyBorder="1" applyAlignment="1" applyProtection="1">
      <alignment horizontal="center"/>
    </xf>
    <xf numFmtId="172" fontId="45" fillId="0" borderId="0" xfId="0" applyFont="1" applyAlignment="1" applyProtection="1">
      <alignment horizontal="left" vertical="center" wrapText="1"/>
    </xf>
    <xf numFmtId="174" fontId="45" fillId="0" borderId="0" xfId="93" applyNumberFormat="1" applyFont="1" applyAlignment="1" applyProtection="1"/>
    <xf numFmtId="0" fontId="45" fillId="0" borderId="0" xfId="398" quotePrefix="1" applyFont="1" applyAlignment="1" applyProtection="1">
      <alignment horizontal="center"/>
    </xf>
    <xf numFmtId="43" fontId="45" fillId="0" borderId="0" xfId="59" quotePrefix="1" applyFont="1" applyAlignment="1" applyProtection="1">
      <alignment horizontal="center"/>
    </xf>
    <xf numFmtId="172" fontId="45" fillId="0" borderId="0" xfId="0" applyFont="1" applyAlignment="1" applyProtection="1">
      <alignment horizontal="left" indent="1"/>
    </xf>
    <xf numFmtId="10" fontId="45" fillId="0" borderId="0" xfId="266" applyNumberFormat="1" applyFont="1" applyAlignment="1" applyProtection="1"/>
    <xf numFmtId="173" fontId="45" fillId="0" borderId="0" xfId="59" applyNumberFormat="1" applyFont="1" applyAlignment="1" applyProtection="1">
      <alignment horizontal="left" vertical="center" wrapText="1"/>
    </xf>
    <xf numFmtId="172" fontId="45" fillId="0" borderId="0" xfId="0" applyFont="1" applyAlignment="1" applyProtection="1">
      <alignment horizontal="left" indent="2"/>
    </xf>
    <xf numFmtId="172" fontId="96" fillId="0" borderId="0" xfId="0" applyFont="1" applyAlignment="1" applyProtection="1">
      <alignment horizontal="left" indent="1"/>
    </xf>
    <xf numFmtId="0" fontId="55" fillId="0" borderId="0" xfId="211" applyNumberFormat="1" applyFont="1" applyProtection="1"/>
    <xf numFmtId="172" fontId="45" fillId="0" borderId="0" xfId="0" applyFont="1" applyAlignment="1" applyProtection="1">
      <alignment horizontal="center" wrapText="1"/>
    </xf>
    <xf numFmtId="172" fontId="45" fillId="0" borderId="0" xfId="0" applyFont="1" applyFill="1" applyBorder="1" applyAlignment="1" applyProtection="1">
      <alignment horizontal="center" wrapText="1"/>
    </xf>
    <xf numFmtId="174" fontId="45" fillId="0" borderId="0" xfId="93" applyNumberFormat="1" applyFont="1" applyFill="1" applyBorder="1" applyProtection="1"/>
    <xf numFmtId="10" fontId="45" fillId="0" borderId="0" xfId="266" applyNumberFormat="1" applyFont="1" applyProtection="1"/>
    <xf numFmtId="174" fontId="45" fillId="0" borderId="0" xfId="93" applyNumberFormat="1" applyFont="1" applyProtection="1"/>
    <xf numFmtId="172" fontId="45" fillId="0" borderId="0" xfId="0" applyFont="1" applyAlignment="1" applyProtection="1">
      <alignment horizontal="right"/>
    </xf>
    <xf numFmtId="280" fontId="116" fillId="0" borderId="0" xfId="0" applyNumberFormat="1" applyFont="1" applyBorder="1" applyAlignment="1" applyProtection="1">
      <alignment horizontal="right"/>
    </xf>
    <xf numFmtId="41" fontId="45" fillId="0" borderId="0" xfId="0" applyNumberFormat="1" applyFont="1" applyBorder="1" applyProtection="1"/>
    <xf numFmtId="172" fontId="120" fillId="0" borderId="0" xfId="0" applyFont="1" applyProtection="1"/>
    <xf numFmtId="0" fontId="45" fillId="0" borderId="8" xfId="398" applyFont="1" applyBorder="1" applyAlignment="1" applyProtection="1">
      <alignment horizontal="left"/>
    </xf>
    <xf numFmtId="49" fontId="45" fillId="0" borderId="0" xfId="398" applyNumberFormat="1" applyFont="1" applyAlignment="1" applyProtection="1">
      <alignment horizontal="left" indent="1"/>
    </xf>
    <xf numFmtId="0" fontId="45" fillId="0" borderId="0" xfId="0" applyNumberFormat="1" applyFont="1" applyAlignment="1" applyProtection="1">
      <alignment horizontal="center" vertical="top"/>
    </xf>
    <xf numFmtId="0" fontId="45" fillId="0" borderId="0" xfId="398" applyFont="1" applyAlignment="1" applyProtection="1">
      <alignment horizontal="center" vertical="top"/>
    </xf>
    <xf numFmtId="0" fontId="45" fillId="0" borderId="0" xfId="398" applyFont="1" applyAlignment="1" applyProtection="1">
      <alignment vertical="top"/>
    </xf>
    <xf numFmtId="172" fontId="45" fillId="0" borderId="0" xfId="0" applyFont="1" applyAlignment="1" applyProtection="1">
      <alignment vertical="top"/>
    </xf>
    <xf numFmtId="173" fontId="45" fillId="0" borderId="0" xfId="59" applyNumberFormat="1" applyFont="1" applyAlignment="1" applyProtection="1">
      <alignment vertical="top"/>
    </xf>
    <xf numFmtId="172" fontId="45" fillId="0" borderId="0" xfId="0" applyFont="1" applyBorder="1" applyAlignment="1" applyProtection="1">
      <alignment vertical="top"/>
    </xf>
    <xf numFmtId="280" fontId="45" fillId="0" borderId="0" xfId="0" applyNumberFormat="1" applyFont="1" applyBorder="1" applyAlignment="1" applyProtection="1">
      <alignment vertical="top"/>
    </xf>
    <xf numFmtId="173" fontId="45" fillId="14" borderId="0" xfId="59" applyNumberFormat="1" applyFont="1" applyFill="1" applyAlignment="1" applyProtection="1">
      <protection locked="0"/>
    </xf>
    <xf numFmtId="0" fontId="51" fillId="0" borderId="0" xfId="389" applyFont="1" applyFill="1" applyAlignment="1" applyProtection="1">
      <alignment horizontal="center"/>
    </xf>
    <xf numFmtId="172" fontId="96" fillId="0" borderId="0" xfId="0" applyFont="1" applyAlignment="1" applyProtection="1"/>
    <xf numFmtId="279" fontId="45" fillId="0" borderId="0" xfId="0" applyNumberFormat="1" applyFont="1" applyFill="1" applyAlignment="1" applyProtection="1">
      <alignment horizontal="center"/>
    </xf>
    <xf numFmtId="0" fontId="45" fillId="0" borderId="0" xfId="0" applyNumberFormat="1" applyFont="1" applyFill="1" applyAlignment="1" applyProtection="1">
      <alignment horizontal="center"/>
    </xf>
    <xf numFmtId="172" fontId="45" fillId="0" borderId="0" xfId="0" applyFont="1" applyFill="1" applyAlignment="1" applyProtection="1">
      <alignment horizontal="left" indent="2"/>
    </xf>
    <xf numFmtId="174" fontId="45" fillId="0" borderId="0" xfId="93" applyNumberFormat="1" applyFont="1" applyFill="1" applyAlignment="1" applyProtection="1"/>
    <xf numFmtId="172" fontId="96" fillId="0" borderId="0" xfId="0" applyFont="1" applyFill="1" applyAlignment="1" applyProtection="1">
      <alignment horizontal="left"/>
    </xf>
    <xf numFmtId="172" fontId="105" fillId="0" borderId="0" xfId="0" applyFont="1" applyAlignment="1" applyProtection="1"/>
    <xf numFmtId="173" fontId="45" fillId="0" borderId="0" xfId="93" applyNumberFormat="1" applyFont="1" applyFill="1" applyAlignment="1" applyProtection="1"/>
    <xf numFmtId="173" fontId="45" fillId="0" borderId="0" xfId="93" applyNumberFormat="1" applyFont="1" applyAlignment="1" applyProtection="1"/>
    <xf numFmtId="279" fontId="45" fillId="0" borderId="0" xfId="0" applyNumberFormat="1" applyFont="1" applyFill="1" applyAlignment="1" applyProtection="1"/>
    <xf numFmtId="173" fontId="45" fillId="0" borderId="0" xfId="0" applyNumberFormat="1" applyFont="1" applyFill="1" applyAlignment="1" applyProtection="1"/>
    <xf numFmtId="172" fontId="51" fillId="0" borderId="8" xfId="0" applyFont="1" applyBorder="1" applyAlignment="1" applyProtection="1"/>
    <xf numFmtId="172" fontId="51" fillId="0" borderId="0" xfId="0" applyFont="1" applyAlignment="1" applyProtection="1">
      <alignment horizontal="right" vertical="center"/>
    </xf>
    <xf numFmtId="172" fontId="51" fillId="0" borderId="0" xfId="0" applyFont="1" applyAlignment="1" applyProtection="1">
      <alignment horizontal="left" vertical="center"/>
    </xf>
    <xf numFmtId="172" fontId="51" fillId="0" borderId="0" xfId="0" applyFont="1" applyAlignment="1" applyProtection="1">
      <alignment horizontal="left" vertical="center" indent="7"/>
    </xf>
    <xf numFmtId="0" fontId="45" fillId="0" borderId="0" xfId="0" applyNumberFormat="1" applyFont="1" applyAlignment="1" applyProtection="1"/>
    <xf numFmtId="0" fontId="45" fillId="0" borderId="0" xfId="212" applyFont="1" applyFill="1" applyProtection="1"/>
    <xf numFmtId="0" fontId="45" fillId="0" borderId="0" xfId="212" applyFont="1" applyFill="1" applyAlignment="1" applyProtection="1">
      <alignment horizontal="right"/>
    </xf>
    <xf numFmtId="172" fontId="45" fillId="0" borderId="0" xfId="0" applyFont="1" applyFill="1" applyAlignment="1" applyProtection="1">
      <alignment horizontal="right"/>
    </xf>
    <xf numFmtId="9" fontId="45" fillId="0" borderId="0" xfId="266" applyFont="1" applyFill="1" applyAlignment="1" applyProtection="1"/>
    <xf numFmtId="0" fontId="96" fillId="0" borderId="1" xfId="0" applyNumberFormat="1" applyFont="1" applyBorder="1" applyAlignment="1" applyProtection="1">
      <alignment horizontal="center"/>
    </xf>
    <xf numFmtId="3" fontId="96" fillId="0" borderId="0" xfId="0" applyNumberFormat="1" applyFont="1" applyFill="1" applyAlignment="1" applyProtection="1"/>
    <xf numFmtId="169" fontId="96" fillId="0" borderId="0" xfId="0" applyNumberFormat="1" applyFont="1" applyAlignment="1" applyProtection="1"/>
    <xf numFmtId="174" fontId="96" fillId="0" borderId="0" xfId="93" applyNumberFormat="1" applyFont="1" applyAlignment="1" applyProtection="1"/>
    <xf numFmtId="3" fontId="45" fillId="0" borderId="0" xfId="0" applyNumberFormat="1" applyFont="1" applyFill="1" applyAlignment="1" applyProtection="1"/>
    <xf numFmtId="172" fontId="45" fillId="0" borderId="0" xfId="0" applyFont="1" applyAlignment="1" applyProtection="1">
      <alignment wrapText="1"/>
    </xf>
    <xf numFmtId="173" fontId="55" fillId="14" borderId="0" xfId="59" applyNumberFormat="1" applyFont="1" applyFill="1" applyBorder="1" applyProtection="1">
      <protection locked="0"/>
    </xf>
    <xf numFmtId="173" fontId="55" fillId="14" borderId="0" xfId="59" applyNumberFormat="1" applyFont="1" applyFill="1" applyAlignment="1" applyProtection="1">
      <protection locked="0"/>
    </xf>
    <xf numFmtId="173" fontId="55" fillId="14" borderId="0" xfId="59" applyNumberFormat="1" applyFont="1" applyFill="1" applyProtection="1">
      <protection locked="0"/>
    </xf>
    <xf numFmtId="173" fontId="55" fillId="14" borderId="8" xfId="59" applyNumberFormat="1" applyFont="1" applyFill="1" applyBorder="1" applyProtection="1">
      <protection locked="0"/>
    </xf>
    <xf numFmtId="173" fontId="55" fillId="14" borderId="8" xfId="59" applyNumberFormat="1" applyFont="1" applyFill="1" applyBorder="1" applyAlignment="1" applyProtection="1">
      <protection locked="0"/>
    </xf>
    <xf numFmtId="10" fontId="55" fillId="14" borderId="0" xfId="266" applyNumberFormat="1" applyFont="1" applyFill="1" applyAlignment="1" applyProtection="1">
      <alignment horizontal="right"/>
      <protection locked="0"/>
    </xf>
    <xf numFmtId="10" fontId="55" fillId="14" borderId="0" xfId="266" applyNumberFormat="1" applyFont="1" applyFill="1" applyAlignment="1" applyProtection="1">
      <alignment vertical="top"/>
      <protection locked="0"/>
    </xf>
    <xf numFmtId="172" fontId="55" fillId="14" borderId="0" xfId="201" applyFont="1" applyFill="1" applyBorder="1" applyAlignment="1" applyProtection="1">
      <protection locked="0"/>
    </xf>
    <xf numFmtId="174" fontId="55" fillId="14" borderId="0" xfId="93" applyNumberFormat="1" applyFont="1" applyFill="1" applyBorder="1" applyAlignment="1" applyProtection="1">
      <protection locked="0"/>
    </xf>
    <xf numFmtId="172" fontId="55" fillId="14" borderId="1" xfId="201" applyFont="1" applyFill="1" applyBorder="1" applyAlignment="1" applyProtection="1">
      <protection locked="0"/>
    </xf>
    <xf numFmtId="173" fontId="55" fillId="14" borderId="0" xfId="59" applyNumberFormat="1" applyFont="1" applyFill="1" applyBorder="1" applyAlignment="1" applyProtection="1">
      <protection locked="0"/>
    </xf>
    <xf numFmtId="173" fontId="55" fillId="14" borderId="1" xfId="59" applyNumberFormat="1" applyFont="1" applyFill="1" applyBorder="1" applyAlignment="1" applyProtection="1">
      <protection locked="0"/>
    </xf>
    <xf numFmtId="173" fontId="55" fillId="14" borderId="10" xfId="59" applyNumberFormat="1" applyFont="1" applyFill="1" applyBorder="1" applyAlignment="1" applyProtection="1">
      <protection locked="0"/>
    </xf>
    <xf numFmtId="173" fontId="84" fillId="14" borderId="17" xfId="59" applyNumberFormat="1" applyFont="1" applyFill="1" applyBorder="1" applyAlignment="1" applyProtection="1">
      <protection locked="0"/>
    </xf>
    <xf numFmtId="173" fontId="84" fillId="14" borderId="1" xfId="59" applyNumberFormat="1" applyFont="1" applyFill="1" applyBorder="1" applyAlignment="1" applyProtection="1">
      <protection locked="0"/>
    </xf>
    <xf numFmtId="173" fontId="55" fillId="14" borderId="11" xfId="59" applyNumberFormat="1" applyFont="1" applyFill="1" applyBorder="1" applyAlignment="1" applyProtection="1">
      <protection locked="0"/>
    </xf>
    <xf numFmtId="172" fontId="55" fillId="14" borderId="11" xfId="0" applyFont="1" applyFill="1" applyBorder="1" applyProtection="1">
      <protection locked="0"/>
    </xf>
    <xf numFmtId="43" fontId="55" fillId="14" borderId="11" xfId="59" applyFont="1" applyFill="1" applyBorder="1" applyProtection="1">
      <protection locked="0"/>
    </xf>
    <xf numFmtId="173" fontId="55" fillId="14" borderId="10" xfId="59" applyNumberFormat="1" applyFont="1" applyFill="1" applyBorder="1" applyProtection="1">
      <protection locked="0"/>
    </xf>
    <xf numFmtId="43" fontId="55" fillId="14" borderId="22" xfId="59" applyFont="1" applyFill="1" applyBorder="1" applyAlignment="1" applyProtection="1">
      <alignment horizontal="center"/>
      <protection locked="0"/>
    </xf>
    <xf numFmtId="43" fontId="55" fillId="14" borderId="12" xfId="59" applyFont="1" applyFill="1" applyBorder="1" applyProtection="1">
      <protection locked="0"/>
    </xf>
    <xf numFmtId="43" fontId="55" fillId="14" borderId="11" xfId="59" applyFont="1" applyFill="1" applyBorder="1" applyAlignment="1" applyProtection="1">
      <alignment horizontal="center"/>
      <protection locked="0"/>
    </xf>
    <xf numFmtId="43" fontId="55" fillId="14" borderId="10" xfId="59" applyFont="1" applyFill="1" applyBorder="1" applyAlignment="1" applyProtection="1">
      <alignment horizontal="center"/>
      <protection locked="0"/>
    </xf>
    <xf numFmtId="43" fontId="55" fillId="14" borderId="11" xfId="59" applyFont="1" applyFill="1" applyBorder="1" applyAlignment="1" applyProtection="1">
      <protection locked="0"/>
    </xf>
    <xf numFmtId="174" fontId="55" fillId="14" borderId="0" xfId="93" applyNumberFormat="1" applyFont="1" applyFill="1" applyAlignment="1" applyProtection="1">
      <protection locked="0"/>
    </xf>
    <xf numFmtId="172" fontId="55" fillId="14" borderId="0" xfId="0" applyFont="1" applyFill="1" applyAlignment="1" applyProtection="1">
      <protection locked="0"/>
    </xf>
    <xf numFmtId="172" fontId="55" fillId="14" borderId="0" xfId="0" applyFont="1" applyFill="1" applyAlignment="1" applyProtection="1">
      <alignment horizontal="left"/>
      <protection locked="0"/>
    </xf>
    <xf numFmtId="172" fontId="55" fillId="14" borderId="0" xfId="0" applyFont="1" applyFill="1" applyAlignment="1" applyProtection="1">
      <alignment horizontal="center" wrapText="1"/>
      <protection locked="0"/>
    </xf>
    <xf numFmtId="0" fontId="55" fillId="14" borderId="0" xfId="187" applyFont="1" applyFill="1" applyBorder="1" applyAlignment="1" applyProtection="1">
      <protection locked="0"/>
    </xf>
    <xf numFmtId="173" fontId="55" fillId="14" borderId="0" xfId="59" applyNumberFormat="1" applyFont="1" applyFill="1" applyBorder="1" applyAlignment="1" applyProtection="1">
      <alignment horizontal="center"/>
      <protection locked="0"/>
    </xf>
    <xf numFmtId="43" fontId="55" fillId="14" borderId="0" xfId="59" applyNumberFormat="1" applyFont="1" applyFill="1" applyBorder="1" applyAlignment="1" applyProtection="1">
      <alignment horizontal="center"/>
      <protection locked="0"/>
    </xf>
    <xf numFmtId="43" fontId="55" fillId="14" borderId="0" xfId="59" applyNumberFormat="1" applyFont="1" applyFill="1" applyAlignment="1" applyProtection="1">
      <protection locked="0"/>
    </xf>
    <xf numFmtId="9" fontId="55" fillId="14" borderId="0" xfId="266" applyFont="1" applyFill="1" applyAlignment="1" applyProtection="1">
      <protection locked="0"/>
    </xf>
    <xf numFmtId="0" fontId="111" fillId="14" borderId="0" xfId="187" applyFont="1" applyFill="1" applyBorder="1" applyAlignment="1" applyProtection="1">
      <protection locked="0"/>
    </xf>
    <xf numFmtId="173" fontId="111" fillId="14" borderId="0" xfId="59" applyNumberFormat="1" applyFont="1" applyFill="1" applyBorder="1" applyProtection="1">
      <protection locked="0"/>
    </xf>
    <xf numFmtId="43" fontId="55" fillId="14" borderId="0" xfId="59" applyFont="1" applyFill="1" applyAlignment="1" applyProtection="1">
      <protection locked="0"/>
    </xf>
    <xf numFmtId="0" fontId="55" fillId="14" borderId="1" xfId="187" applyFont="1" applyFill="1" applyBorder="1" applyAlignment="1" applyProtection="1">
      <protection locked="0"/>
    </xf>
    <xf numFmtId="173" fontId="55" fillId="14" borderId="1" xfId="59" applyNumberFormat="1" applyFont="1" applyFill="1" applyBorder="1" applyProtection="1">
      <protection locked="0"/>
    </xf>
    <xf numFmtId="173" fontId="55" fillId="14" borderId="1" xfId="59" applyNumberFormat="1" applyFont="1" applyFill="1" applyBorder="1" applyAlignment="1" applyProtection="1">
      <alignment horizontal="center"/>
      <protection locked="0"/>
    </xf>
    <xf numFmtId="43" fontId="55" fillId="14" borderId="1" xfId="59" applyFont="1" applyFill="1" applyBorder="1" applyAlignment="1" applyProtection="1">
      <protection locked="0"/>
    </xf>
    <xf numFmtId="41" fontId="55" fillId="14" borderId="0" xfId="212" applyNumberFormat="1" applyFont="1" applyFill="1" applyProtection="1">
      <protection locked="0"/>
    </xf>
    <xf numFmtId="1" fontId="51" fillId="14" borderId="0" xfId="59" applyNumberFormat="1" applyFont="1" applyFill="1" applyProtection="1">
      <protection locked="0"/>
    </xf>
    <xf numFmtId="175" fontId="51" fillId="14" borderId="0" xfId="392" applyNumberFormat="1" applyFont="1" applyFill="1" applyProtection="1">
      <protection locked="0"/>
    </xf>
    <xf numFmtId="173" fontId="103" fillId="14" borderId="0" xfId="392" applyNumberFormat="1" applyFont="1" applyFill="1" applyBorder="1" applyProtection="1">
      <protection locked="0"/>
    </xf>
    <xf numFmtId="173" fontId="103" fillId="14" borderId="0" xfId="392" applyNumberFormat="1" applyFont="1" applyFill="1" applyProtection="1">
      <protection locked="0"/>
    </xf>
    <xf numFmtId="173" fontId="103" fillId="14" borderId="0" xfId="389" applyNumberFormat="1" applyFont="1" applyFill="1" applyProtection="1">
      <protection locked="0"/>
    </xf>
    <xf numFmtId="173" fontId="51" fillId="14" borderId="0" xfId="59" applyNumberFormat="1" applyFont="1" applyFill="1" applyBorder="1" applyProtection="1">
      <protection locked="0"/>
    </xf>
    <xf numFmtId="173" fontId="103" fillId="14" borderId="0" xfId="59" applyNumberFormat="1" applyFont="1" applyFill="1" applyBorder="1" applyProtection="1">
      <protection locked="0"/>
    </xf>
    <xf numFmtId="173" fontId="103" fillId="14" borderId="0" xfId="59" applyNumberFormat="1" applyFont="1" applyFill="1" applyProtection="1">
      <protection locked="0"/>
    </xf>
    <xf numFmtId="175" fontId="130" fillId="14" borderId="0" xfId="392" applyNumberFormat="1" applyFont="1" applyFill="1" applyProtection="1">
      <protection locked="0"/>
    </xf>
    <xf numFmtId="37" fontId="51" fillId="14" borderId="23" xfId="440" applyNumberFormat="1" applyFont="1" applyFill="1" applyBorder="1" applyAlignment="1" applyProtection="1">
      <alignment wrapText="1"/>
      <protection locked="0"/>
    </xf>
    <xf numFmtId="41" fontId="51" fillId="14" borderId="9" xfId="389" applyNumberFormat="1" applyFont="1" applyFill="1" applyBorder="1" applyProtection="1">
      <protection locked="0"/>
    </xf>
    <xf numFmtId="41" fontId="51" fillId="14" borderId="9" xfId="389" applyNumberFormat="1" applyFont="1" applyFill="1" applyBorder="1" applyAlignment="1" applyProtection="1">
      <alignment horizontal="left" vertical="top" wrapText="1"/>
      <protection locked="0"/>
    </xf>
    <xf numFmtId="41" fontId="51" fillId="14" borderId="9" xfId="395" applyNumberFormat="1" applyFont="1" applyFill="1" applyBorder="1" applyProtection="1">
      <protection locked="0"/>
    </xf>
    <xf numFmtId="0" fontId="55" fillId="14" borderId="9" xfId="389" applyFont="1" applyFill="1" applyBorder="1" applyAlignment="1" applyProtection="1">
      <protection locked="0"/>
    </xf>
    <xf numFmtId="0" fontId="51" fillId="14" borderId="9" xfId="389" applyFont="1" applyFill="1" applyBorder="1" applyProtection="1">
      <protection locked="0"/>
    </xf>
    <xf numFmtId="41" fontId="15" fillId="14" borderId="9" xfId="389" applyNumberFormat="1" applyFont="1" applyFill="1" applyBorder="1" applyProtection="1">
      <protection locked="0"/>
    </xf>
    <xf numFmtId="41" fontId="55" fillId="14" borderId="9" xfId="389" applyNumberFormat="1" applyFont="1" applyFill="1" applyBorder="1" applyAlignment="1" applyProtection="1">
      <protection locked="0"/>
    </xf>
    <xf numFmtId="37" fontId="51" fillId="14" borderId="9" xfId="389" applyNumberFormat="1" applyFont="1" applyFill="1" applyBorder="1" applyAlignment="1" applyProtection="1">
      <alignment wrapText="1"/>
      <protection locked="0"/>
    </xf>
    <xf numFmtId="0" fontId="51" fillId="14" borderId="9" xfId="389" applyFont="1" applyFill="1" applyBorder="1" applyAlignment="1" applyProtection="1">
      <alignment wrapText="1"/>
      <protection locked="0"/>
    </xf>
    <xf numFmtId="0" fontId="55" fillId="14" borderId="9" xfId="389" applyFont="1" applyFill="1" applyBorder="1" applyProtection="1">
      <protection locked="0"/>
    </xf>
    <xf numFmtId="41" fontId="51" fillId="14" borderId="9" xfId="448" applyNumberFormat="1" applyFont="1" applyFill="1" applyBorder="1" applyProtection="1">
      <protection locked="0"/>
    </xf>
    <xf numFmtId="37" fontId="51" fillId="14" borderId="23" xfId="389" applyNumberFormat="1" applyFont="1" applyFill="1" applyBorder="1" applyAlignment="1" applyProtection="1">
      <alignment wrapText="1"/>
      <protection locked="0"/>
    </xf>
    <xf numFmtId="37" fontId="51" fillId="14" borderId="9" xfId="389" applyNumberFormat="1" applyFont="1" applyFill="1" applyBorder="1" applyProtection="1">
      <protection locked="0"/>
    </xf>
    <xf numFmtId="37" fontId="51" fillId="14" borderId="9" xfId="396" applyNumberFormat="1" applyFont="1" applyFill="1" applyBorder="1" applyProtection="1">
      <protection locked="0"/>
    </xf>
    <xf numFmtId="37" fontId="55" fillId="14" borderId="9" xfId="389" applyNumberFormat="1" applyFont="1" applyFill="1" applyBorder="1" applyProtection="1">
      <protection locked="0"/>
    </xf>
    <xf numFmtId="37" fontId="55" fillId="14" borderId="9" xfId="389" applyNumberFormat="1" applyFont="1" applyFill="1" applyBorder="1" applyAlignment="1" applyProtection="1">
      <alignment shrinkToFit="1"/>
      <protection locked="0"/>
    </xf>
    <xf numFmtId="0" fontId="51" fillId="14" borderId="0" xfId="389" applyFont="1" applyFill="1" applyProtection="1">
      <protection locked="0"/>
    </xf>
    <xf numFmtId="41" fontId="51" fillId="14" borderId="9" xfId="392" applyNumberFormat="1" applyFont="1" applyFill="1" applyBorder="1" applyAlignment="1" applyProtection="1">
      <alignment horizontal="right"/>
      <protection locked="0"/>
    </xf>
    <xf numFmtId="41" fontId="129" fillId="14" borderId="9" xfId="440" applyNumberFormat="1" applyFont="1" applyFill="1" applyBorder="1" applyProtection="1">
      <protection locked="0"/>
    </xf>
    <xf numFmtId="0" fontId="55" fillId="14" borderId="9" xfId="440" applyFont="1" applyFill="1" applyBorder="1" applyProtection="1">
      <protection locked="0"/>
    </xf>
    <xf numFmtId="0" fontId="51" fillId="14" borderId="9" xfId="448" applyFont="1" applyFill="1" applyBorder="1" applyAlignment="1" applyProtection="1">
      <alignment wrapText="1"/>
      <protection locked="0"/>
    </xf>
    <xf numFmtId="41" fontId="129" fillId="14" borderId="9" xfId="389" applyNumberFormat="1" applyFont="1" applyFill="1" applyBorder="1" applyProtection="1">
      <protection locked="0"/>
    </xf>
    <xf numFmtId="0" fontId="55" fillId="14" borderId="9" xfId="389" applyFont="1" applyFill="1" applyBorder="1" applyAlignment="1" applyProtection="1">
      <alignment wrapText="1"/>
      <protection locked="0"/>
    </xf>
    <xf numFmtId="37" fontId="51" fillId="14" borderId="9" xfId="396"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shrinkToFit="1"/>
      <protection locked="0"/>
    </xf>
    <xf numFmtId="41" fontId="51" fillId="14" borderId="9" xfId="442" applyNumberFormat="1" applyFont="1" applyFill="1" applyBorder="1" applyAlignment="1" applyProtection="1">
      <alignment horizontal="right"/>
      <protection locked="0"/>
    </xf>
    <xf numFmtId="0" fontId="103" fillId="14" borderId="0" xfId="389" applyFont="1" applyFill="1" applyAlignment="1" applyProtection="1">
      <alignment horizontal="left"/>
      <protection locked="0"/>
    </xf>
    <xf numFmtId="173" fontId="103" fillId="14" borderId="0" xfId="389" applyNumberFormat="1" applyFont="1" applyFill="1" applyAlignment="1" applyProtection="1">
      <alignment horizontal="center"/>
      <protection locked="0"/>
    </xf>
    <xf numFmtId="172" fontId="51" fillId="14" borderId="0" xfId="0" applyFont="1" applyFill="1" applyProtection="1">
      <protection locked="0"/>
    </xf>
    <xf numFmtId="0" fontId="103" fillId="14" borderId="0" xfId="389" applyFont="1" applyFill="1" applyAlignment="1" applyProtection="1">
      <alignment horizontal="center"/>
      <protection locked="0"/>
    </xf>
    <xf numFmtId="172" fontId="51" fillId="14" borderId="0" xfId="0" applyFont="1" applyFill="1" applyAlignment="1" applyProtection="1">
      <protection locked="0"/>
    </xf>
    <xf numFmtId="0" fontId="55" fillId="14" borderId="0" xfId="212" quotePrefix="1" applyFont="1" applyFill="1" applyAlignment="1" applyProtection="1">
      <alignment horizontal="left"/>
      <protection locked="0"/>
    </xf>
    <xf numFmtId="172" fontId="45" fillId="14" borderId="0" xfId="0" applyFont="1" applyFill="1" applyAlignment="1" applyProtection="1">
      <protection locked="0"/>
    </xf>
    <xf numFmtId="0" fontId="55" fillId="14" borderId="0" xfId="212" quotePrefix="1" applyFont="1" applyFill="1" applyAlignment="1" applyProtection="1">
      <alignment horizontal="center"/>
      <protection locked="0"/>
    </xf>
    <xf numFmtId="174" fontId="55" fillId="14" borderId="0" xfId="93" quotePrefix="1" applyNumberFormat="1" applyFont="1" applyFill="1" applyAlignment="1" applyProtection="1">
      <alignment horizontal="left"/>
      <protection locked="0"/>
    </xf>
    <xf numFmtId="173" fontId="55" fillId="14" borderId="0" xfId="59" quotePrefix="1" applyNumberFormat="1" applyFont="1" applyFill="1" applyAlignment="1" applyProtection="1">
      <alignment horizontal="left"/>
      <protection locked="0"/>
    </xf>
    <xf numFmtId="39" fontId="55" fillId="14" borderId="0" xfId="59" quotePrefix="1" applyNumberFormat="1" applyFont="1" applyFill="1" applyAlignment="1" applyProtection="1">
      <alignment horizontal="left"/>
      <protection locked="0"/>
    </xf>
    <xf numFmtId="173" fontId="55" fillId="14" borderId="3" xfId="93" applyNumberFormat="1" applyFont="1" applyFill="1" applyBorder="1" applyAlignment="1" applyProtection="1">
      <alignment horizontal="right"/>
      <protection locked="0"/>
    </xf>
    <xf numFmtId="174" fontId="55" fillId="14" borderId="3" xfId="93" applyNumberFormat="1" applyFont="1" applyFill="1" applyBorder="1" applyProtection="1">
      <protection locked="0"/>
    </xf>
    <xf numFmtId="173" fontId="51" fillId="14" borderId="0" xfId="59" applyNumberFormat="1" applyFont="1" applyFill="1" applyAlignment="1" applyProtection="1">
      <alignment wrapText="1"/>
      <protection locked="0"/>
    </xf>
    <xf numFmtId="0" fontId="51" fillId="14" borderId="0" xfId="184" applyFont="1" applyFill="1" applyAlignment="1" applyProtection="1">
      <alignment horizontal="left"/>
      <protection locked="0"/>
    </xf>
    <xf numFmtId="173" fontId="51" fillId="14" borderId="0" xfId="59" applyNumberFormat="1" applyFont="1" applyFill="1" applyAlignment="1" applyProtection="1">
      <protection locked="0"/>
    </xf>
    <xf numFmtId="0" fontId="51" fillId="14" borderId="0" xfId="184" applyFont="1" applyFill="1" applyProtection="1">
      <protection locked="0"/>
    </xf>
    <xf numFmtId="174" fontId="51" fillId="14" borderId="9" xfId="93" applyNumberFormat="1" applyFont="1" applyFill="1" applyBorder="1" applyProtection="1">
      <protection locked="0"/>
    </xf>
    <xf numFmtId="173" fontId="51" fillId="14" borderId="9" xfId="59" applyNumberFormat="1" applyFont="1" applyFill="1" applyBorder="1" applyProtection="1">
      <protection locked="0"/>
    </xf>
    <xf numFmtId="174" fontId="51" fillId="14" borderId="0" xfId="93" applyNumberFormat="1" applyFont="1" applyFill="1" applyBorder="1" applyProtection="1">
      <protection locked="0"/>
    </xf>
    <xf numFmtId="277" fontId="51" fillId="14" borderId="0" xfId="93" applyNumberFormat="1" applyFont="1" applyFill="1" applyBorder="1" applyProtection="1"/>
    <xf numFmtId="177" fontId="51" fillId="14" borderId="0" xfId="59" applyNumberFormat="1" applyFont="1" applyFill="1" applyBorder="1" applyProtection="1"/>
    <xf numFmtId="172" fontId="51" fillId="14" borderId="0" xfId="0" applyFont="1" applyFill="1" applyAlignment="1" applyProtection="1">
      <alignment horizontal="left" wrapText="1"/>
      <protection locked="0"/>
    </xf>
    <xf numFmtId="37" fontId="51" fillId="14" borderId="0" xfId="0" applyNumberFormat="1" applyFont="1" applyFill="1" applyAlignment="1" applyProtection="1">
      <alignment horizontal="right"/>
      <protection locked="0"/>
    </xf>
    <xf numFmtId="37" fontId="51" fillId="14" borderId="1" xfId="0" applyNumberFormat="1" applyFont="1" applyFill="1" applyBorder="1" applyAlignment="1" applyProtection="1">
      <alignment horizontal="right"/>
      <protection locked="0"/>
    </xf>
    <xf numFmtId="41" fontId="51" fillId="14" borderId="1" xfId="0" applyNumberFormat="1" applyFont="1" applyFill="1" applyBorder="1" applyAlignment="1" applyProtection="1">
      <alignment horizontal="right"/>
      <protection locked="0"/>
    </xf>
    <xf numFmtId="172" fontId="55" fillId="14" borderId="10" xfId="0" applyFont="1" applyFill="1" applyBorder="1" applyProtection="1">
      <protection locked="0"/>
    </xf>
    <xf numFmtId="172" fontId="55" fillId="14" borderId="0" xfId="0" applyFont="1" applyFill="1" applyBorder="1" applyProtection="1">
      <protection locked="0"/>
    </xf>
    <xf numFmtId="173" fontId="51" fillId="14" borderId="1" xfId="59" applyNumberFormat="1" applyFont="1" applyFill="1" applyBorder="1" applyAlignment="1" applyProtection="1">
      <protection locked="0"/>
    </xf>
    <xf numFmtId="43" fontId="45" fillId="14" borderId="0" xfId="59" applyFont="1" applyFill="1" applyBorder="1" applyAlignment="1" applyProtection="1">
      <alignment horizontal="center"/>
      <protection locked="0"/>
    </xf>
    <xf numFmtId="174" fontId="45" fillId="14" borderId="0" xfId="93" applyNumberFormat="1" applyFont="1" applyFill="1" applyAlignment="1" applyProtection="1">
      <protection locked="0"/>
    </xf>
    <xf numFmtId="173" fontId="45" fillId="14" borderId="0" xfId="59" applyNumberFormat="1" applyFont="1" applyFill="1" applyProtection="1">
      <protection locked="0"/>
    </xf>
    <xf numFmtId="10" fontId="45" fillId="14" borderId="0" xfId="266" applyNumberFormat="1" applyFont="1" applyFill="1" applyAlignment="1" applyProtection="1">
      <protection locked="0"/>
    </xf>
    <xf numFmtId="173" fontId="45" fillId="14" borderId="1" xfId="59" applyNumberFormat="1" applyFont="1" applyFill="1" applyBorder="1" applyAlignment="1" applyProtection="1">
      <protection locked="0"/>
    </xf>
    <xf numFmtId="172" fontId="55" fillId="14" borderId="0" xfId="209" applyFont="1" applyFill="1" applyProtection="1">
      <protection locked="0"/>
    </xf>
    <xf numFmtId="0" fontId="55" fillId="14" borderId="0" xfId="59" applyNumberFormat="1" applyFont="1" applyFill="1" applyAlignment="1" applyProtection="1">
      <alignment horizontal="left"/>
      <protection locked="0"/>
    </xf>
    <xf numFmtId="174" fontId="55" fillId="14" borderId="0" xfId="93" applyNumberFormat="1" applyFont="1" applyFill="1" applyProtection="1">
      <protection locked="0"/>
    </xf>
    <xf numFmtId="172" fontId="55" fillId="14" borderId="0" xfId="201" applyFont="1" applyFill="1" applyAlignment="1" applyProtection="1">
      <alignment horizontal="left"/>
      <protection locked="0"/>
    </xf>
    <xf numFmtId="172" fontId="55" fillId="14" borderId="0" xfId="209" applyFont="1" applyFill="1" applyBorder="1" applyAlignment="1" applyProtection="1">
      <protection locked="0"/>
    </xf>
    <xf numFmtId="172" fontId="55" fillId="14" borderId="0" xfId="201" applyFont="1" applyFill="1" applyBorder="1" applyAlignment="1" applyProtection="1">
      <alignment horizontal="left"/>
      <protection locked="0"/>
    </xf>
    <xf numFmtId="174" fontId="55" fillId="14" borderId="7" xfId="93" applyNumberFormat="1" applyFont="1" applyFill="1" applyBorder="1" applyAlignment="1" applyProtection="1">
      <alignment horizontal="center"/>
      <protection locked="0"/>
    </xf>
    <xf numFmtId="173" fontId="55" fillId="14" borderId="15" xfId="59" applyNumberFormat="1" applyFont="1" applyFill="1" applyBorder="1" applyAlignment="1" applyProtection="1">
      <protection locked="0"/>
    </xf>
    <xf numFmtId="173" fontId="55" fillId="14" borderId="12" xfId="59" applyNumberFormat="1" applyFont="1" applyFill="1" applyBorder="1" applyAlignment="1" applyProtection="1">
      <alignment horizontal="center"/>
      <protection locked="0"/>
    </xf>
    <xf numFmtId="43" fontId="55" fillId="14" borderId="22" xfId="59" applyFont="1" applyFill="1" applyBorder="1" applyProtection="1">
      <protection locked="0"/>
    </xf>
    <xf numFmtId="173" fontId="55" fillId="14" borderId="11" xfId="59" applyNumberFormat="1" applyFont="1" applyFill="1" applyBorder="1" applyProtection="1">
      <protection locked="0"/>
    </xf>
    <xf numFmtId="173" fontId="55" fillId="14" borderId="11" xfId="59" applyNumberFormat="1" applyFont="1" applyFill="1" applyBorder="1" applyAlignment="1" applyProtection="1">
      <alignment horizontal="center"/>
      <protection locked="0"/>
    </xf>
    <xf numFmtId="173" fontId="55" fillId="0" borderId="0" xfId="59" applyNumberFormat="1" applyFont="1" applyFill="1" applyBorder="1" applyAlignment="1" applyProtection="1">
      <alignment horizontal="center"/>
      <protection locked="0"/>
    </xf>
    <xf numFmtId="182" fontId="122" fillId="14" borderId="0" xfId="59" applyNumberFormat="1" applyFont="1" applyFill="1" applyProtection="1">
      <protection locked="0"/>
    </xf>
    <xf numFmtId="0" fontId="55" fillId="14" borderId="0" xfId="59" applyNumberFormat="1" applyFont="1" applyFill="1" applyProtection="1">
      <protection locked="0"/>
    </xf>
    <xf numFmtId="0" fontId="51" fillId="0" borderId="9" xfId="184" applyFont="1" applyBorder="1"/>
    <xf numFmtId="173" fontId="51" fillId="14" borderId="9" xfId="540" applyNumberFormat="1" applyFont="1" applyFill="1" applyBorder="1" applyProtection="1">
      <protection locked="0"/>
    </xf>
    <xf numFmtId="172" fontId="55" fillId="0" borderId="10" xfId="209" applyFont="1" applyBorder="1"/>
    <xf numFmtId="172" fontId="55" fillId="0" borderId="0" xfId="201" applyFont="1"/>
    <xf numFmtId="172" fontId="55" fillId="14" borderId="0" xfId="201" applyFont="1" applyFill="1" applyProtection="1">
      <protection locked="0"/>
    </xf>
    <xf numFmtId="182" fontId="55" fillId="0" borderId="0" xfId="59" applyNumberFormat="1" applyFont="1" applyFill="1" applyBorder="1" applyProtection="1"/>
    <xf numFmtId="0" fontId="55" fillId="0" borderId="0" xfId="188" applyNumberFormat="1" applyFont="1" applyFill="1" applyAlignment="1" applyProtection="1">
      <alignment vertical="top" wrapText="1"/>
    </xf>
    <xf numFmtId="172" fontId="55" fillId="0" borderId="0" xfId="0" applyFont="1" applyFill="1" applyAlignment="1" applyProtection="1">
      <alignment horizontal="left" vertical="center" wrapText="1"/>
    </xf>
    <xf numFmtId="172" fontId="62" fillId="0" borderId="0" xfId="0" applyFont="1" applyFill="1" applyAlignment="1" applyProtection="1">
      <alignment horizontal="center"/>
    </xf>
    <xf numFmtId="0" fontId="51" fillId="0" borderId="0" xfId="389" applyFont="1" applyFill="1" applyBorder="1" applyAlignment="1" applyProtection="1">
      <alignment horizontal="center"/>
    </xf>
    <xf numFmtId="172" fontId="55" fillId="14" borderId="0" xfId="1131" applyFont="1" applyFill="1" applyProtection="1">
      <protection locked="0"/>
    </xf>
    <xf numFmtId="10" fontId="55" fillId="14" borderId="0" xfId="731" applyNumberFormat="1" applyFont="1" applyFill="1" applyProtection="1">
      <protection locked="0"/>
    </xf>
    <xf numFmtId="41" fontId="108" fillId="14" borderId="9" xfId="389" applyNumberFormat="1" applyFont="1" applyFill="1" applyBorder="1" applyProtection="1">
      <protection locked="0"/>
    </xf>
    <xf numFmtId="41" fontId="51" fillId="14" borderId="20" xfId="389" applyNumberFormat="1" applyFont="1" applyFill="1" applyBorder="1" applyProtection="1">
      <protection locked="0"/>
    </xf>
    <xf numFmtId="37" fontId="55" fillId="14" borderId="9" xfId="396" applyNumberFormat="1" applyFont="1" applyFill="1" applyBorder="1" applyProtection="1">
      <protection locked="0"/>
    </xf>
    <xf numFmtId="37" fontId="55" fillId="14" borderId="9" xfId="389" applyNumberFormat="1" applyFont="1" applyFill="1" applyBorder="1" applyAlignment="1" applyProtection="1">
      <protection locked="0"/>
    </xf>
    <xf numFmtId="41" fontId="55" fillId="14" borderId="9" xfId="389" applyNumberFormat="1" applyFont="1" applyFill="1" applyBorder="1" applyProtection="1">
      <protection locked="0"/>
    </xf>
    <xf numFmtId="0" fontId="55" fillId="0" borderId="0" xfId="0" applyNumberFormat="1" applyFont="1" applyFill="1" applyBorder="1" applyAlignment="1" applyProtection="1">
      <alignment horizontal="left" vertical="top" wrapText="1"/>
    </xf>
    <xf numFmtId="0" fontId="55"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quotePrefix="1" applyNumberFormat="1" applyFont="1" applyFill="1" applyAlignment="1" applyProtection="1">
      <alignment horizontal="left" vertical="top" wrapText="1"/>
    </xf>
    <xf numFmtId="172" fontId="55" fillId="0" borderId="0" xfId="211" applyFont="1" applyFill="1" applyAlignment="1" applyProtection="1">
      <alignment horizontal="center"/>
    </xf>
    <xf numFmtId="49" fontId="55" fillId="0" borderId="0" xfId="211" applyNumberFormat="1" applyFont="1" applyFill="1" applyAlignment="1" applyProtection="1">
      <alignment horizontal="center"/>
    </xf>
    <xf numFmtId="0" fontId="91" fillId="0" borderId="0" xfId="211" applyNumberFormat="1" applyFont="1" applyFill="1" applyAlignment="1" applyProtection="1">
      <alignment vertical="top" wrapText="1"/>
    </xf>
    <xf numFmtId="172" fontId="55" fillId="0" borderId="0" xfId="0" applyFont="1" applyFill="1" applyAlignment="1" applyProtection="1">
      <alignment horizontal="left" wrapText="1"/>
    </xf>
    <xf numFmtId="0" fontId="55" fillId="0" borderId="0" xfId="206" applyFont="1" applyFill="1" applyAlignment="1" applyProtection="1">
      <alignment vertical="top" wrapText="1"/>
    </xf>
    <xf numFmtId="172" fontId="55" fillId="0" borderId="0" xfId="0" applyFont="1" applyFill="1" applyAlignment="1" applyProtection="1">
      <alignment horizontal="left" vertical="center" wrapText="1"/>
    </xf>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left" vertical="top" wrapText="1"/>
    </xf>
    <xf numFmtId="172" fontId="55" fillId="0" borderId="0" xfId="201" applyFont="1" applyFill="1" applyBorder="1" applyAlignment="1" applyProtection="1">
      <alignment horizontal="left" wrapText="1"/>
    </xf>
    <xf numFmtId="172" fontId="55" fillId="0" borderId="0" xfId="201" applyFont="1" applyFill="1" applyAlignment="1" applyProtection="1">
      <alignment horizontal="left" vertical="top" wrapText="1"/>
    </xf>
    <xf numFmtId="172" fontId="62" fillId="0" borderId="19" xfId="201" applyFont="1" applyFill="1" applyBorder="1" applyAlignment="1" applyProtection="1">
      <alignment horizontal="center"/>
    </xf>
    <xf numFmtId="172" fontId="62" fillId="0" borderId="17" xfId="201"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7" xfId="0" applyFont="1" applyFill="1" applyBorder="1" applyAlignment="1" applyProtection="1">
      <alignment horizontal="center"/>
    </xf>
    <xf numFmtId="172" fontId="55" fillId="0" borderId="21" xfId="0" applyFont="1" applyFill="1" applyBorder="1" applyAlignment="1" applyProtection="1">
      <alignment horizontal="center"/>
    </xf>
    <xf numFmtId="172" fontId="62" fillId="0" borderId="22" xfId="201" applyFont="1" applyFill="1" applyBorder="1" applyAlignment="1" applyProtection="1">
      <alignment horizontal="center" wrapText="1"/>
    </xf>
    <xf numFmtId="172" fontId="62" fillId="0" borderId="15" xfId="201" applyFont="1" applyFill="1" applyBorder="1" applyAlignment="1" applyProtection="1">
      <alignment horizontal="center" wrapText="1"/>
    </xf>
    <xf numFmtId="172" fontId="55" fillId="0" borderId="0" xfId="0" applyFont="1" applyFill="1" applyAlignment="1" applyProtection="1">
      <alignment horizontal="left" vertical="top" wrapText="1"/>
    </xf>
    <xf numFmtId="0" fontId="55" fillId="0" borderId="0" xfId="188" applyNumberFormat="1" applyFont="1" applyFill="1" applyAlignment="1" applyProtection="1">
      <alignment horizontal="left" vertical="top" wrapText="1"/>
    </xf>
    <xf numFmtId="172" fontId="62" fillId="15" borderId="16" xfId="0" applyFont="1" applyFill="1" applyBorder="1" applyAlignment="1" applyProtection="1">
      <alignment horizontal="center"/>
    </xf>
    <xf numFmtId="172" fontId="62" fillId="15" borderId="7" xfId="0" applyFont="1" applyFill="1" applyBorder="1" applyAlignment="1" applyProtection="1">
      <alignment horizontal="center"/>
    </xf>
    <xf numFmtId="172" fontId="62" fillId="15" borderId="23" xfId="0" applyFont="1" applyFill="1" applyBorder="1" applyAlignment="1" applyProtection="1">
      <alignment horizontal="center"/>
    </xf>
    <xf numFmtId="0" fontId="62" fillId="15" borderId="16" xfId="212" applyFont="1" applyFill="1" applyBorder="1" applyAlignment="1" applyProtection="1">
      <alignment horizontal="center"/>
    </xf>
    <xf numFmtId="0" fontId="62" fillId="15" borderId="7" xfId="212" applyFont="1" applyFill="1" applyBorder="1" applyAlignment="1" applyProtection="1">
      <alignment horizontal="center"/>
    </xf>
    <xf numFmtId="0" fontId="62" fillId="15" borderId="23" xfId="212" applyFont="1" applyFill="1" applyBorder="1" applyAlignment="1" applyProtection="1">
      <alignment horizontal="center"/>
    </xf>
    <xf numFmtId="172" fontId="62" fillId="0" borderId="0" xfId="0" applyFont="1" applyFill="1" applyAlignment="1" applyProtection="1">
      <alignment horizontal="center"/>
    </xf>
    <xf numFmtId="172" fontId="55" fillId="0" borderId="2" xfId="0" applyFont="1" applyFill="1" applyBorder="1" applyAlignment="1" applyProtection="1">
      <alignment horizontal="center"/>
    </xf>
    <xf numFmtId="0" fontId="84" fillId="0" borderId="0" xfId="188" applyNumberFormat="1" applyFont="1" applyFill="1" applyAlignment="1" applyProtection="1">
      <alignment horizontal="left" vertical="top" wrapText="1"/>
    </xf>
    <xf numFmtId="0" fontId="104" fillId="0" borderId="0" xfId="389" applyFont="1" applyFill="1" applyAlignment="1" applyProtection="1">
      <alignment horizontal="center"/>
    </xf>
    <xf numFmtId="49" fontId="105" fillId="0" borderId="0" xfId="389" applyNumberFormat="1" applyFont="1" applyFill="1" applyBorder="1" applyAlignment="1" applyProtection="1">
      <alignment horizontal="center"/>
    </xf>
    <xf numFmtId="0" fontId="105" fillId="0" borderId="0" xfId="389" applyFont="1" applyFill="1" applyBorder="1" applyAlignment="1" applyProtection="1">
      <alignment horizontal="center"/>
    </xf>
    <xf numFmtId="49" fontId="51" fillId="0" borderId="0" xfId="389" applyNumberFormat="1" applyFont="1" applyFill="1" applyBorder="1" applyAlignment="1" applyProtection="1">
      <alignment horizontal="center"/>
    </xf>
    <xf numFmtId="0" fontId="51" fillId="0" borderId="0" xfId="389" applyFont="1" applyFill="1" applyBorder="1" applyAlignment="1" applyProtection="1">
      <alignment horizontal="center"/>
    </xf>
    <xf numFmtId="0" fontId="105" fillId="0" borderId="0" xfId="184" applyFont="1" applyFill="1" applyAlignment="1" applyProtection="1">
      <alignment horizontal="center"/>
    </xf>
    <xf numFmtId="172" fontId="105" fillId="0" borderId="0" xfId="0" applyFont="1" applyFill="1" applyAlignment="1" applyProtection="1">
      <alignment horizontal="center"/>
    </xf>
    <xf numFmtId="0" fontId="102" fillId="0" borderId="0" xfId="398" applyFont="1" applyFill="1" applyAlignment="1" applyProtection="1">
      <alignment horizontal="center"/>
    </xf>
    <xf numFmtId="0" fontId="124" fillId="0" borderId="0" xfId="184" applyFont="1" applyFill="1" applyAlignment="1" applyProtection="1">
      <alignment horizontal="center"/>
    </xf>
    <xf numFmtId="172" fontId="52" fillId="0" borderId="0" xfId="0" applyFont="1" applyFill="1" applyAlignment="1" applyProtection="1">
      <alignment horizontal="center"/>
    </xf>
    <xf numFmtId="172" fontId="108" fillId="0" borderId="0" xfId="0" applyFont="1" applyFill="1" applyAlignment="1" applyProtection="1">
      <alignment horizontal="center"/>
    </xf>
    <xf numFmtId="172" fontId="51" fillId="0" borderId="0" xfId="0" applyFont="1" applyFill="1" applyAlignment="1" applyProtection="1">
      <alignment horizontal="center"/>
    </xf>
    <xf numFmtId="0" fontId="105" fillId="0" borderId="0" xfId="184" applyFont="1" applyAlignment="1" applyProtection="1">
      <alignment horizontal="center"/>
    </xf>
    <xf numFmtId="172" fontId="108" fillId="0" borderId="0" xfId="0" applyFont="1" applyAlignment="1" applyProtection="1">
      <alignment horizontal="center"/>
    </xf>
    <xf numFmtId="172" fontId="55" fillId="0" borderId="0" xfId="0" applyFont="1" applyFill="1" applyBorder="1" applyAlignment="1" applyProtection="1">
      <alignment horizontal="center"/>
    </xf>
    <xf numFmtId="0" fontId="96" fillId="0" borderId="0" xfId="398" applyFont="1" applyAlignment="1" applyProtection="1">
      <alignment horizontal="center"/>
    </xf>
    <xf numFmtId="0" fontId="45" fillId="0" borderId="0" xfId="398" applyFont="1" applyAlignment="1" applyProtection="1">
      <alignment horizontal="left" vertical="top" wrapText="1"/>
    </xf>
    <xf numFmtId="0" fontId="45" fillId="0" borderId="0" xfId="398" applyFont="1" applyFill="1" applyAlignment="1" applyProtection="1">
      <alignment horizontal="left" vertical="top" wrapText="1"/>
    </xf>
    <xf numFmtId="49" fontId="45" fillId="0" borderId="0" xfId="398" applyNumberFormat="1" applyFont="1" applyAlignment="1" applyProtection="1">
      <alignment horizontal="left" vertical="top" wrapText="1"/>
    </xf>
    <xf numFmtId="173" fontId="96" fillId="0" borderId="30" xfId="59" applyNumberFormat="1" applyFont="1" applyFill="1" applyBorder="1" applyAlignment="1" applyProtection="1">
      <alignment horizontal="center"/>
    </xf>
    <xf numFmtId="173" fontId="96" fillId="0" borderId="6" xfId="59" applyNumberFormat="1" applyFont="1" applyFill="1" applyBorder="1" applyAlignment="1" applyProtection="1">
      <alignment horizontal="center"/>
    </xf>
    <xf numFmtId="173" fontId="96" fillId="0" borderId="31" xfId="59" applyNumberFormat="1" applyFont="1" applyFill="1" applyBorder="1" applyAlignment="1" applyProtection="1">
      <alignment horizontal="center"/>
    </xf>
    <xf numFmtId="172" fontId="45" fillId="0" borderId="0" xfId="0" applyFont="1" applyAlignment="1" applyProtection="1">
      <alignment horizontal="left" vertical="center" wrapText="1"/>
    </xf>
    <xf numFmtId="172" fontId="45" fillId="0" borderId="0" xfId="0" applyFont="1" applyFill="1" applyAlignment="1" applyProtection="1">
      <alignment horizontal="left" wrapText="1"/>
    </xf>
    <xf numFmtId="0" fontId="51" fillId="0" borderId="0" xfId="0" applyNumberFormat="1" applyFont="1" applyAlignment="1" applyProtection="1">
      <alignment horizontal="left" wrapText="1"/>
    </xf>
    <xf numFmtId="0" fontId="45" fillId="0" borderId="0" xfId="201" applyNumberFormat="1" applyFont="1" applyFill="1" applyBorder="1" applyAlignment="1" applyProtection="1">
      <alignment horizontal="center"/>
    </xf>
    <xf numFmtId="0" fontId="45" fillId="0" borderId="0" xfId="212" applyFont="1" applyFill="1" applyAlignment="1" applyProtection="1">
      <alignment horizontal="center"/>
    </xf>
    <xf numFmtId="0" fontId="45" fillId="0" borderId="0" xfId="211" applyNumberFormat="1" applyFont="1" applyFill="1" applyAlignment="1" applyProtection="1">
      <alignment horizontal="center"/>
    </xf>
    <xf numFmtId="172" fontId="45" fillId="0" borderId="0" xfId="0" applyFont="1" applyAlignment="1" applyProtection="1">
      <alignment horizontal="left" wrapText="1"/>
    </xf>
  </cellXfs>
  <cellStyles count="113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3" xfId="80" xr:uid="{00000000-0005-0000-0000-000063000000}"/>
    <cellStyle name="Comma 3 2" xfId="81" xr:uid="{00000000-0005-0000-0000-000064000000}"/>
    <cellStyle name="Comma 4" xfId="82" xr:uid="{00000000-0005-0000-0000-000065000000}"/>
    <cellStyle name="Comma 5" xfId="83" xr:uid="{00000000-0005-0000-0000-000066000000}"/>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2" xfId="101" xr:uid="{00000000-0005-0000-0000-00007E000000}"/>
    <cellStyle name="Currency 2 2" xfId="102" xr:uid="{00000000-0005-0000-0000-00007F000000}"/>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4" xfId="543" xr:uid="{00000000-0005-0000-0000-0000FE000000}"/>
    <cellStyle name="Normal 15" xfId="561" xr:uid="{00000000-0005-0000-0000-00004E020000}"/>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3" xfId="186" xr:uid="{00000000-0005-0000-0000-000000010000}"/>
    <cellStyle name="Normal 3 2" xfId="187" xr:uid="{00000000-0005-0000-0000-000001010000}"/>
    <cellStyle name="Normal 3_Attach O, GG, Support -New Method 2-14-11" xfId="188" xr:uid="{00000000-0005-0000-0000-000002010000}"/>
    <cellStyle name="Normal 32" xfId="1131" xr:uid="{62558B9E-C867-4627-975B-05299150288F}"/>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RATES\Revenue%20Policy\Transmission%20Formula%20Annual%20Updates\2020\2019%20True%20Up\2018%20Depreciation%20Rates\2019%20Actual%20NITs%20Revenue%20Requirement%20to%20file%20in%20May%202020%20-%202018%20DEPR%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sheetDataSet>
      <sheetData sheetId="0" refreshError="1"/>
      <sheetData sheetId="1"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Attachment H-7"/>
      <sheetName val="1-Project Rev Req"/>
      <sheetName val="2-Incentive ROE"/>
      <sheetName val="3-Project True-up"/>
      <sheetName val="4- Rate Base"/>
      <sheetName val="4A - ADIT Summary"/>
      <sheetName val="4B - ADIT BOY"/>
      <sheetName val="4C - ADIT EOY"/>
      <sheetName val="4D - Intangible Pnt"/>
      <sheetName val="4E COA"/>
      <sheetName val="5-P3 Support"/>
      <sheetName val="5A - Revenue Credits"/>
      <sheetName val="5B - A&amp;G"/>
      <sheetName val="5C - Other Taxes"/>
      <sheetName val="6-True-Up Interest"/>
      <sheetName val="7 - PBOP"/>
      <sheetName val="8 - Depreciation Rates"/>
      <sheetName val="9 - EDIT"/>
      <sheetName val="10 - Pension Asset Discount"/>
      <sheetName val="11 - Cost of Capital"/>
    </sheetNames>
    <sheetDataSet>
      <sheetData sheetId="0"/>
      <sheetData sheetId="1">
        <row r="24">
          <cell r="I24">
            <v>140573022.62866056</v>
          </cell>
        </row>
      </sheetData>
      <sheetData sheetId="2">
        <row r="67">
          <cell r="T67">
            <v>4860792.4133368675</v>
          </cell>
        </row>
        <row r="68">
          <cell r="T68">
            <v>751795.87712843437</v>
          </cell>
        </row>
        <row r="69">
          <cell r="T69">
            <v>-212340.05760196949</v>
          </cell>
        </row>
        <row r="70">
          <cell r="T70">
            <v>294725.62935934361</v>
          </cell>
        </row>
        <row r="71">
          <cell r="T71">
            <v>362772.22265336796</v>
          </cell>
        </row>
        <row r="72">
          <cell r="T72">
            <v>484680.86585206044</v>
          </cell>
        </row>
        <row r="73">
          <cell r="T73">
            <v>2232037.491079892</v>
          </cell>
        </row>
        <row r="74">
          <cell r="T74">
            <v>5833988.5758353882</v>
          </cell>
        </row>
        <row r="75">
          <cell r="T75">
            <v>2041570.9948370946</v>
          </cell>
        </row>
        <row r="76">
          <cell r="T76">
            <v>1966325.494582911</v>
          </cell>
        </row>
        <row r="77">
          <cell r="T77">
            <v>2072238.8699722334</v>
          </cell>
        </row>
        <row r="78">
          <cell r="T78">
            <v>1296926.5019694043</v>
          </cell>
        </row>
        <row r="79">
          <cell r="T79">
            <v>941243.77039111056</v>
          </cell>
        </row>
        <row r="80">
          <cell r="T80">
            <v>199945.06750085199</v>
          </cell>
        </row>
        <row r="81">
          <cell r="T81">
            <v>249333.61280964853</v>
          </cell>
        </row>
        <row r="82">
          <cell r="T82">
            <v>282508.09173887642</v>
          </cell>
        </row>
        <row r="83">
          <cell r="T83">
            <v>273778.77776958153</v>
          </cell>
        </row>
        <row r="84">
          <cell r="T84">
            <v>380653.67941487179</v>
          </cell>
        </row>
        <row r="85">
          <cell r="T85">
            <v>512090.35562623583</v>
          </cell>
        </row>
        <row r="86">
          <cell r="T86">
            <v>289866.99034198211</v>
          </cell>
        </row>
        <row r="87">
          <cell r="T87">
            <v>240774.24025798577</v>
          </cell>
        </row>
        <row r="88">
          <cell r="T88">
            <v>223707.89410680759</v>
          </cell>
        </row>
        <row r="89">
          <cell r="T89">
            <v>962765.43706294429</v>
          </cell>
        </row>
        <row r="90">
          <cell r="T90">
            <v>720915.5366721052</v>
          </cell>
        </row>
        <row r="91">
          <cell r="T91">
            <v>1534796.8906452763</v>
          </cell>
        </row>
        <row r="92">
          <cell r="T92">
            <v>53694.81224853747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
  <sheetViews>
    <sheetView view="pageBreakPreview" zoomScaleNormal="100" zoomScaleSheetLayoutView="100" workbookViewId="0">
      <selection activeCell="E9" sqref="E9"/>
    </sheetView>
  </sheetViews>
  <sheetFormatPr defaultColWidth="8.77734375" defaultRowHeight="15.75"/>
  <cols>
    <col min="1" max="16384" width="8.77734375" style="16"/>
  </cols>
  <sheetData>
    <row r="1" spans="1:4" ht="20.25">
      <c r="A1" s="15"/>
    </row>
    <row r="2" spans="1:4" ht="20.25">
      <c r="A2" s="15"/>
    </row>
    <row r="4" spans="1:4">
      <c r="D4" s="17" t="s">
        <v>1176</v>
      </c>
    </row>
    <row r="5" spans="1:4">
      <c r="D5" s="17" t="s">
        <v>1177</v>
      </c>
    </row>
  </sheetData>
  <sheetProtection algorithmName="SHA-512" hashValue="dnjkhEzvToAem2wdZ2biG7un9awhE5HgmmpSXFse17Wf7RGqDdXtmI5o1ZXwdyNu/DdcKm88ZDKLOUmpODfqHQ==" saltValue="ANMBBWGo+YY5qcSLtFWB2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07"/>
  <sheetViews>
    <sheetView view="pageBreakPreview" topLeftCell="A72" zoomScale="60" zoomScaleNormal="60" workbookViewId="0">
      <selection activeCell="H116" sqref="H116"/>
    </sheetView>
  </sheetViews>
  <sheetFormatPr defaultColWidth="8.88671875" defaultRowHeight="15"/>
  <cols>
    <col min="1" max="1" width="4.77734375" style="530" customWidth="1"/>
    <col min="2" max="2" width="45.6640625" style="530" customWidth="1"/>
    <col min="3" max="3" width="17.6640625" style="530" bestFit="1" customWidth="1"/>
    <col min="4" max="5" width="11.21875" style="530" customWidth="1"/>
    <col min="6" max="6" width="15.109375" style="530" customWidth="1"/>
    <col min="7" max="15" width="11.21875" style="530" bestFit="1" customWidth="1"/>
    <col min="16" max="16" width="12.21875" style="530" customWidth="1"/>
    <col min="17" max="17" width="10.44140625" style="530" bestFit="1" customWidth="1"/>
    <col min="18" max="18" width="11.21875" style="530" bestFit="1" customWidth="1"/>
    <col min="19" max="19" width="13.44140625" style="530" bestFit="1" customWidth="1"/>
    <col min="20" max="20" width="12" style="530" bestFit="1" customWidth="1"/>
    <col min="21" max="16384" width="8.88671875" style="530"/>
  </cols>
  <sheetData>
    <row r="1" spans="1:20">
      <c r="B1" s="1061" t="str">
        <f>+'Attachment H-7'!D177</f>
        <v>PECO Energy Company</v>
      </c>
      <c r="C1" s="1061"/>
      <c r="D1" s="1061"/>
      <c r="E1" s="1061"/>
      <c r="F1" s="1061"/>
      <c r="G1" s="1061"/>
    </row>
    <row r="2" spans="1:20">
      <c r="B2" s="1063"/>
      <c r="C2" s="1063"/>
      <c r="D2" s="1063"/>
      <c r="E2" s="1063"/>
      <c r="F2" s="1063"/>
      <c r="G2" s="1063"/>
      <c r="H2" s="1063"/>
      <c r="T2" s="530" t="s">
        <v>422</v>
      </c>
    </row>
    <row r="3" spans="1:20">
      <c r="B3" s="1062" t="s">
        <v>652</v>
      </c>
      <c r="C3" s="1062"/>
      <c r="D3" s="1062"/>
      <c r="E3" s="1062"/>
      <c r="F3" s="1062"/>
      <c r="G3" s="1062"/>
    </row>
    <row r="5" spans="1:20">
      <c r="B5" s="531" t="s">
        <v>684</v>
      </c>
      <c r="C5" s="531"/>
      <c r="D5" s="531"/>
      <c r="E5" s="531"/>
      <c r="F5" s="531"/>
      <c r="G5" s="531"/>
    </row>
    <row r="6" spans="1:20">
      <c r="B6" s="369" t="s">
        <v>198</v>
      </c>
      <c r="C6" s="369" t="s">
        <v>199</v>
      </c>
      <c r="D6" s="369" t="s">
        <v>200</v>
      </c>
      <c r="E6" s="369" t="s">
        <v>201</v>
      </c>
      <c r="F6" s="369" t="s">
        <v>203</v>
      </c>
      <c r="G6" s="369" t="s">
        <v>202</v>
      </c>
      <c r="H6" s="369" t="s">
        <v>204</v>
      </c>
      <c r="I6" s="369" t="s">
        <v>205</v>
      </c>
      <c r="J6" s="369" t="s">
        <v>206</v>
      </c>
      <c r="K6" s="369" t="s">
        <v>244</v>
      </c>
      <c r="L6" s="369" t="s">
        <v>248</v>
      </c>
      <c r="M6" s="369" t="s">
        <v>453</v>
      </c>
      <c r="N6" s="369" t="s">
        <v>779</v>
      </c>
      <c r="O6" s="369" t="s">
        <v>780</v>
      </c>
      <c r="P6" s="369" t="s">
        <v>781</v>
      </c>
      <c r="Q6" s="369" t="s">
        <v>782</v>
      </c>
      <c r="R6" s="369" t="s">
        <v>783</v>
      </c>
      <c r="S6" s="369" t="s">
        <v>784</v>
      </c>
      <c r="T6" s="369" t="s">
        <v>787</v>
      </c>
    </row>
    <row r="7" spans="1:20">
      <c r="B7" s="377" t="s">
        <v>775</v>
      </c>
      <c r="C7" s="532" t="s">
        <v>195</v>
      </c>
      <c r="D7" s="369" t="s">
        <v>84</v>
      </c>
      <c r="E7" s="369" t="s">
        <v>83</v>
      </c>
      <c r="F7" s="369" t="s">
        <v>82</v>
      </c>
      <c r="G7" s="369" t="s">
        <v>74</v>
      </c>
      <c r="H7" s="369" t="s">
        <v>73</v>
      </c>
      <c r="I7" s="369" t="s">
        <v>93</v>
      </c>
      <c r="J7" s="369" t="s">
        <v>81</v>
      </c>
      <c r="K7" s="369" t="s">
        <v>80</v>
      </c>
      <c r="L7" s="369" t="s">
        <v>79</v>
      </c>
      <c r="M7" s="369" t="s">
        <v>85</v>
      </c>
      <c r="N7" s="369" t="s">
        <v>78</v>
      </c>
      <c r="O7" s="369" t="s">
        <v>77</v>
      </c>
      <c r="P7" s="369" t="s">
        <v>481</v>
      </c>
      <c r="Q7" s="530" t="s">
        <v>17</v>
      </c>
      <c r="R7" s="530" t="s">
        <v>778</v>
      </c>
      <c r="S7" s="530" t="s">
        <v>685</v>
      </c>
      <c r="T7" s="533" t="s">
        <v>13</v>
      </c>
    </row>
    <row r="8" spans="1:20">
      <c r="B8" s="377"/>
      <c r="C8" s="532"/>
      <c r="D8" s="369"/>
      <c r="E8" s="369"/>
      <c r="F8" s="369"/>
      <c r="G8" s="369"/>
      <c r="H8" s="369"/>
      <c r="I8" s="369"/>
      <c r="J8" s="369"/>
      <c r="K8" s="369"/>
      <c r="L8" s="369"/>
      <c r="M8" s="369"/>
      <c r="N8" s="369"/>
      <c r="O8" s="369"/>
      <c r="P8" s="534" t="s">
        <v>788</v>
      </c>
      <c r="T8" s="535" t="s">
        <v>1155</v>
      </c>
    </row>
    <row r="9" spans="1:20">
      <c r="A9" s="536">
        <v>1</v>
      </c>
      <c r="B9" s="956" t="s">
        <v>1529</v>
      </c>
      <c r="C9" s="957">
        <v>17881251.390000001</v>
      </c>
      <c r="D9" s="957">
        <v>23945709.3699915</v>
      </c>
      <c r="E9" s="957">
        <v>24556582.4399915</v>
      </c>
      <c r="F9" s="957">
        <v>25360374.399991501</v>
      </c>
      <c r="G9" s="957">
        <v>26132220.7999915</v>
      </c>
      <c r="H9" s="957">
        <v>26836900.269991498</v>
      </c>
      <c r="I9" s="957">
        <v>27604876.669991497</v>
      </c>
      <c r="J9" s="957">
        <v>28331566.339991499</v>
      </c>
      <c r="K9" s="957">
        <v>28995770.219991498</v>
      </c>
      <c r="L9" s="957">
        <v>29747926.449991498</v>
      </c>
      <c r="M9" s="957">
        <v>30492445.639991499</v>
      </c>
      <c r="N9" s="957">
        <v>31167365.8699915</v>
      </c>
      <c r="O9" s="957">
        <v>33565085.429991499</v>
      </c>
      <c r="P9" s="537">
        <f>AVERAGE(C9:O9)</f>
        <v>27278313.483838305</v>
      </c>
      <c r="Q9" s="537"/>
      <c r="R9" s="537"/>
      <c r="S9" s="537">
        <f>P9</f>
        <v>27278313.483838305</v>
      </c>
      <c r="T9" s="537">
        <f>SUM(Q9:S9)</f>
        <v>27278313.483838305</v>
      </c>
    </row>
    <row r="10" spans="1:20">
      <c r="A10" s="536">
        <f>A9+1</f>
        <v>2</v>
      </c>
      <c r="B10" s="956" t="s">
        <v>776</v>
      </c>
      <c r="C10" s="957">
        <v>10967791.289999999</v>
      </c>
      <c r="D10" s="957">
        <v>10967791.289999999</v>
      </c>
      <c r="E10" s="957">
        <v>10967791.289999999</v>
      </c>
      <c r="F10" s="957">
        <v>10967791.289999999</v>
      </c>
      <c r="G10" s="957">
        <v>10967791.289999999</v>
      </c>
      <c r="H10" s="957">
        <v>10967791.289999999</v>
      </c>
      <c r="I10" s="957">
        <v>10967791.289999999</v>
      </c>
      <c r="J10" s="957">
        <v>10967791.289999999</v>
      </c>
      <c r="K10" s="957">
        <v>10967791.289999999</v>
      </c>
      <c r="L10" s="957">
        <v>10967791.289999999</v>
      </c>
      <c r="M10" s="957">
        <v>10967791.289999999</v>
      </c>
      <c r="N10" s="957">
        <v>10967791.289999999</v>
      </c>
      <c r="O10" s="957">
        <v>10967791.289999999</v>
      </c>
      <c r="P10" s="537">
        <f t="shared" ref="P10:P15" si="0">AVERAGE(C10:O10)</f>
        <v>10967791.289999995</v>
      </c>
      <c r="Q10" s="537">
        <f>P10</f>
        <v>10967791.289999995</v>
      </c>
      <c r="R10" s="537"/>
      <c r="S10" s="537"/>
      <c r="T10" s="537">
        <f t="shared" ref="T10:T27" si="1">SUM(Q10:S10)</f>
        <v>10967791.289999995</v>
      </c>
    </row>
    <row r="11" spans="1:20">
      <c r="A11" s="536">
        <f t="shared" ref="A11:A29" si="2">A10+1</f>
        <v>3</v>
      </c>
      <c r="B11" s="956" t="s">
        <v>777</v>
      </c>
      <c r="C11" s="957">
        <v>1486430.4100000001</v>
      </c>
      <c r="D11" s="957">
        <v>1486430.4100000001</v>
      </c>
      <c r="E11" s="957">
        <v>1486430.4100000001</v>
      </c>
      <c r="F11" s="957">
        <v>1486430.4100000001</v>
      </c>
      <c r="G11" s="957">
        <v>1486430.4100000001</v>
      </c>
      <c r="H11" s="957">
        <v>1486430.4100000001</v>
      </c>
      <c r="I11" s="957">
        <v>1486430.4100000001</v>
      </c>
      <c r="J11" s="957">
        <v>1486430.4100000001</v>
      </c>
      <c r="K11" s="957">
        <v>1486430.4100000001</v>
      </c>
      <c r="L11" s="957">
        <v>1486430.4100000001</v>
      </c>
      <c r="M11" s="957">
        <v>1486430.4100000001</v>
      </c>
      <c r="N11" s="957">
        <v>1486430.4100000001</v>
      </c>
      <c r="O11" s="957">
        <v>1486430.4100000001</v>
      </c>
      <c r="P11" s="537">
        <f t="shared" si="0"/>
        <v>1486430.4100000001</v>
      </c>
      <c r="Q11" s="537"/>
      <c r="R11" s="537">
        <f>P11</f>
        <v>1486430.4100000001</v>
      </c>
      <c r="S11" s="537"/>
      <c r="T11" s="537">
        <f t="shared" si="1"/>
        <v>1486430.4100000001</v>
      </c>
    </row>
    <row r="12" spans="1:20">
      <c r="A12" s="536">
        <f t="shared" si="2"/>
        <v>4</v>
      </c>
      <c r="B12" s="956" t="s">
        <v>789</v>
      </c>
      <c r="C12" s="957">
        <v>2231384.04</v>
      </c>
      <c r="D12" s="957">
        <v>2231384.04</v>
      </c>
      <c r="E12" s="957">
        <v>2231384.04</v>
      </c>
      <c r="F12" s="957">
        <v>2231384.04</v>
      </c>
      <c r="G12" s="957">
        <v>2231384.04</v>
      </c>
      <c r="H12" s="957">
        <v>2231384.04</v>
      </c>
      <c r="I12" s="957">
        <v>2231384.04</v>
      </c>
      <c r="J12" s="957">
        <v>2231384.04</v>
      </c>
      <c r="K12" s="957">
        <v>2231384.04</v>
      </c>
      <c r="L12" s="957">
        <v>2231384.04</v>
      </c>
      <c r="M12" s="957">
        <v>2231384.04</v>
      </c>
      <c r="N12" s="957">
        <v>2231384.04</v>
      </c>
      <c r="O12" s="957">
        <v>2231384.04</v>
      </c>
      <c r="P12" s="537">
        <f t="shared" si="0"/>
        <v>2231384.0399999996</v>
      </c>
      <c r="Q12" s="537"/>
      <c r="R12" s="537">
        <f>P12</f>
        <v>2231384.0399999996</v>
      </c>
      <c r="S12" s="537"/>
      <c r="T12" s="537">
        <f t="shared" si="1"/>
        <v>2231384.0399999996</v>
      </c>
    </row>
    <row r="13" spans="1:20">
      <c r="A13" s="536">
        <f t="shared" si="2"/>
        <v>5</v>
      </c>
      <c r="B13" s="956" t="s">
        <v>1560</v>
      </c>
      <c r="C13" s="957">
        <v>26991446.301371101</v>
      </c>
      <c r="D13" s="957">
        <v>27186158.6813711</v>
      </c>
      <c r="E13" s="957">
        <v>27411602.511371098</v>
      </c>
      <c r="F13" s="957">
        <v>27688916.901371099</v>
      </c>
      <c r="G13" s="957">
        <v>27964599.3413711</v>
      </c>
      <c r="H13" s="957">
        <v>28224999.851371102</v>
      </c>
      <c r="I13" s="957">
        <v>28499977.071371101</v>
      </c>
      <c r="J13" s="957">
        <v>28765557.991371103</v>
      </c>
      <c r="K13" s="957">
        <v>29004223.481371101</v>
      </c>
      <c r="L13" s="957">
        <v>29259665.721371099</v>
      </c>
      <c r="M13" s="957">
        <v>29512134.121371098</v>
      </c>
      <c r="N13" s="957">
        <v>29738755.241371099</v>
      </c>
      <c r="O13" s="957">
        <v>30011456.311371099</v>
      </c>
      <c r="P13" s="537">
        <f t="shared" si="0"/>
        <v>28481499.502140328</v>
      </c>
      <c r="Q13" s="537"/>
      <c r="R13" s="537">
        <f>P13</f>
        <v>28481499.502140328</v>
      </c>
      <c r="S13" s="537"/>
      <c r="T13" s="537">
        <f t="shared" si="1"/>
        <v>28481499.502140328</v>
      </c>
    </row>
    <row r="14" spans="1:20">
      <c r="A14" s="536">
        <f t="shared" si="2"/>
        <v>6</v>
      </c>
      <c r="B14" s="958" t="s">
        <v>818</v>
      </c>
      <c r="C14" s="957">
        <v>30137375.039999999</v>
      </c>
      <c r="D14" s="957">
        <v>30137375.039999999</v>
      </c>
      <c r="E14" s="957">
        <v>30137375.039999999</v>
      </c>
      <c r="F14" s="957">
        <v>30137375.039999999</v>
      </c>
      <c r="G14" s="957">
        <v>30137375.039999999</v>
      </c>
      <c r="H14" s="957">
        <v>30137375.039999999</v>
      </c>
      <c r="I14" s="957">
        <v>30137375.039999999</v>
      </c>
      <c r="J14" s="957">
        <v>30137375.039999999</v>
      </c>
      <c r="K14" s="957">
        <v>30137375.039999999</v>
      </c>
      <c r="L14" s="957">
        <v>30137375.039999999</v>
      </c>
      <c r="M14" s="957">
        <v>30137375.039999999</v>
      </c>
      <c r="N14" s="957">
        <v>30137375.039999999</v>
      </c>
      <c r="O14" s="957">
        <v>30137375.039999999</v>
      </c>
      <c r="P14" s="537">
        <f t="shared" si="0"/>
        <v>30137375.040000003</v>
      </c>
      <c r="Q14" s="537"/>
      <c r="R14" s="537">
        <f>P14</f>
        <v>30137375.040000003</v>
      </c>
      <c r="S14" s="537"/>
      <c r="T14" s="537">
        <f t="shared" si="1"/>
        <v>30137375.040000003</v>
      </c>
    </row>
    <row r="15" spans="1:20">
      <c r="A15" s="536">
        <f t="shared" si="2"/>
        <v>7</v>
      </c>
      <c r="B15" s="956" t="s">
        <v>790</v>
      </c>
      <c r="C15" s="957">
        <v>86110082.590000004</v>
      </c>
      <c r="D15" s="957">
        <v>86110082.590000004</v>
      </c>
      <c r="E15" s="957">
        <v>86110082.590000004</v>
      </c>
      <c r="F15" s="957">
        <v>86110082.590000004</v>
      </c>
      <c r="G15" s="957">
        <v>86110082.590000004</v>
      </c>
      <c r="H15" s="957">
        <v>86110082.590000004</v>
      </c>
      <c r="I15" s="957">
        <v>86110082.590000004</v>
      </c>
      <c r="J15" s="957">
        <v>86110082.590000004</v>
      </c>
      <c r="K15" s="957">
        <v>86110082.590000004</v>
      </c>
      <c r="L15" s="957">
        <v>86110082.590000004</v>
      </c>
      <c r="M15" s="957">
        <v>86110082.590000004</v>
      </c>
      <c r="N15" s="957">
        <v>86110082.590000004</v>
      </c>
      <c r="O15" s="957">
        <v>86110082.590000004</v>
      </c>
      <c r="P15" s="537">
        <f t="shared" si="0"/>
        <v>86110082.590000018</v>
      </c>
      <c r="Q15" s="537"/>
      <c r="R15" s="537">
        <f>P15</f>
        <v>86110082.590000018</v>
      </c>
      <c r="S15" s="537"/>
      <c r="T15" s="537">
        <f t="shared" si="1"/>
        <v>86110082.590000018</v>
      </c>
    </row>
    <row r="16" spans="1:20">
      <c r="A16" s="536">
        <f t="shared" si="2"/>
        <v>8</v>
      </c>
      <c r="B16" s="956" t="s">
        <v>1561</v>
      </c>
      <c r="C16" s="957">
        <v>5771259.0199999996</v>
      </c>
      <c r="D16" s="957">
        <v>5771259.0199999996</v>
      </c>
      <c r="E16" s="957">
        <v>5771259.0199999996</v>
      </c>
      <c r="F16" s="957">
        <v>5771259.0199999996</v>
      </c>
      <c r="G16" s="957">
        <v>5771259.0199999996</v>
      </c>
      <c r="H16" s="957">
        <v>5771259.0199999996</v>
      </c>
      <c r="I16" s="957">
        <v>5771259.0199999996</v>
      </c>
      <c r="J16" s="957">
        <v>5771259.0199999996</v>
      </c>
      <c r="K16" s="957">
        <v>5771259.0199999996</v>
      </c>
      <c r="L16" s="957">
        <v>5771259.0199999996</v>
      </c>
      <c r="M16" s="957">
        <v>5771259.0199999996</v>
      </c>
      <c r="N16" s="957">
        <v>5771259.0199999996</v>
      </c>
      <c r="O16" s="957">
        <v>5771259.0199999996</v>
      </c>
      <c r="P16" s="537">
        <f t="shared" ref="P16:P17" si="3">AVERAGE(C16:O16)</f>
        <v>5771259.0199999977</v>
      </c>
      <c r="Q16" s="537">
        <f>P16</f>
        <v>5771259.0199999977</v>
      </c>
      <c r="R16" s="537"/>
      <c r="S16" s="537"/>
      <c r="T16" s="537">
        <f t="shared" ref="T16" si="4">SUM(Q16:S16)</f>
        <v>5771259.0199999977</v>
      </c>
    </row>
    <row r="17" spans="1:20">
      <c r="A17" s="536">
        <f t="shared" si="2"/>
        <v>9</v>
      </c>
      <c r="B17" s="956" t="s">
        <v>1636</v>
      </c>
      <c r="C17" s="957">
        <v>947198.9886288984</v>
      </c>
      <c r="D17" s="957">
        <v>947198.9886288984</v>
      </c>
      <c r="E17" s="957">
        <v>947198.9886288984</v>
      </c>
      <c r="F17" s="957">
        <v>947198.9886288984</v>
      </c>
      <c r="G17" s="957">
        <v>947198.9886288984</v>
      </c>
      <c r="H17" s="957">
        <v>947198.9886288984</v>
      </c>
      <c r="I17" s="957">
        <v>947198.9886288984</v>
      </c>
      <c r="J17" s="957">
        <v>947198.9886288984</v>
      </c>
      <c r="K17" s="957">
        <v>947198.9886288984</v>
      </c>
      <c r="L17" s="957">
        <v>947198.9886288984</v>
      </c>
      <c r="M17" s="957">
        <v>947198.9886288984</v>
      </c>
      <c r="N17" s="957">
        <v>947198.9886288984</v>
      </c>
      <c r="O17" s="957">
        <v>947198.9886288984</v>
      </c>
      <c r="P17" s="537">
        <f t="shared" si="3"/>
        <v>947198.98862889828</v>
      </c>
      <c r="Q17" s="537">
        <f>P17</f>
        <v>947198.98862889828</v>
      </c>
      <c r="R17" s="537"/>
      <c r="S17" s="537"/>
      <c r="T17" s="537">
        <f t="shared" si="1"/>
        <v>947198.98862889828</v>
      </c>
    </row>
    <row r="18" spans="1:20">
      <c r="A18" s="536">
        <f t="shared" si="2"/>
        <v>10</v>
      </c>
      <c r="B18" s="956" t="s">
        <v>1649</v>
      </c>
      <c r="C18" s="957">
        <v>0</v>
      </c>
      <c r="D18" s="957">
        <v>154582.60076945001</v>
      </c>
      <c r="E18" s="957">
        <v>332832.45719563006</v>
      </c>
      <c r="F18" s="957">
        <v>552094.30762703007</v>
      </c>
      <c r="G18" s="957">
        <v>770065.86357176013</v>
      </c>
      <c r="H18" s="957">
        <v>975954.67639215011</v>
      </c>
      <c r="I18" s="957">
        <v>1193368.69304793</v>
      </c>
      <c r="J18" s="957">
        <v>1403353.44706487</v>
      </c>
      <c r="K18" s="957">
        <v>1592057.15202086</v>
      </c>
      <c r="L18" s="957">
        <v>1794025.50982095</v>
      </c>
      <c r="M18" s="957">
        <v>1993642.5780821899</v>
      </c>
      <c r="N18" s="957">
        <v>2172823.1381128998</v>
      </c>
      <c r="O18" s="957">
        <v>2388437.0382181397</v>
      </c>
      <c r="P18" s="537">
        <f t="shared" ref="P18" si="5">AVERAGE(C18:O18)</f>
        <v>1178710.5739941432</v>
      </c>
      <c r="Q18" s="537"/>
      <c r="R18" s="537">
        <f>P18</f>
        <v>1178710.5739941432</v>
      </c>
      <c r="S18" s="537"/>
      <c r="T18" s="537">
        <f t="shared" si="1"/>
        <v>1178710.5739941432</v>
      </c>
    </row>
    <row r="19" spans="1:20">
      <c r="A19" s="536">
        <f t="shared" si="2"/>
        <v>11</v>
      </c>
      <c r="B19" s="959"/>
      <c r="C19" s="959"/>
      <c r="D19" s="959"/>
      <c r="E19" s="959"/>
      <c r="F19" s="959"/>
      <c r="G19" s="959"/>
      <c r="H19" s="959"/>
      <c r="I19" s="960"/>
      <c r="J19" s="960"/>
      <c r="K19" s="960"/>
      <c r="L19" s="960"/>
      <c r="M19" s="960"/>
      <c r="N19" s="960"/>
      <c r="O19" s="960"/>
      <c r="P19" s="537"/>
      <c r="Q19" s="537"/>
      <c r="R19" s="537"/>
      <c r="S19" s="537"/>
      <c r="T19" s="537">
        <f t="shared" si="1"/>
        <v>0</v>
      </c>
    </row>
    <row r="20" spans="1:20">
      <c r="A20" s="536">
        <f t="shared" si="2"/>
        <v>12</v>
      </c>
      <c r="B20" s="959"/>
      <c r="C20" s="959"/>
      <c r="D20" s="959"/>
      <c r="E20" s="959"/>
      <c r="F20" s="959"/>
      <c r="G20" s="959"/>
      <c r="H20" s="959"/>
      <c r="I20" s="960"/>
      <c r="J20" s="960"/>
      <c r="K20" s="960"/>
      <c r="L20" s="960"/>
      <c r="M20" s="960"/>
      <c r="N20" s="960"/>
      <c r="O20" s="960"/>
      <c r="P20" s="537"/>
      <c r="Q20" s="537"/>
      <c r="R20" s="537"/>
      <c r="S20" s="537"/>
      <c r="T20" s="537">
        <f t="shared" si="1"/>
        <v>0</v>
      </c>
    </row>
    <row r="21" spans="1:20">
      <c r="A21" s="536">
        <f t="shared" si="2"/>
        <v>13</v>
      </c>
      <c r="B21" s="959"/>
      <c r="C21" s="959"/>
      <c r="D21" s="959"/>
      <c r="E21" s="959"/>
      <c r="F21" s="959"/>
      <c r="G21" s="959"/>
      <c r="H21" s="959"/>
      <c r="I21" s="960"/>
      <c r="J21" s="960"/>
      <c r="K21" s="960"/>
      <c r="L21" s="960"/>
      <c r="M21" s="960"/>
      <c r="N21" s="960"/>
      <c r="O21" s="960"/>
      <c r="P21" s="537"/>
      <c r="Q21" s="537"/>
      <c r="R21" s="537"/>
      <c r="S21" s="537"/>
      <c r="T21" s="537">
        <f t="shared" si="1"/>
        <v>0</v>
      </c>
    </row>
    <row r="22" spans="1:20">
      <c r="A22" s="536">
        <f t="shared" si="2"/>
        <v>14</v>
      </c>
      <c r="B22" s="960"/>
      <c r="C22" s="960"/>
      <c r="D22" s="960"/>
      <c r="E22" s="960"/>
      <c r="F22" s="960"/>
      <c r="G22" s="960"/>
      <c r="H22" s="960"/>
      <c r="I22" s="960"/>
      <c r="J22" s="960"/>
      <c r="K22" s="960"/>
      <c r="L22" s="960"/>
      <c r="M22" s="960"/>
      <c r="N22" s="960"/>
      <c r="O22" s="960"/>
      <c r="Q22" s="537"/>
      <c r="R22" s="537"/>
      <c r="S22" s="537"/>
      <c r="T22" s="537">
        <f t="shared" si="1"/>
        <v>0</v>
      </c>
    </row>
    <row r="23" spans="1:20">
      <c r="A23" s="536">
        <f t="shared" si="2"/>
        <v>15</v>
      </c>
      <c r="B23" s="959"/>
      <c r="C23" s="959"/>
      <c r="D23" s="959"/>
      <c r="E23" s="959"/>
      <c r="F23" s="959"/>
      <c r="G23" s="959"/>
      <c r="H23" s="959"/>
      <c r="I23" s="960"/>
      <c r="J23" s="960"/>
      <c r="K23" s="960"/>
      <c r="L23" s="960"/>
      <c r="M23" s="960"/>
      <c r="N23" s="960"/>
      <c r="O23" s="960"/>
      <c r="Q23" s="537"/>
      <c r="R23" s="537"/>
      <c r="S23" s="537"/>
      <c r="T23" s="537">
        <f t="shared" si="1"/>
        <v>0</v>
      </c>
    </row>
    <row r="24" spans="1:20">
      <c r="A24" s="536">
        <f t="shared" si="2"/>
        <v>16</v>
      </c>
      <c r="B24" s="960"/>
      <c r="C24" s="960"/>
      <c r="D24" s="960"/>
      <c r="E24" s="960"/>
      <c r="F24" s="960"/>
      <c r="G24" s="960"/>
      <c r="H24" s="960"/>
      <c r="I24" s="960"/>
      <c r="J24" s="960"/>
      <c r="K24" s="960"/>
      <c r="L24" s="960"/>
      <c r="M24" s="960"/>
      <c r="N24" s="960"/>
      <c r="O24" s="960"/>
      <c r="Q24" s="537"/>
      <c r="R24" s="537"/>
      <c r="S24" s="537"/>
      <c r="T24" s="537">
        <f t="shared" si="1"/>
        <v>0</v>
      </c>
    </row>
    <row r="25" spans="1:20">
      <c r="A25" s="536">
        <f t="shared" si="2"/>
        <v>17</v>
      </c>
      <c r="B25" s="960"/>
      <c r="C25" s="960"/>
      <c r="D25" s="960"/>
      <c r="E25" s="960"/>
      <c r="F25" s="960"/>
      <c r="G25" s="960"/>
      <c r="H25" s="960"/>
      <c r="I25" s="960"/>
      <c r="J25" s="960"/>
      <c r="K25" s="960"/>
      <c r="L25" s="960"/>
      <c r="M25" s="960"/>
      <c r="N25" s="960"/>
      <c r="O25" s="960"/>
      <c r="Q25" s="537"/>
      <c r="R25" s="537"/>
      <c r="S25" s="537"/>
      <c r="T25" s="537">
        <f t="shared" si="1"/>
        <v>0</v>
      </c>
    </row>
    <row r="26" spans="1:20">
      <c r="A26" s="536">
        <f t="shared" si="2"/>
        <v>18</v>
      </c>
      <c r="B26" s="960"/>
      <c r="C26" s="960"/>
      <c r="D26" s="960"/>
      <c r="E26" s="960"/>
      <c r="F26" s="960"/>
      <c r="G26" s="960"/>
      <c r="H26" s="960"/>
      <c r="I26" s="960"/>
      <c r="J26" s="960"/>
      <c r="K26" s="960"/>
      <c r="L26" s="960"/>
      <c r="M26" s="960"/>
      <c r="N26" s="960"/>
      <c r="O26" s="960"/>
      <c r="Q26" s="537"/>
      <c r="R26" s="537"/>
      <c r="S26" s="537"/>
      <c r="T26" s="537">
        <f t="shared" si="1"/>
        <v>0</v>
      </c>
    </row>
    <row r="27" spans="1:20">
      <c r="A27" s="536">
        <f t="shared" si="2"/>
        <v>19</v>
      </c>
      <c r="B27" s="369" t="s">
        <v>13</v>
      </c>
      <c r="C27" s="537">
        <f>SUM(C9:C26)</f>
        <v>182524219.06999999</v>
      </c>
      <c r="D27" s="537">
        <f t="shared" ref="D27:O27" si="6">SUM(D9:D26)</f>
        <v>188937972.03076097</v>
      </c>
      <c r="E27" s="537">
        <f t="shared" si="6"/>
        <v>189952538.78718713</v>
      </c>
      <c r="F27" s="537">
        <f t="shared" si="6"/>
        <v>191252906.98761854</v>
      </c>
      <c r="G27" s="537">
        <f t="shared" si="6"/>
        <v>192518407.38356325</v>
      </c>
      <c r="H27" s="537">
        <f t="shared" si="6"/>
        <v>193689376.17638364</v>
      </c>
      <c r="I27" s="537">
        <f t="shared" si="6"/>
        <v>194949743.81303945</v>
      </c>
      <c r="J27" s="537">
        <f t="shared" si="6"/>
        <v>196151999.15705639</v>
      </c>
      <c r="K27" s="537">
        <f t="shared" si="6"/>
        <v>197243572.23201236</v>
      </c>
      <c r="L27" s="537">
        <f t="shared" si="6"/>
        <v>198453139.05981243</v>
      </c>
      <c r="M27" s="537">
        <f t="shared" si="6"/>
        <v>199649743.7180737</v>
      </c>
      <c r="N27" s="537">
        <f>SUM(N9:N26)</f>
        <v>200730465.62810442</v>
      </c>
      <c r="O27" s="537">
        <f t="shared" si="6"/>
        <v>203616500.15820965</v>
      </c>
      <c r="P27" s="537">
        <f>AVERAGE(C27:O27)</f>
        <v>194590044.93860167</v>
      </c>
      <c r="Q27" s="537">
        <f>SUM(Q9:Q26)</f>
        <v>17686249.298628893</v>
      </c>
      <c r="R27" s="537">
        <f>SUM(R9:R26)</f>
        <v>149625482.15613449</v>
      </c>
      <c r="S27" s="537">
        <f>SUM(S9:S26)</f>
        <v>27278313.483838305</v>
      </c>
      <c r="T27" s="537">
        <f t="shared" si="1"/>
        <v>194590044.93860167</v>
      </c>
    </row>
    <row r="28" spans="1:20">
      <c r="A28" s="536">
        <f t="shared" si="2"/>
        <v>20</v>
      </c>
      <c r="B28" s="369"/>
      <c r="C28" s="537"/>
      <c r="D28" s="537"/>
      <c r="E28" s="537"/>
      <c r="F28" s="537"/>
      <c r="G28" s="537"/>
      <c r="H28" s="537"/>
      <c r="I28" s="537"/>
      <c r="J28" s="537"/>
      <c r="K28" s="537"/>
      <c r="L28" s="537"/>
      <c r="M28" s="537"/>
      <c r="N28" s="537"/>
      <c r="O28" s="537"/>
      <c r="P28" s="538" t="s">
        <v>698</v>
      </c>
      <c r="Q28" s="539">
        <v>1</v>
      </c>
      <c r="R28" s="539">
        <v>0</v>
      </c>
      <c r="S28" s="539">
        <f>'Attachment H-7'!I197</f>
        <v>9.4490855863003556E-2</v>
      </c>
      <c r="T28" s="537"/>
    </row>
    <row r="29" spans="1:20">
      <c r="A29" s="536">
        <f t="shared" si="2"/>
        <v>21</v>
      </c>
      <c r="B29" s="369"/>
      <c r="C29" s="537"/>
      <c r="D29" s="537"/>
      <c r="E29" s="537"/>
      <c r="F29" s="537"/>
      <c r="G29" s="537"/>
      <c r="H29" s="537"/>
      <c r="I29" s="537"/>
      <c r="J29" s="537"/>
      <c r="K29" s="537"/>
      <c r="L29" s="537"/>
      <c r="M29" s="537"/>
      <c r="N29" s="537"/>
      <c r="O29" s="537"/>
      <c r="P29" s="538" t="s">
        <v>786</v>
      </c>
      <c r="Q29" s="537">
        <f>Q27*Q28</f>
        <v>17686249.298628893</v>
      </c>
      <c r="R29" s="537">
        <f t="shared" ref="R29:S29" si="7">R27*R28</f>
        <v>0</v>
      </c>
      <c r="S29" s="537">
        <f t="shared" si="7"/>
        <v>2577551.1875871918</v>
      </c>
      <c r="T29" s="537">
        <f>SUM(Q29:S29)</f>
        <v>20263800.486216083</v>
      </c>
    </row>
    <row r="30" spans="1:20">
      <c r="A30" s="536"/>
    </row>
    <row r="31" spans="1:20">
      <c r="B31" s="369" t="s">
        <v>198</v>
      </c>
      <c r="C31" s="369" t="s">
        <v>199</v>
      </c>
      <c r="D31" s="369" t="s">
        <v>200</v>
      </c>
      <c r="E31" s="369" t="s">
        <v>201</v>
      </c>
      <c r="F31" s="369" t="s">
        <v>203</v>
      </c>
      <c r="G31" s="369" t="s">
        <v>202</v>
      </c>
      <c r="H31" s="369" t="s">
        <v>204</v>
      </c>
      <c r="I31" s="369" t="s">
        <v>205</v>
      </c>
      <c r="J31" s="369" t="s">
        <v>206</v>
      </c>
      <c r="K31" s="369" t="s">
        <v>244</v>
      </c>
      <c r="L31" s="369" t="s">
        <v>248</v>
      </c>
      <c r="M31" s="369" t="s">
        <v>453</v>
      </c>
      <c r="N31" s="369" t="s">
        <v>779</v>
      </c>
      <c r="O31" s="369" t="s">
        <v>780</v>
      </c>
      <c r="P31" s="369" t="s">
        <v>781</v>
      </c>
      <c r="Q31" s="369" t="s">
        <v>782</v>
      </c>
      <c r="R31" s="369" t="s">
        <v>783</v>
      </c>
      <c r="S31" s="369" t="s">
        <v>784</v>
      </c>
      <c r="T31" s="369" t="s">
        <v>787</v>
      </c>
    </row>
    <row r="32" spans="1:20">
      <c r="B32" s="377" t="s">
        <v>208</v>
      </c>
      <c r="C32" s="532" t="s">
        <v>195</v>
      </c>
      <c r="D32" s="369" t="s">
        <v>84</v>
      </c>
      <c r="E32" s="369" t="s">
        <v>83</v>
      </c>
      <c r="F32" s="369" t="s">
        <v>82</v>
      </c>
      <c r="G32" s="369" t="s">
        <v>74</v>
      </c>
      <c r="H32" s="369" t="s">
        <v>73</v>
      </c>
      <c r="I32" s="369" t="s">
        <v>93</v>
      </c>
      <c r="J32" s="369" t="s">
        <v>81</v>
      </c>
      <c r="K32" s="369" t="s">
        <v>80</v>
      </c>
      <c r="L32" s="369" t="s">
        <v>79</v>
      </c>
      <c r="M32" s="369" t="s">
        <v>85</v>
      </c>
      <c r="N32" s="369" t="s">
        <v>78</v>
      </c>
      <c r="O32" s="369" t="s">
        <v>77</v>
      </c>
      <c r="P32" s="369" t="s">
        <v>481</v>
      </c>
      <c r="Q32" s="530" t="s">
        <v>17</v>
      </c>
      <c r="R32" s="530" t="s">
        <v>778</v>
      </c>
      <c r="S32" s="530" t="s">
        <v>685</v>
      </c>
      <c r="T32" s="533" t="s">
        <v>13</v>
      </c>
    </row>
    <row r="33" spans="1:20">
      <c r="B33" s="377"/>
      <c r="C33" s="532"/>
      <c r="D33" s="369"/>
      <c r="E33" s="369"/>
      <c r="F33" s="369"/>
      <c r="G33" s="369"/>
      <c r="H33" s="369"/>
      <c r="I33" s="369"/>
      <c r="J33" s="369"/>
      <c r="K33" s="369"/>
      <c r="L33" s="369"/>
      <c r="M33" s="369"/>
      <c r="N33" s="369"/>
      <c r="O33" s="369"/>
      <c r="P33" s="534" t="s">
        <v>788</v>
      </c>
      <c r="T33" s="535" t="s">
        <v>1155</v>
      </c>
    </row>
    <row r="34" spans="1:20">
      <c r="A34" s="536">
        <f>A29+1</f>
        <v>22</v>
      </c>
      <c r="B34" s="956" t="s">
        <v>1529</v>
      </c>
      <c r="C34" s="957">
        <v>9817212.2800000012</v>
      </c>
      <c r="D34" s="957">
        <v>10327495.276169535</v>
      </c>
      <c r="E34" s="957">
        <v>10846039.871088997</v>
      </c>
      <c r="F34" s="957">
        <v>11362339.851258459</v>
      </c>
      <c r="G34" s="957">
        <v>11886440.881094588</v>
      </c>
      <c r="H34" s="957">
        <v>12420642.963180717</v>
      </c>
      <c r="I34" s="957">
        <v>12967117.147516847</v>
      </c>
      <c r="J34" s="957">
        <v>13526046.902436309</v>
      </c>
      <c r="K34" s="957">
        <v>14096567.416939104</v>
      </c>
      <c r="L34" s="957">
        <v>14678890.952358566</v>
      </c>
      <c r="M34" s="957">
        <v>15273686.762944695</v>
      </c>
      <c r="N34" s="957">
        <v>15880311.255364157</v>
      </c>
      <c r="O34" s="957">
        <v>16508919.389366953</v>
      </c>
      <c r="P34" s="537">
        <f>AVERAGE(C34:O34)</f>
        <v>13045516.226901459</v>
      </c>
      <c r="Q34" s="537"/>
      <c r="R34" s="537"/>
      <c r="S34" s="537">
        <f>P34</f>
        <v>13045516.226901459</v>
      </c>
      <c r="T34" s="537">
        <f>SUM(Q34:S34)</f>
        <v>13045516.226901459</v>
      </c>
    </row>
    <row r="35" spans="1:20">
      <c r="A35" s="536">
        <f>A34+1</f>
        <v>23</v>
      </c>
      <c r="B35" s="956" t="s">
        <v>776</v>
      </c>
      <c r="C35" s="957">
        <v>8342198.5099999998</v>
      </c>
      <c r="D35" s="957">
        <v>8524468.1199999992</v>
      </c>
      <c r="E35" s="957">
        <v>8706737.709999999</v>
      </c>
      <c r="F35" s="957">
        <v>8889007.2899999991</v>
      </c>
      <c r="G35" s="957">
        <v>9071276.8599999994</v>
      </c>
      <c r="H35" s="957">
        <v>9253546.4399999995</v>
      </c>
      <c r="I35" s="957">
        <v>9435816</v>
      </c>
      <c r="J35" s="957">
        <v>9618085.5700000003</v>
      </c>
      <c r="K35" s="957">
        <v>9800355.1300000008</v>
      </c>
      <c r="L35" s="957">
        <v>9982624.7000000011</v>
      </c>
      <c r="M35" s="957">
        <v>10164894.260000002</v>
      </c>
      <c r="N35" s="957">
        <v>10328784.940000001</v>
      </c>
      <c r="O35" s="957">
        <v>10474296.710000001</v>
      </c>
      <c r="P35" s="537">
        <f t="shared" ref="P35:P39" si="8">AVERAGE(C35:O35)</f>
        <v>9430160.9415384624</v>
      </c>
      <c r="Q35" s="537">
        <f>P35</f>
        <v>9430160.9415384624</v>
      </c>
      <c r="R35" s="537"/>
      <c r="S35" s="537"/>
      <c r="T35" s="537">
        <f t="shared" ref="T35:T52" si="9">SUM(Q35:S35)</f>
        <v>9430160.9415384624</v>
      </c>
    </row>
    <row r="36" spans="1:20">
      <c r="A36" s="536">
        <f t="shared" ref="A36:A54" si="10">A35+1</f>
        <v>24</v>
      </c>
      <c r="B36" s="956" t="s">
        <v>777</v>
      </c>
      <c r="C36" s="957">
        <v>1131679.53</v>
      </c>
      <c r="D36" s="957">
        <v>1156394.81</v>
      </c>
      <c r="E36" s="957">
        <v>1181110.08</v>
      </c>
      <c r="F36" s="957">
        <v>1205825.3600000001</v>
      </c>
      <c r="G36" s="957">
        <v>1230540.6300000001</v>
      </c>
      <c r="H36" s="957">
        <v>1255255.9100000001</v>
      </c>
      <c r="I36" s="957">
        <v>1279971.1800000002</v>
      </c>
      <c r="J36" s="957">
        <v>1304686.4500000002</v>
      </c>
      <c r="K36" s="957">
        <v>1329401.7300000002</v>
      </c>
      <c r="L36" s="957">
        <v>1354117.0000000002</v>
      </c>
      <c r="M36" s="957">
        <v>1378832.2700000003</v>
      </c>
      <c r="N36" s="957">
        <v>1401505.4400000002</v>
      </c>
      <c r="O36" s="957">
        <v>1422136.5200000003</v>
      </c>
      <c r="P36" s="537">
        <f t="shared" si="8"/>
        <v>1279342.8392307691</v>
      </c>
      <c r="Q36" s="537"/>
      <c r="R36" s="537">
        <f>P36</f>
        <v>1279342.8392307691</v>
      </c>
      <c r="S36" s="537"/>
      <c r="T36" s="537">
        <f t="shared" si="9"/>
        <v>1279342.8392307691</v>
      </c>
    </row>
    <row r="37" spans="1:20">
      <c r="A37" s="536">
        <f t="shared" si="10"/>
        <v>25</v>
      </c>
      <c r="B37" s="956" t="s">
        <v>789</v>
      </c>
      <c r="C37" s="957">
        <v>2231384.04</v>
      </c>
      <c r="D37" s="957">
        <v>2231384.04</v>
      </c>
      <c r="E37" s="957">
        <v>2231384.04</v>
      </c>
      <c r="F37" s="957">
        <v>2231384.04</v>
      </c>
      <c r="G37" s="957">
        <v>2231384.04</v>
      </c>
      <c r="H37" s="957">
        <v>2231384.04</v>
      </c>
      <c r="I37" s="957">
        <v>2231384.04</v>
      </c>
      <c r="J37" s="957">
        <v>2231384.04</v>
      </c>
      <c r="K37" s="957">
        <v>2231384.04</v>
      </c>
      <c r="L37" s="957">
        <v>2231384.04</v>
      </c>
      <c r="M37" s="957">
        <v>2231384.04</v>
      </c>
      <c r="N37" s="957">
        <v>2231384.04</v>
      </c>
      <c r="O37" s="957">
        <v>2231384.04</v>
      </c>
      <c r="P37" s="537">
        <f t="shared" si="8"/>
        <v>2231384.0399999996</v>
      </c>
      <c r="Q37" s="537"/>
      <c r="R37" s="537">
        <f>P37</f>
        <v>2231384.0399999996</v>
      </c>
      <c r="S37" s="537"/>
      <c r="T37" s="537">
        <f t="shared" si="9"/>
        <v>2231384.0399999996</v>
      </c>
    </row>
    <row r="38" spans="1:20">
      <c r="A38" s="536">
        <f t="shared" si="10"/>
        <v>26</v>
      </c>
      <c r="B38" s="956" t="s">
        <v>1560</v>
      </c>
      <c r="C38" s="957">
        <v>7148207.18138126</v>
      </c>
      <c r="D38" s="957">
        <v>7290074.7157769231</v>
      </c>
      <c r="E38" s="957">
        <v>7434443.930272961</v>
      </c>
      <c r="F38" s="957">
        <v>7581806.6510039158</v>
      </c>
      <c r="G38" s="957">
        <v>7732462.0070268288</v>
      </c>
      <c r="H38" s="957">
        <v>7886309.2902812008</v>
      </c>
      <c r="I38" s="957">
        <v>8043344.3017696142</v>
      </c>
      <c r="J38" s="957">
        <v>8203597.8865166111</v>
      </c>
      <c r="K38" s="957">
        <v>8366853.8384298161</v>
      </c>
      <c r="L38" s="957">
        <v>8533051.7901187297</v>
      </c>
      <c r="M38" s="957">
        <v>8702273.9264099766</v>
      </c>
      <c r="N38" s="957">
        <v>8874348.6415515561</v>
      </c>
      <c r="O38" s="957">
        <v>9049396.4042327609</v>
      </c>
      <c r="P38" s="537">
        <f t="shared" si="8"/>
        <v>8065090.0434440095</v>
      </c>
      <c r="Q38" s="537"/>
      <c r="R38" s="537">
        <f>P38</f>
        <v>8065090.0434440095</v>
      </c>
      <c r="S38" s="537"/>
      <c r="T38" s="537">
        <f t="shared" si="9"/>
        <v>8065090.0434440095</v>
      </c>
    </row>
    <row r="39" spans="1:20">
      <c r="A39" s="536">
        <f t="shared" si="10"/>
        <v>27</v>
      </c>
      <c r="B39" s="956" t="s">
        <v>818</v>
      </c>
      <c r="C39" s="957">
        <v>20319087.480000004</v>
      </c>
      <c r="D39" s="957">
        <v>20837983.950540002</v>
      </c>
      <c r="E39" s="957">
        <v>21354222.001080003</v>
      </c>
      <c r="F39" s="957">
        <v>21867801.601620004</v>
      </c>
      <c r="G39" s="957">
        <v>22375472.512160003</v>
      </c>
      <c r="H39" s="957">
        <v>22877234.722700004</v>
      </c>
      <c r="I39" s="957">
        <v>23378996.943240002</v>
      </c>
      <c r="J39" s="957">
        <v>23880759.153780002</v>
      </c>
      <c r="K39" s="957">
        <v>24377431.364320002</v>
      </c>
      <c r="L39" s="957">
        <v>24869013.564860001</v>
      </c>
      <c r="M39" s="957">
        <v>25360595.7654</v>
      </c>
      <c r="N39" s="957">
        <v>25852177.965939999</v>
      </c>
      <c r="O39" s="957">
        <v>26343760.166479997</v>
      </c>
      <c r="P39" s="537">
        <f t="shared" si="8"/>
        <v>23361118.245547693</v>
      </c>
      <c r="Q39" s="537"/>
      <c r="R39" s="537">
        <f>P39</f>
        <v>23361118.245547693</v>
      </c>
      <c r="S39" s="537"/>
      <c r="T39" s="537">
        <f t="shared" si="9"/>
        <v>23361118.245547693</v>
      </c>
    </row>
    <row r="40" spans="1:20">
      <c r="A40" s="536">
        <f t="shared" si="10"/>
        <v>28</v>
      </c>
      <c r="B40" s="956" t="s">
        <v>790</v>
      </c>
      <c r="C40" s="957">
        <v>75341752.739999995</v>
      </c>
      <c r="D40" s="957">
        <v>75537580.089857146</v>
      </c>
      <c r="E40" s="957">
        <v>75717825.099714294</v>
      </c>
      <c r="F40" s="957">
        <v>75881966.859571442</v>
      </c>
      <c r="G40" s="957">
        <v>76038977.529428586</v>
      </c>
      <c r="H40" s="957">
        <v>76185229.41928573</v>
      </c>
      <c r="I40" s="957">
        <v>76327332.529142871</v>
      </c>
      <c r="J40" s="957">
        <v>76469435.67900002</v>
      </c>
      <c r="K40" s="957">
        <v>76611538.788857162</v>
      </c>
      <c r="L40" s="957">
        <v>76753641.928714305</v>
      </c>
      <c r="M40" s="957">
        <v>76895745.038571447</v>
      </c>
      <c r="N40" s="957">
        <v>77037848.17842859</v>
      </c>
      <c r="O40" s="957">
        <v>77167441.808285728</v>
      </c>
      <c r="P40" s="537">
        <f t="shared" ref="P40:P41" si="11">AVERAGE(C40:O40)</f>
        <v>76305101.206835181</v>
      </c>
      <c r="Q40" s="537"/>
      <c r="R40" s="537">
        <f>P40</f>
        <v>76305101.206835181</v>
      </c>
      <c r="S40" s="537"/>
      <c r="T40" s="537">
        <f t="shared" si="9"/>
        <v>76305101.206835181</v>
      </c>
    </row>
    <row r="41" spans="1:20">
      <c r="A41" s="536">
        <f t="shared" si="10"/>
        <v>29</v>
      </c>
      <c r="B41" s="956" t="s">
        <v>1561</v>
      </c>
      <c r="C41" s="957">
        <v>4190528.63</v>
      </c>
      <c r="D41" s="957">
        <v>4453983.6950000003</v>
      </c>
      <c r="E41" s="957">
        <v>4717438.7600000007</v>
      </c>
      <c r="F41" s="957">
        <v>4980893.8250000011</v>
      </c>
      <c r="G41" s="957">
        <v>5244348.8900000015</v>
      </c>
      <c r="H41" s="957">
        <v>5507803.9550000019</v>
      </c>
      <c r="I41" s="957">
        <v>5771259.0200000023</v>
      </c>
      <c r="J41" s="957">
        <v>5771259.0200000023</v>
      </c>
      <c r="K41" s="957">
        <v>5771259.0200000023</v>
      </c>
      <c r="L41" s="957">
        <v>5771259.0200000023</v>
      </c>
      <c r="M41" s="957">
        <v>5771259.0200000023</v>
      </c>
      <c r="N41" s="957">
        <v>5771259.0200000023</v>
      </c>
      <c r="O41" s="957">
        <v>5771259.0200000023</v>
      </c>
      <c r="P41" s="537">
        <f t="shared" si="11"/>
        <v>5345677.7611538479</v>
      </c>
      <c r="Q41" s="537">
        <f>P41</f>
        <v>5345677.7611538479</v>
      </c>
      <c r="R41" s="537"/>
      <c r="S41" s="537"/>
      <c r="T41" s="537">
        <f t="shared" si="9"/>
        <v>5345677.7611538479</v>
      </c>
    </row>
    <row r="42" spans="1:20">
      <c r="A42" s="536">
        <f t="shared" si="10"/>
        <v>30</v>
      </c>
      <c r="B42" s="956" t="s">
        <v>1636</v>
      </c>
      <c r="C42" s="957">
        <v>67724.988618740157</v>
      </c>
      <c r="D42" s="957">
        <v>78584.110922812411</v>
      </c>
      <c r="E42" s="957">
        <v>89443.233226884666</v>
      </c>
      <c r="F42" s="957">
        <v>100302.35553095692</v>
      </c>
      <c r="G42" s="957">
        <v>111161.47783502917</v>
      </c>
      <c r="H42" s="957">
        <v>122020.60013910143</v>
      </c>
      <c r="I42" s="957">
        <v>132879.72244317367</v>
      </c>
      <c r="J42" s="957">
        <v>143738.84474724592</v>
      </c>
      <c r="K42" s="957">
        <v>154597.96705131818</v>
      </c>
      <c r="L42" s="957">
        <v>165457.08935539043</v>
      </c>
      <c r="M42" s="957">
        <v>176316.21165946269</v>
      </c>
      <c r="N42" s="957">
        <v>187175.33396353494</v>
      </c>
      <c r="O42" s="957">
        <v>198034.45626760719</v>
      </c>
      <c r="P42" s="537">
        <f t="shared" ref="P42" si="12">AVERAGE(C42:O42)</f>
        <v>132879.72244317367</v>
      </c>
      <c r="Q42" s="537">
        <f>P42</f>
        <v>132879.72244317367</v>
      </c>
      <c r="R42" s="537"/>
      <c r="S42" s="537"/>
      <c r="T42" s="537">
        <f t="shared" si="9"/>
        <v>132879.72244317367</v>
      </c>
    </row>
    <row r="43" spans="1:20">
      <c r="A43" s="536">
        <f t="shared" si="10"/>
        <v>31</v>
      </c>
      <c r="B43" s="956" t="s">
        <v>1649</v>
      </c>
      <c r="C43" s="957">
        <v>0</v>
      </c>
      <c r="D43" s="957">
        <v>644.09416987270833</v>
      </c>
      <c r="E43" s="957">
        <v>1386.8019049817917</v>
      </c>
      <c r="F43" s="957">
        <v>2300.3929484459586</v>
      </c>
      <c r="G43" s="957">
        <v>5035.7898518106667</v>
      </c>
      <c r="H43" s="957">
        <v>9537.2716250300437</v>
      </c>
      <c r="I43" s="957">
        <v>15802.515187733461</v>
      </c>
      <c r="J43" s="957">
        <v>23848.586961573212</v>
      </c>
      <c r="K43" s="957">
        <v>33555.860647800167</v>
      </c>
      <c r="L43" s="957">
        <v>44890.934595510793</v>
      </c>
      <c r="M43" s="957">
        <v>57899.281151810297</v>
      </c>
      <c r="N43" s="957">
        <v>72485.951159326258</v>
      </c>
      <c r="O43" s="957">
        <v>88717.598084075333</v>
      </c>
      <c r="P43" s="537">
        <f t="shared" ref="P43" si="13">AVERAGE(C43:O43)</f>
        <v>27392.698329843897</v>
      </c>
      <c r="Q43" s="537"/>
      <c r="R43" s="537">
        <f>P43</f>
        <v>27392.698329843897</v>
      </c>
      <c r="S43" s="537"/>
      <c r="T43" s="537">
        <f t="shared" si="9"/>
        <v>27392.698329843897</v>
      </c>
    </row>
    <row r="44" spans="1:20">
      <c r="A44" s="536">
        <f t="shared" si="10"/>
        <v>32</v>
      </c>
      <c r="B44" s="959"/>
      <c r="C44" s="959"/>
      <c r="D44" s="959"/>
      <c r="E44" s="959"/>
      <c r="F44" s="959"/>
      <c r="G44" s="959"/>
      <c r="H44" s="959"/>
      <c r="I44" s="960"/>
      <c r="J44" s="960"/>
      <c r="K44" s="960"/>
      <c r="L44" s="960"/>
      <c r="M44" s="960"/>
      <c r="N44" s="960"/>
      <c r="O44" s="960"/>
      <c r="P44" s="537"/>
      <c r="Q44" s="537"/>
      <c r="R44" s="537"/>
      <c r="S44" s="537"/>
      <c r="T44" s="537">
        <f t="shared" si="9"/>
        <v>0</v>
      </c>
    </row>
    <row r="45" spans="1:20">
      <c r="A45" s="536">
        <f t="shared" si="10"/>
        <v>33</v>
      </c>
      <c r="B45" s="959"/>
      <c r="C45" s="959"/>
      <c r="D45" s="959"/>
      <c r="E45" s="959"/>
      <c r="F45" s="959"/>
      <c r="G45" s="959"/>
      <c r="H45" s="959"/>
      <c r="I45" s="960"/>
      <c r="J45" s="960"/>
      <c r="K45" s="960"/>
      <c r="L45" s="960"/>
      <c r="M45" s="960"/>
      <c r="N45" s="960"/>
      <c r="O45" s="960"/>
      <c r="P45" s="537"/>
      <c r="Q45" s="537"/>
      <c r="R45" s="537"/>
      <c r="S45" s="537"/>
      <c r="T45" s="537">
        <f t="shared" si="9"/>
        <v>0</v>
      </c>
    </row>
    <row r="46" spans="1:20">
      <c r="A46" s="536">
        <f t="shared" si="10"/>
        <v>34</v>
      </c>
      <c r="B46" s="959"/>
      <c r="C46" s="959"/>
      <c r="D46" s="959"/>
      <c r="E46" s="959"/>
      <c r="F46" s="959"/>
      <c r="G46" s="959"/>
      <c r="H46" s="959"/>
      <c r="I46" s="960"/>
      <c r="J46" s="960"/>
      <c r="K46" s="960"/>
      <c r="L46" s="960"/>
      <c r="M46" s="960"/>
      <c r="N46" s="960"/>
      <c r="O46" s="960"/>
      <c r="P46" s="537"/>
      <c r="Q46" s="537"/>
      <c r="R46" s="537"/>
      <c r="S46" s="537"/>
      <c r="T46" s="537">
        <f t="shared" si="9"/>
        <v>0</v>
      </c>
    </row>
    <row r="47" spans="1:20">
      <c r="A47" s="536">
        <f t="shared" si="10"/>
        <v>35</v>
      </c>
      <c r="B47" s="960"/>
      <c r="C47" s="960"/>
      <c r="D47" s="960"/>
      <c r="E47" s="960"/>
      <c r="F47" s="960"/>
      <c r="G47" s="960"/>
      <c r="H47" s="960"/>
      <c r="I47" s="960"/>
      <c r="J47" s="960"/>
      <c r="K47" s="960"/>
      <c r="L47" s="960"/>
      <c r="M47" s="960"/>
      <c r="N47" s="960"/>
      <c r="O47" s="960"/>
      <c r="Q47" s="537"/>
      <c r="R47" s="537"/>
      <c r="S47" s="537"/>
      <c r="T47" s="537">
        <f t="shared" si="9"/>
        <v>0</v>
      </c>
    </row>
    <row r="48" spans="1:20">
      <c r="A48" s="536">
        <f t="shared" si="10"/>
        <v>36</v>
      </c>
      <c r="B48" s="959"/>
      <c r="C48" s="959"/>
      <c r="D48" s="959"/>
      <c r="E48" s="959"/>
      <c r="F48" s="959"/>
      <c r="G48" s="959"/>
      <c r="H48" s="959"/>
      <c r="I48" s="960"/>
      <c r="J48" s="960"/>
      <c r="K48" s="960"/>
      <c r="L48" s="960"/>
      <c r="M48" s="960"/>
      <c r="N48" s="960"/>
      <c r="O48" s="960"/>
      <c r="Q48" s="537"/>
      <c r="R48" s="537"/>
      <c r="S48" s="537"/>
      <c r="T48" s="537">
        <f t="shared" si="9"/>
        <v>0</v>
      </c>
    </row>
    <row r="49" spans="1:20">
      <c r="A49" s="536">
        <f t="shared" si="10"/>
        <v>37</v>
      </c>
      <c r="B49" s="960"/>
      <c r="C49" s="960"/>
      <c r="D49" s="960"/>
      <c r="E49" s="960"/>
      <c r="F49" s="960"/>
      <c r="G49" s="960"/>
      <c r="H49" s="960"/>
      <c r="I49" s="960"/>
      <c r="J49" s="960"/>
      <c r="K49" s="960"/>
      <c r="L49" s="960"/>
      <c r="M49" s="960"/>
      <c r="N49" s="960"/>
      <c r="O49" s="960"/>
      <c r="Q49" s="537"/>
      <c r="R49" s="537"/>
      <c r="S49" s="537"/>
      <c r="T49" s="537">
        <f t="shared" si="9"/>
        <v>0</v>
      </c>
    </row>
    <row r="50" spans="1:20">
      <c r="A50" s="536">
        <f t="shared" si="10"/>
        <v>38</v>
      </c>
      <c r="B50" s="960"/>
      <c r="C50" s="960"/>
      <c r="D50" s="960"/>
      <c r="E50" s="960"/>
      <c r="F50" s="960"/>
      <c r="G50" s="960"/>
      <c r="H50" s="960"/>
      <c r="I50" s="960"/>
      <c r="J50" s="960"/>
      <c r="K50" s="960"/>
      <c r="L50" s="960"/>
      <c r="M50" s="960"/>
      <c r="N50" s="960"/>
      <c r="O50" s="960"/>
      <c r="Q50" s="537"/>
      <c r="R50" s="537"/>
      <c r="S50" s="537"/>
      <c r="T50" s="537">
        <f t="shared" si="9"/>
        <v>0</v>
      </c>
    </row>
    <row r="51" spans="1:20">
      <c r="A51" s="536">
        <f t="shared" si="10"/>
        <v>39</v>
      </c>
      <c r="B51" s="960"/>
      <c r="C51" s="960"/>
      <c r="D51" s="960"/>
      <c r="E51" s="960"/>
      <c r="F51" s="960"/>
      <c r="G51" s="960"/>
      <c r="H51" s="960"/>
      <c r="I51" s="960"/>
      <c r="J51" s="960"/>
      <c r="K51" s="960"/>
      <c r="L51" s="960"/>
      <c r="M51" s="960"/>
      <c r="N51" s="960"/>
      <c r="O51" s="960"/>
      <c r="Q51" s="537"/>
      <c r="R51" s="537"/>
      <c r="S51" s="537"/>
      <c r="T51" s="537">
        <f t="shared" si="9"/>
        <v>0</v>
      </c>
    </row>
    <row r="52" spans="1:20">
      <c r="A52" s="536">
        <f t="shared" si="10"/>
        <v>40</v>
      </c>
      <c r="B52" s="369" t="s">
        <v>13</v>
      </c>
      <c r="C52" s="537">
        <f>SUM(C34:C51)</f>
        <v>128589775.38</v>
      </c>
      <c r="D52" s="537">
        <f t="shared" ref="D52" si="14">SUM(D34:D51)</f>
        <v>130438592.9024363</v>
      </c>
      <c r="E52" s="537">
        <f t="shared" ref="E52" si="15">SUM(E34:E51)</f>
        <v>132280031.52728811</v>
      </c>
      <c r="F52" s="537">
        <f t="shared" ref="F52" si="16">SUM(F34:F51)</f>
        <v>134103628.22693323</v>
      </c>
      <c r="G52" s="537">
        <f t="shared" ref="G52" si="17">SUM(G34:G51)</f>
        <v>135927100.61739686</v>
      </c>
      <c r="H52" s="537">
        <f t="shared" ref="H52" si="18">SUM(H34:H51)</f>
        <v>137748964.61221182</v>
      </c>
      <c r="I52" s="537">
        <f t="shared" ref="I52" si="19">SUM(I34:I51)</f>
        <v>139583903.39930025</v>
      </c>
      <c r="J52" s="537">
        <f t="shared" ref="J52" si="20">SUM(J34:J51)</f>
        <v>141172842.13344178</v>
      </c>
      <c r="K52" s="537">
        <f t="shared" ref="K52" si="21">SUM(K34:K51)</f>
        <v>142772945.15624523</v>
      </c>
      <c r="L52" s="537">
        <f t="shared" ref="L52" si="22">SUM(L34:L51)</f>
        <v>144384331.02000251</v>
      </c>
      <c r="M52" s="537">
        <f t="shared" ref="M52" si="23">SUM(M34:M51)</f>
        <v>146012886.57613739</v>
      </c>
      <c r="N52" s="537">
        <f t="shared" ref="N52" si="24">SUM(N34:N51)</f>
        <v>147637280.76640719</v>
      </c>
      <c r="O52" s="537">
        <f t="shared" ref="O52" si="25">SUM(O34:O51)</f>
        <v>149255346.11271709</v>
      </c>
      <c r="P52" s="537">
        <f>AVERAGE(C52:O52)</f>
        <v>139223663.72542447</v>
      </c>
      <c r="Q52" s="537">
        <f>SUM(Q34:Q51)</f>
        <v>14908718.425135486</v>
      </c>
      <c r="R52" s="537">
        <f>SUM(R34:R51)</f>
        <v>111269429.0733875</v>
      </c>
      <c r="S52" s="537">
        <f>SUM(S34:S51)</f>
        <v>13045516.226901459</v>
      </c>
      <c r="T52" s="537">
        <f t="shared" si="9"/>
        <v>139223663.72542447</v>
      </c>
    </row>
    <row r="53" spans="1:20">
      <c r="A53" s="536">
        <f t="shared" si="10"/>
        <v>41</v>
      </c>
      <c r="B53" s="369"/>
      <c r="C53" s="537"/>
      <c r="D53" s="537"/>
      <c r="E53" s="537"/>
      <c r="F53" s="537"/>
      <c r="G53" s="537"/>
      <c r="H53" s="537"/>
      <c r="I53" s="537"/>
      <c r="J53" s="537"/>
      <c r="K53" s="537"/>
      <c r="L53" s="537"/>
      <c r="M53" s="537"/>
      <c r="N53" s="537"/>
      <c r="O53" s="537"/>
      <c r="P53" s="538" t="s">
        <v>698</v>
      </c>
      <c r="Q53" s="539">
        <f>Q28</f>
        <v>1</v>
      </c>
      <c r="R53" s="539">
        <f t="shared" ref="R53:S53" si="26">R28</f>
        <v>0</v>
      </c>
      <c r="S53" s="539">
        <f t="shared" si="26"/>
        <v>9.4490855863003556E-2</v>
      </c>
      <c r="T53" s="537"/>
    </row>
    <row r="54" spans="1:20">
      <c r="A54" s="536">
        <f t="shared" si="10"/>
        <v>42</v>
      </c>
      <c r="B54" s="369"/>
      <c r="C54" s="537"/>
      <c r="D54" s="537"/>
      <c r="E54" s="537"/>
      <c r="F54" s="537"/>
      <c r="G54" s="537"/>
      <c r="H54" s="537"/>
      <c r="I54" s="537"/>
      <c r="J54" s="537"/>
      <c r="K54" s="537"/>
      <c r="L54" s="537"/>
      <c r="M54" s="537"/>
      <c r="N54" s="537"/>
      <c r="O54" s="537"/>
      <c r="P54" s="538" t="s">
        <v>786</v>
      </c>
      <c r="Q54" s="537">
        <f>Q52*Q53</f>
        <v>14908718.425135486</v>
      </c>
      <c r="R54" s="537">
        <f t="shared" ref="R54" si="27">R52*R53</f>
        <v>0</v>
      </c>
      <c r="S54" s="537">
        <f t="shared" ref="S54" si="28">S52*S53</f>
        <v>1232681.9934546198</v>
      </c>
      <c r="T54" s="537">
        <f>SUM(Q54:S54)</f>
        <v>16141400.418590106</v>
      </c>
    </row>
    <row r="55" spans="1:20">
      <c r="C55" s="531" t="str">
        <f>B1</f>
        <v>PECO Energy Company</v>
      </c>
    </row>
    <row r="56" spans="1:20">
      <c r="B56" s="1063"/>
      <c r="C56" s="1063"/>
      <c r="D56" s="1063"/>
      <c r="E56" s="1063"/>
      <c r="F56" s="1063"/>
      <c r="G56" s="1063"/>
      <c r="H56" s="1063"/>
      <c r="T56" s="530" t="s">
        <v>154</v>
      </c>
    </row>
    <row r="57" spans="1:20">
      <c r="B57" s="1062" t="s">
        <v>652</v>
      </c>
      <c r="C57" s="1062"/>
      <c r="D57" s="1062"/>
      <c r="E57" s="1062"/>
      <c r="F57" s="1062"/>
      <c r="G57" s="1062"/>
    </row>
    <row r="59" spans="1:20">
      <c r="B59" s="369" t="s">
        <v>198</v>
      </c>
      <c r="C59" s="369" t="s">
        <v>199</v>
      </c>
      <c r="D59" s="369" t="s">
        <v>200</v>
      </c>
      <c r="E59" s="369" t="s">
        <v>201</v>
      </c>
      <c r="F59" s="369" t="s">
        <v>203</v>
      </c>
      <c r="G59" s="369" t="s">
        <v>202</v>
      </c>
      <c r="H59" s="369" t="s">
        <v>204</v>
      </c>
      <c r="I59" s="369" t="s">
        <v>205</v>
      </c>
      <c r="J59" s="369" t="s">
        <v>206</v>
      </c>
      <c r="K59" s="369" t="s">
        <v>244</v>
      </c>
      <c r="L59" s="369" t="s">
        <v>248</v>
      </c>
      <c r="M59" s="369" t="s">
        <v>453</v>
      </c>
      <c r="N59" s="369" t="s">
        <v>779</v>
      </c>
      <c r="O59" s="369" t="s">
        <v>780</v>
      </c>
      <c r="P59" s="369" t="s">
        <v>781</v>
      </c>
      <c r="Q59" s="369" t="s">
        <v>782</v>
      </c>
      <c r="R59" s="369" t="s">
        <v>783</v>
      </c>
      <c r="S59" s="369" t="s">
        <v>784</v>
      </c>
      <c r="T59" s="369" t="s">
        <v>787</v>
      </c>
    </row>
    <row r="60" spans="1:20">
      <c r="B60" s="377" t="s">
        <v>785</v>
      </c>
      <c r="C60" s="532" t="s">
        <v>195</v>
      </c>
      <c r="D60" s="369" t="s">
        <v>84</v>
      </c>
      <c r="E60" s="369" t="s">
        <v>83</v>
      </c>
      <c r="F60" s="369" t="s">
        <v>82</v>
      </c>
      <c r="G60" s="369" t="s">
        <v>74</v>
      </c>
      <c r="H60" s="369" t="s">
        <v>73</v>
      </c>
      <c r="I60" s="369" t="s">
        <v>93</v>
      </c>
      <c r="J60" s="369" t="s">
        <v>81</v>
      </c>
      <c r="K60" s="369" t="s">
        <v>80</v>
      </c>
      <c r="L60" s="369" t="s">
        <v>79</v>
      </c>
      <c r="M60" s="369" t="s">
        <v>85</v>
      </c>
      <c r="N60" s="369" t="s">
        <v>78</v>
      </c>
      <c r="O60" s="369" t="s">
        <v>77</v>
      </c>
      <c r="P60" s="369" t="s">
        <v>481</v>
      </c>
      <c r="Q60" s="530" t="s">
        <v>17</v>
      </c>
      <c r="R60" s="530" t="s">
        <v>778</v>
      </c>
      <c r="S60" s="530" t="s">
        <v>685</v>
      </c>
      <c r="T60" s="533" t="s">
        <v>13</v>
      </c>
    </row>
    <row r="61" spans="1:20">
      <c r="B61" s="377" t="str">
        <f>B7&amp;" Minus "&amp;B32</f>
        <v>Gross Plant Minus Accumulated Depreciation</v>
      </c>
      <c r="C61" s="532"/>
      <c r="D61" s="369"/>
      <c r="E61" s="369"/>
      <c r="F61" s="369"/>
      <c r="G61" s="369"/>
      <c r="H61" s="369"/>
      <c r="I61" s="369"/>
      <c r="J61" s="369"/>
      <c r="K61" s="369"/>
      <c r="L61" s="369"/>
      <c r="M61" s="369"/>
      <c r="N61" s="369"/>
      <c r="O61" s="369"/>
      <c r="P61" s="534" t="s">
        <v>788</v>
      </c>
      <c r="T61" s="535" t="s">
        <v>1155</v>
      </c>
    </row>
    <row r="62" spans="1:20">
      <c r="A62" s="536">
        <f>A54+1</f>
        <v>43</v>
      </c>
      <c r="B62" s="956" t="s">
        <v>1529</v>
      </c>
      <c r="C62" s="540">
        <f t="shared" ref="C62:C79" si="29">C9-C34</f>
        <v>8064039.1099999994</v>
      </c>
      <c r="D62" s="540">
        <f t="shared" ref="D62:O62" si="30">D9-D34</f>
        <v>13618214.093821965</v>
      </c>
      <c r="E62" s="540">
        <f t="shared" si="30"/>
        <v>13710542.568902504</v>
      </c>
      <c r="F62" s="540">
        <f t="shared" si="30"/>
        <v>13998034.548733043</v>
      </c>
      <c r="G62" s="540">
        <f t="shared" si="30"/>
        <v>14245779.918896912</v>
      </c>
      <c r="H62" s="540">
        <f t="shared" si="30"/>
        <v>14416257.306810781</v>
      </c>
      <c r="I62" s="540">
        <f t="shared" si="30"/>
        <v>14637759.52247465</v>
      </c>
      <c r="J62" s="540">
        <f t="shared" si="30"/>
        <v>14805519.43755519</v>
      </c>
      <c r="K62" s="540">
        <f t="shared" si="30"/>
        <v>14899202.803052394</v>
      </c>
      <c r="L62" s="540">
        <f t="shared" si="30"/>
        <v>15069035.497632932</v>
      </c>
      <c r="M62" s="540">
        <f t="shared" si="30"/>
        <v>15218758.877046805</v>
      </c>
      <c r="N62" s="540">
        <f t="shared" si="30"/>
        <v>15287054.614627343</v>
      </c>
      <c r="O62" s="540">
        <f t="shared" si="30"/>
        <v>17056166.040624544</v>
      </c>
      <c r="P62" s="537">
        <f>AVERAGE(C62:O62)</f>
        <v>14232797.256936848</v>
      </c>
      <c r="Q62" s="537"/>
      <c r="R62" s="537"/>
      <c r="S62" s="537">
        <f>P62</f>
        <v>14232797.256936848</v>
      </c>
      <c r="T62" s="537">
        <f>SUM(Q62:S62)</f>
        <v>14232797.256936848</v>
      </c>
    </row>
    <row r="63" spans="1:20">
      <c r="A63" s="536">
        <f>A62+1</f>
        <v>44</v>
      </c>
      <c r="B63" s="956" t="s">
        <v>776</v>
      </c>
      <c r="C63" s="540">
        <f t="shared" si="29"/>
        <v>2625592.7799999993</v>
      </c>
      <c r="D63" s="540">
        <f t="shared" ref="D63:O63" si="31">D10-D35</f>
        <v>2443323.17</v>
      </c>
      <c r="E63" s="540">
        <f t="shared" si="31"/>
        <v>2261053.58</v>
      </c>
      <c r="F63" s="540">
        <f t="shared" si="31"/>
        <v>2078784</v>
      </c>
      <c r="G63" s="540">
        <f t="shared" si="31"/>
        <v>1896514.4299999997</v>
      </c>
      <c r="H63" s="540">
        <f t="shared" si="31"/>
        <v>1714244.8499999996</v>
      </c>
      <c r="I63" s="540">
        <f t="shared" si="31"/>
        <v>1531975.2899999991</v>
      </c>
      <c r="J63" s="540">
        <f t="shared" si="31"/>
        <v>1349705.7199999988</v>
      </c>
      <c r="K63" s="540">
        <f t="shared" si="31"/>
        <v>1167436.1599999983</v>
      </c>
      <c r="L63" s="540">
        <f t="shared" si="31"/>
        <v>985166.58999999799</v>
      </c>
      <c r="M63" s="540">
        <f t="shared" si="31"/>
        <v>802897.02999999747</v>
      </c>
      <c r="N63" s="540">
        <f t="shared" si="31"/>
        <v>639006.34999999776</v>
      </c>
      <c r="O63" s="540">
        <f t="shared" si="31"/>
        <v>493494.57999999821</v>
      </c>
      <c r="P63" s="537">
        <f t="shared" ref="P63:P70" si="32">AVERAGE(C63:O63)</f>
        <v>1537630.3484615374</v>
      </c>
      <c r="Q63" s="537">
        <f>P63</f>
        <v>1537630.3484615374</v>
      </c>
      <c r="R63" s="537"/>
      <c r="S63" s="537"/>
      <c r="T63" s="537">
        <f t="shared" ref="T63:T79" si="33">SUM(Q63:S63)</f>
        <v>1537630.3484615374</v>
      </c>
    </row>
    <row r="64" spans="1:20">
      <c r="A64" s="536">
        <f t="shared" ref="A64:A82" si="34">A63+1</f>
        <v>45</v>
      </c>
      <c r="B64" s="956" t="s">
        <v>777</v>
      </c>
      <c r="C64" s="540">
        <f t="shared" si="29"/>
        <v>354750.88000000012</v>
      </c>
      <c r="D64" s="540">
        <f t="shared" ref="D64:O64" si="35">D11-D36</f>
        <v>330035.60000000009</v>
      </c>
      <c r="E64" s="540">
        <f t="shared" si="35"/>
        <v>305320.33000000007</v>
      </c>
      <c r="F64" s="540">
        <f t="shared" si="35"/>
        <v>280605.05000000005</v>
      </c>
      <c r="G64" s="540">
        <f t="shared" si="35"/>
        <v>255889.78000000003</v>
      </c>
      <c r="H64" s="540">
        <f t="shared" si="35"/>
        <v>231174.5</v>
      </c>
      <c r="I64" s="540">
        <f t="shared" si="35"/>
        <v>206459.22999999998</v>
      </c>
      <c r="J64" s="540">
        <f t="shared" si="35"/>
        <v>181743.95999999996</v>
      </c>
      <c r="K64" s="540">
        <f t="shared" si="35"/>
        <v>157028.67999999993</v>
      </c>
      <c r="L64" s="540">
        <f t="shared" si="35"/>
        <v>132313.40999999992</v>
      </c>
      <c r="M64" s="540">
        <f t="shared" si="35"/>
        <v>107598.1399999999</v>
      </c>
      <c r="N64" s="540">
        <f t="shared" si="35"/>
        <v>84924.969999999972</v>
      </c>
      <c r="O64" s="540">
        <f t="shared" si="35"/>
        <v>64293.889999999898</v>
      </c>
      <c r="P64" s="537">
        <f t="shared" si="32"/>
        <v>207087.57076923069</v>
      </c>
      <c r="Q64" s="537"/>
      <c r="R64" s="537">
        <f>P64</f>
        <v>207087.57076923069</v>
      </c>
      <c r="S64" s="537"/>
      <c r="T64" s="537">
        <f t="shared" si="33"/>
        <v>207087.57076923069</v>
      </c>
    </row>
    <row r="65" spans="1:20">
      <c r="A65" s="536">
        <f t="shared" si="34"/>
        <v>46</v>
      </c>
      <c r="B65" s="956" t="s">
        <v>789</v>
      </c>
      <c r="C65" s="540">
        <f t="shared" si="29"/>
        <v>0</v>
      </c>
      <c r="D65" s="540">
        <f t="shared" ref="D65:O65" si="36">D12-D37</f>
        <v>0</v>
      </c>
      <c r="E65" s="540">
        <f t="shared" si="36"/>
        <v>0</v>
      </c>
      <c r="F65" s="540">
        <f t="shared" si="36"/>
        <v>0</v>
      </c>
      <c r="G65" s="540">
        <f t="shared" si="36"/>
        <v>0</v>
      </c>
      <c r="H65" s="540">
        <f t="shared" si="36"/>
        <v>0</v>
      </c>
      <c r="I65" s="540">
        <f t="shared" si="36"/>
        <v>0</v>
      </c>
      <c r="J65" s="540">
        <f t="shared" si="36"/>
        <v>0</v>
      </c>
      <c r="K65" s="540">
        <f t="shared" si="36"/>
        <v>0</v>
      </c>
      <c r="L65" s="540">
        <f t="shared" si="36"/>
        <v>0</v>
      </c>
      <c r="M65" s="540">
        <f t="shared" si="36"/>
        <v>0</v>
      </c>
      <c r="N65" s="540">
        <f t="shared" si="36"/>
        <v>0</v>
      </c>
      <c r="O65" s="540">
        <f t="shared" si="36"/>
        <v>0</v>
      </c>
      <c r="P65" s="537">
        <f t="shared" si="32"/>
        <v>0</v>
      </c>
      <c r="Q65" s="537"/>
      <c r="R65" s="537">
        <f>P65</f>
        <v>0</v>
      </c>
      <c r="S65" s="537"/>
      <c r="T65" s="537">
        <f t="shared" si="33"/>
        <v>0</v>
      </c>
    </row>
    <row r="66" spans="1:20">
      <c r="A66" s="536">
        <f t="shared" si="34"/>
        <v>47</v>
      </c>
      <c r="B66" s="956" t="s">
        <v>1560</v>
      </c>
      <c r="C66" s="540">
        <f t="shared" si="29"/>
        <v>19843239.119989842</v>
      </c>
      <c r="D66" s="540">
        <f t="shared" ref="D66:O66" si="37">D13-D38</f>
        <v>19896083.965594176</v>
      </c>
      <c r="E66" s="540">
        <f t="shared" si="37"/>
        <v>19977158.581098139</v>
      </c>
      <c r="F66" s="540">
        <f t="shared" si="37"/>
        <v>20107110.250367183</v>
      </c>
      <c r="G66" s="540">
        <f t="shared" si="37"/>
        <v>20232137.334344272</v>
      </c>
      <c r="H66" s="540">
        <f t="shared" si="37"/>
        <v>20338690.561089903</v>
      </c>
      <c r="I66" s="540">
        <f t="shared" si="37"/>
        <v>20456632.769601487</v>
      </c>
      <c r="J66" s="540">
        <f t="shared" si="37"/>
        <v>20561960.104854491</v>
      </c>
      <c r="K66" s="540">
        <f t="shared" si="37"/>
        <v>20637369.642941285</v>
      </c>
      <c r="L66" s="540">
        <f t="shared" si="37"/>
        <v>20726613.931252368</v>
      </c>
      <c r="M66" s="540">
        <f t="shared" si="37"/>
        <v>20809860.194961123</v>
      </c>
      <c r="N66" s="540">
        <f t="shared" si="37"/>
        <v>20864406.599819541</v>
      </c>
      <c r="O66" s="540">
        <f t="shared" si="37"/>
        <v>20962059.90713834</v>
      </c>
      <c r="P66" s="537">
        <f t="shared" si="32"/>
        <v>20416409.458696321</v>
      </c>
      <c r="Q66" s="537"/>
      <c r="R66" s="537">
        <f>P66</f>
        <v>20416409.458696321</v>
      </c>
      <c r="S66" s="537"/>
      <c r="T66" s="537">
        <f t="shared" si="33"/>
        <v>20416409.458696321</v>
      </c>
    </row>
    <row r="67" spans="1:20">
      <c r="A67" s="536">
        <f t="shared" si="34"/>
        <v>48</v>
      </c>
      <c r="B67" s="956" t="s">
        <v>818</v>
      </c>
      <c r="C67" s="540">
        <f t="shared" si="29"/>
        <v>9818287.5599999949</v>
      </c>
      <c r="D67" s="540">
        <f t="shared" ref="D67:O67" si="38">D14-D39</f>
        <v>9299391.0894599967</v>
      </c>
      <c r="E67" s="540">
        <f t="shared" si="38"/>
        <v>8783153.0389199965</v>
      </c>
      <c r="F67" s="540">
        <f t="shared" si="38"/>
        <v>8269573.4383799955</v>
      </c>
      <c r="G67" s="540">
        <f t="shared" si="38"/>
        <v>7761902.5278399959</v>
      </c>
      <c r="H67" s="540">
        <f t="shared" si="38"/>
        <v>7260140.3172999956</v>
      </c>
      <c r="I67" s="540">
        <f t="shared" si="38"/>
        <v>6758378.0967599973</v>
      </c>
      <c r="J67" s="540">
        <f t="shared" si="38"/>
        <v>6256615.886219997</v>
      </c>
      <c r="K67" s="540">
        <f t="shared" si="38"/>
        <v>5759943.6756799966</v>
      </c>
      <c r="L67" s="540">
        <f t="shared" si="38"/>
        <v>5268361.4751399979</v>
      </c>
      <c r="M67" s="540">
        <f t="shared" si="38"/>
        <v>4776779.2745999992</v>
      </c>
      <c r="N67" s="540">
        <f t="shared" si="38"/>
        <v>4285197.0740600005</v>
      </c>
      <c r="O67" s="540">
        <f t="shared" si="38"/>
        <v>3793614.8735200018</v>
      </c>
      <c r="P67" s="537">
        <f t="shared" si="32"/>
        <v>6776256.794452304</v>
      </c>
      <c r="Q67" s="537"/>
      <c r="R67" s="537">
        <f>P67</f>
        <v>6776256.794452304</v>
      </c>
      <c r="S67" s="537"/>
      <c r="T67" s="537">
        <f t="shared" si="33"/>
        <v>6776256.794452304</v>
      </c>
    </row>
    <row r="68" spans="1:20">
      <c r="A68" s="536">
        <f t="shared" si="34"/>
        <v>49</v>
      </c>
      <c r="B68" s="956" t="s">
        <v>790</v>
      </c>
      <c r="C68" s="540">
        <f t="shared" si="29"/>
        <v>10768329.850000009</v>
      </c>
      <c r="D68" s="540">
        <f t="shared" ref="D68:O68" si="39">D15-D40</f>
        <v>10572502.500142857</v>
      </c>
      <c r="E68" s="540">
        <f t="shared" si="39"/>
        <v>10392257.49028571</v>
      </c>
      <c r="F68" s="540">
        <f t="shared" si="39"/>
        <v>10228115.730428562</v>
      </c>
      <c r="G68" s="540">
        <f t="shared" si="39"/>
        <v>10071105.060571417</v>
      </c>
      <c r="H68" s="540">
        <f t="shared" si="39"/>
        <v>9924853.170714274</v>
      </c>
      <c r="I68" s="540">
        <f t="shared" si="39"/>
        <v>9782750.0608571321</v>
      </c>
      <c r="J68" s="540">
        <f t="shared" si="39"/>
        <v>9640646.9109999835</v>
      </c>
      <c r="K68" s="540">
        <f t="shared" si="39"/>
        <v>9498543.8011428416</v>
      </c>
      <c r="L68" s="540">
        <f t="shared" si="39"/>
        <v>9356440.6612856984</v>
      </c>
      <c r="M68" s="540">
        <f t="shared" si="39"/>
        <v>9214337.5514285564</v>
      </c>
      <c r="N68" s="540">
        <f t="shared" si="39"/>
        <v>9072234.4115714133</v>
      </c>
      <c r="O68" s="540">
        <f t="shared" si="39"/>
        <v>8942640.7817142755</v>
      </c>
      <c r="P68" s="537">
        <f t="shared" si="32"/>
        <v>9804981.3831648249</v>
      </c>
      <c r="Q68" s="537"/>
      <c r="R68" s="537">
        <f>P68</f>
        <v>9804981.3831648249</v>
      </c>
      <c r="S68" s="537"/>
      <c r="T68" s="537">
        <f t="shared" si="33"/>
        <v>9804981.3831648249</v>
      </c>
    </row>
    <row r="69" spans="1:20">
      <c r="A69" s="536">
        <f t="shared" si="34"/>
        <v>50</v>
      </c>
      <c r="B69" s="956" t="s">
        <v>1561</v>
      </c>
      <c r="C69" s="540">
        <f t="shared" si="29"/>
        <v>1580730.3899999997</v>
      </c>
      <c r="D69" s="540">
        <f t="shared" ref="D69:O69" si="40">D16-D41</f>
        <v>1317275.3249999993</v>
      </c>
      <c r="E69" s="540">
        <f t="shared" si="40"/>
        <v>1053820.2599999988</v>
      </c>
      <c r="F69" s="540">
        <f t="shared" si="40"/>
        <v>790365.19499999844</v>
      </c>
      <c r="G69" s="540">
        <f t="shared" si="40"/>
        <v>526910.12999999803</v>
      </c>
      <c r="H69" s="540">
        <f t="shared" si="40"/>
        <v>263455.06499999762</v>
      </c>
      <c r="I69" s="540">
        <f t="shared" si="40"/>
        <v>0</v>
      </c>
      <c r="J69" s="540">
        <f t="shared" si="40"/>
        <v>0</v>
      </c>
      <c r="K69" s="540">
        <f t="shared" si="40"/>
        <v>0</v>
      </c>
      <c r="L69" s="540">
        <f t="shared" si="40"/>
        <v>0</v>
      </c>
      <c r="M69" s="540">
        <f t="shared" si="40"/>
        <v>0</v>
      </c>
      <c r="N69" s="540">
        <f t="shared" si="40"/>
        <v>0</v>
      </c>
      <c r="O69" s="540">
        <f t="shared" si="40"/>
        <v>0</v>
      </c>
      <c r="P69" s="537">
        <f t="shared" si="32"/>
        <v>425581.25884615321</v>
      </c>
      <c r="Q69" s="537">
        <f>P69</f>
        <v>425581.25884615321</v>
      </c>
      <c r="R69" s="537"/>
      <c r="S69" s="537"/>
      <c r="T69" s="537">
        <f t="shared" si="33"/>
        <v>425581.25884615321</v>
      </c>
    </row>
    <row r="70" spans="1:20">
      <c r="A70" s="536">
        <f t="shared" si="34"/>
        <v>51</v>
      </c>
      <c r="B70" s="956" t="s">
        <v>1636</v>
      </c>
      <c r="C70" s="540">
        <f t="shared" si="29"/>
        <v>879474.00001015828</v>
      </c>
      <c r="D70" s="540">
        <f t="shared" ref="D70:O70" si="41">D17-D42</f>
        <v>868614.87770608603</v>
      </c>
      <c r="E70" s="540">
        <f t="shared" si="41"/>
        <v>857755.75540201378</v>
      </c>
      <c r="F70" s="540">
        <f t="shared" si="41"/>
        <v>846896.63309794152</v>
      </c>
      <c r="G70" s="540">
        <f t="shared" si="41"/>
        <v>836037.51079386927</v>
      </c>
      <c r="H70" s="540">
        <f t="shared" si="41"/>
        <v>825178.38848979701</v>
      </c>
      <c r="I70" s="540">
        <f t="shared" si="41"/>
        <v>814319.26618572476</v>
      </c>
      <c r="J70" s="540">
        <f t="shared" si="41"/>
        <v>803460.1438816525</v>
      </c>
      <c r="K70" s="540">
        <f t="shared" si="41"/>
        <v>792601.02157758025</v>
      </c>
      <c r="L70" s="540">
        <f t="shared" si="41"/>
        <v>781741.899273508</v>
      </c>
      <c r="M70" s="540">
        <f t="shared" si="41"/>
        <v>770882.77696943574</v>
      </c>
      <c r="N70" s="540">
        <f t="shared" si="41"/>
        <v>760023.65466536349</v>
      </c>
      <c r="O70" s="540">
        <f t="shared" si="41"/>
        <v>749164.53236129123</v>
      </c>
      <c r="P70" s="537">
        <f t="shared" si="32"/>
        <v>814319.26618572487</v>
      </c>
      <c r="Q70" s="537">
        <f>P70</f>
        <v>814319.26618572487</v>
      </c>
      <c r="R70" s="537">
        <f>P70</f>
        <v>814319.26618572487</v>
      </c>
      <c r="S70" s="537"/>
      <c r="T70" s="537">
        <f t="shared" si="33"/>
        <v>1628638.5323714497</v>
      </c>
    </row>
    <row r="71" spans="1:20">
      <c r="A71" s="536">
        <f t="shared" si="34"/>
        <v>52</v>
      </c>
      <c r="B71" s="956" t="s">
        <v>1649</v>
      </c>
      <c r="C71" s="540">
        <f t="shared" si="29"/>
        <v>0</v>
      </c>
      <c r="D71" s="540">
        <f t="shared" ref="D71:O71" si="42">D18-D43</f>
        <v>153938.50659957732</v>
      </c>
      <c r="E71" s="540">
        <f t="shared" si="42"/>
        <v>331445.65529064828</v>
      </c>
      <c r="F71" s="540">
        <f t="shared" si="42"/>
        <v>549793.91467858409</v>
      </c>
      <c r="G71" s="540">
        <f t="shared" si="42"/>
        <v>765030.07371994946</v>
      </c>
      <c r="H71" s="540">
        <f t="shared" si="42"/>
        <v>966417.40476712002</v>
      </c>
      <c r="I71" s="540">
        <f t="shared" si="42"/>
        <v>1177566.1778601964</v>
      </c>
      <c r="J71" s="540">
        <f t="shared" si="42"/>
        <v>1379504.8601032968</v>
      </c>
      <c r="K71" s="540">
        <f t="shared" si="42"/>
        <v>1558501.2913730599</v>
      </c>
      <c r="L71" s="540">
        <f t="shared" si="42"/>
        <v>1749134.5752254392</v>
      </c>
      <c r="M71" s="540">
        <f t="shared" si="42"/>
        <v>1935743.2969303797</v>
      </c>
      <c r="N71" s="540">
        <f t="shared" si="42"/>
        <v>2100337.1869535735</v>
      </c>
      <c r="O71" s="540">
        <f t="shared" si="42"/>
        <v>2299719.4401340643</v>
      </c>
      <c r="P71" s="537">
        <f t="shared" ref="P71" si="43">AVERAGE(C71:O71)</f>
        <v>1151317.8756642991</v>
      </c>
      <c r="Q71" s="537"/>
      <c r="R71" s="537">
        <f>P71</f>
        <v>1151317.8756642991</v>
      </c>
      <c r="S71" s="537"/>
      <c r="T71" s="537">
        <f t="shared" si="33"/>
        <v>1151317.8756642991</v>
      </c>
    </row>
    <row r="72" spans="1:20">
      <c r="A72" s="536">
        <f t="shared" si="34"/>
        <v>53</v>
      </c>
      <c r="B72" s="959"/>
      <c r="C72" s="540">
        <f t="shared" si="29"/>
        <v>0</v>
      </c>
      <c r="D72" s="540">
        <f t="shared" ref="D72:O72" si="44">D19-D44</f>
        <v>0</v>
      </c>
      <c r="E72" s="540">
        <f t="shared" si="44"/>
        <v>0</v>
      </c>
      <c r="F72" s="540">
        <f t="shared" si="44"/>
        <v>0</v>
      </c>
      <c r="G72" s="540">
        <f t="shared" si="44"/>
        <v>0</v>
      </c>
      <c r="H72" s="540">
        <f t="shared" si="44"/>
        <v>0</v>
      </c>
      <c r="I72" s="540">
        <f t="shared" si="44"/>
        <v>0</v>
      </c>
      <c r="J72" s="540">
        <f t="shared" si="44"/>
        <v>0</v>
      </c>
      <c r="K72" s="540">
        <f t="shared" si="44"/>
        <v>0</v>
      </c>
      <c r="L72" s="540">
        <f t="shared" si="44"/>
        <v>0</v>
      </c>
      <c r="M72" s="540">
        <f t="shared" si="44"/>
        <v>0</v>
      </c>
      <c r="N72" s="540">
        <f t="shared" si="44"/>
        <v>0</v>
      </c>
      <c r="O72" s="540">
        <f t="shared" si="44"/>
        <v>0</v>
      </c>
      <c r="P72" s="537"/>
      <c r="Q72" s="537"/>
      <c r="R72" s="537"/>
      <c r="S72" s="537"/>
      <c r="T72" s="537">
        <f t="shared" si="33"/>
        <v>0</v>
      </c>
    </row>
    <row r="73" spans="1:20">
      <c r="A73" s="536">
        <f t="shared" si="34"/>
        <v>54</v>
      </c>
      <c r="B73" s="959"/>
      <c r="C73" s="540">
        <f t="shared" si="29"/>
        <v>0</v>
      </c>
      <c r="D73" s="540">
        <f t="shared" ref="D73:O73" si="45">D20-D45</f>
        <v>0</v>
      </c>
      <c r="E73" s="540">
        <f t="shared" si="45"/>
        <v>0</v>
      </c>
      <c r="F73" s="540">
        <f t="shared" si="45"/>
        <v>0</v>
      </c>
      <c r="G73" s="540">
        <f t="shared" si="45"/>
        <v>0</v>
      </c>
      <c r="H73" s="540">
        <f t="shared" si="45"/>
        <v>0</v>
      </c>
      <c r="I73" s="540">
        <f t="shared" si="45"/>
        <v>0</v>
      </c>
      <c r="J73" s="540">
        <f t="shared" si="45"/>
        <v>0</v>
      </c>
      <c r="K73" s="540">
        <f t="shared" si="45"/>
        <v>0</v>
      </c>
      <c r="L73" s="540">
        <f t="shared" si="45"/>
        <v>0</v>
      </c>
      <c r="M73" s="540">
        <f t="shared" si="45"/>
        <v>0</v>
      </c>
      <c r="N73" s="540">
        <f t="shared" si="45"/>
        <v>0</v>
      </c>
      <c r="O73" s="540">
        <f t="shared" si="45"/>
        <v>0</v>
      </c>
      <c r="P73" s="537"/>
      <c r="Q73" s="537"/>
      <c r="R73" s="537"/>
      <c r="S73" s="537"/>
      <c r="T73" s="537">
        <f t="shared" si="33"/>
        <v>0</v>
      </c>
    </row>
    <row r="74" spans="1:20">
      <c r="A74" s="536">
        <f t="shared" si="34"/>
        <v>55</v>
      </c>
      <c r="B74" s="959"/>
      <c r="C74" s="540">
        <f t="shared" si="29"/>
        <v>0</v>
      </c>
      <c r="D74" s="540">
        <f t="shared" ref="D74:O74" si="46">D21-D46</f>
        <v>0</v>
      </c>
      <c r="E74" s="540">
        <f t="shared" si="46"/>
        <v>0</v>
      </c>
      <c r="F74" s="540">
        <f t="shared" si="46"/>
        <v>0</v>
      </c>
      <c r="G74" s="540">
        <f t="shared" si="46"/>
        <v>0</v>
      </c>
      <c r="H74" s="540">
        <f t="shared" si="46"/>
        <v>0</v>
      </c>
      <c r="I74" s="540">
        <f t="shared" si="46"/>
        <v>0</v>
      </c>
      <c r="J74" s="540">
        <f t="shared" si="46"/>
        <v>0</v>
      </c>
      <c r="K74" s="540">
        <f t="shared" si="46"/>
        <v>0</v>
      </c>
      <c r="L74" s="540">
        <f t="shared" si="46"/>
        <v>0</v>
      </c>
      <c r="M74" s="540">
        <f t="shared" si="46"/>
        <v>0</v>
      </c>
      <c r="N74" s="540">
        <f t="shared" si="46"/>
        <v>0</v>
      </c>
      <c r="O74" s="540">
        <f t="shared" si="46"/>
        <v>0</v>
      </c>
      <c r="P74" s="537"/>
      <c r="Q74" s="537"/>
      <c r="R74" s="537"/>
      <c r="S74" s="537"/>
      <c r="T74" s="537">
        <f t="shared" si="33"/>
        <v>0</v>
      </c>
    </row>
    <row r="75" spans="1:20">
      <c r="A75" s="536">
        <f t="shared" si="34"/>
        <v>56</v>
      </c>
      <c r="B75" s="960"/>
      <c r="C75" s="540">
        <f t="shared" si="29"/>
        <v>0</v>
      </c>
      <c r="D75" s="540">
        <f t="shared" ref="D75:O75" si="47">D22-D47</f>
        <v>0</v>
      </c>
      <c r="E75" s="540">
        <f t="shared" si="47"/>
        <v>0</v>
      </c>
      <c r="F75" s="540">
        <f t="shared" si="47"/>
        <v>0</v>
      </c>
      <c r="G75" s="540">
        <f t="shared" si="47"/>
        <v>0</v>
      </c>
      <c r="H75" s="540">
        <f t="shared" si="47"/>
        <v>0</v>
      </c>
      <c r="I75" s="540">
        <f t="shared" si="47"/>
        <v>0</v>
      </c>
      <c r="J75" s="540">
        <f t="shared" si="47"/>
        <v>0</v>
      </c>
      <c r="K75" s="540">
        <f t="shared" si="47"/>
        <v>0</v>
      </c>
      <c r="L75" s="540">
        <f t="shared" si="47"/>
        <v>0</v>
      </c>
      <c r="M75" s="540">
        <f t="shared" si="47"/>
        <v>0</v>
      </c>
      <c r="N75" s="540">
        <f t="shared" si="47"/>
        <v>0</v>
      </c>
      <c r="O75" s="540">
        <f t="shared" si="47"/>
        <v>0</v>
      </c>
      <c r="Q75" s="537"/>
      <c r="R75" s="537"/>
      <c r="S75" s="537"/>
      <c r="T75" s="537">
        <f t="shared" si="33"/>
        <v>0</v>
      </c>
    </row>
    <row r="76" spans="1:20">
      <c r="A76" s="536">
        <f t="shared" si="34"/>
        <v>57</v>
      </c>
      <c r="B76" s="959"/>
      <c r="C76" s="540">
        <f t="shared" si="29"/>
        <v>0</v>
      </c>
      <c r="D76" s="540">
        <f t="shared" ref="D76:O76" si="48">D23-D48</f>
        <v>0</v>
      </c>
      <c r="E76" s="540">
        <f t="shared" si="48"/>
        <v>0</v>
      </c>
      <c r="F76" s="540">
        <f t="shared" si="48"/>
        <v>0</v>
      </c>
      <c r="G76" s="540">
        <f t="shared" si="48"/>
        <v>0</v>
      </c>
      <c r="H76" s="540">
        <f t="shared" si="48"/>
        <v>0</v>
      </c>
      <c r="I76" s="540">
        <f t="shared" si="48"/>
        <v>0</v>
      </c>
      <c r="J76" s="540">
        <f t="shared" si="48"/>
        <v>0</v>
      </c>
      <c r="K76" s="540">
        <f t="shared" si="48"/>
        <v>0</v>
      </c>
      <c r="L76" s="540">
        <f t="shared" si="48"/>
        <v>0</v>
      </c>
      <c r="M76" s="540">
        <f t="shared" si="48"/>
        <v>0</v>
      </c>
      <c r="N76" s="540">
        <f t="shared" si="48"/>
        <v>0</v>
      </c>
      <c r="O76" s="540">
        <f t="shared" si="48"/>
        <v>0</v>
      </c>
      <c r="Q76" s="537"/>
      <c r="R76" s="537"/>
      <c r="S76" s="537"/>
      <c r="T76" s="537">
        <f t="shared" si="33"/>
        <v>0</v>
      </c>
    </row>
    <row r="77" spans="1:20">
      <c r="A77" s="536">
        <f t="shared" si="34"/>
        <v>58</v>
      </c>
      <c r="B77" s="960"/>
      <c r="C77" s="540">
        <f t="shared" si="29"/>
        <v>0</v>
      </c>
      <c r="D77" s="540">
        <f t="shared" ref="D77:O77" si="49">D24-D49</f>
        <v>0</v>
      </c>
      <c r="E77" s="540">
        <f t="shared" si="49"/>
        <v>0</v>
      </c>
      <c r="F77" s="540">
        <f t="shared" si="49"/>
        <v>0</v>
      </c>
      <c r="G77" s="540">
        <f t="shared" si="49"/>
        <v>0</v>
      </c>
      <c r="H77" s="540">
        <f t="shared" si="49"/>
        <v>0</v>
      </c>
      <c r="I77" s="540">
        <f t="shared" si="49"/>
        <v>0</v>
      </c>
      <c r="J77" s="540">
        <f t="shared" si="49"/>
        <v>0</v>
      </c>
      <c r="K77" s="540">
        <f t="shared" si="49"/>
        <v>0</v>
      </c>
      <c r="L77" s="540">
        <f t="shared" si="49"/>
        <v>0</v>
      </c>
      <c r="M77" s="540">
        <f t="shared" si="49"/>
        <v>0</v>
      </c>
      <c r="N77" s="540">
        <f t="shared" si="49"/>
        <v>0</v>
      </c>
      <c r="O77" s="540">
        <f t="shared" si="49"/>
        <v>0</v>
      </c>
      <c r="Q77" s="537"/>
      <c r="R77" s="537"/>
      <c r="S77" s="537"/>
      <c r="T77" s="537">
        <f t="shared" si="33"/>
        <v>0</v>
      </c>
    </row>
    <row r="78" spans="1:20">
      <c r="A78" s="536">
        <f t="shared" si="34"/>
        <v>59</v>
      </c>
      <c r="B78" s="960"/>
      <c r="C78" s="540">
        <f t="shared" si="29"/>
        <v>0</v>
      </c>
      <c r="D78" s="540">
        <f t="shared" ref="D78:O78" si="50">D25-D50</f>
        <v>0</v>
      </c>
      <c r="E78" s="540">
        <f t="shared" si="50"/>
        <v>0</v>
      </c>
      <c r="F78" s="540">
        <f t="shared" si="50"/>
        <v>0</v>
      </c>
      <c r="G78" s="540">
        <f t="shared" si="50"/>
        <v>0</v>
      </c>
      <c r="H78" s="540">
        <f t="shared" si="50"/>
        <v>0</v>
      </c>
      <c r="I78" s="540">
        <f t="shared" si="50"/>
        <v>0</v>
      </c>
      <c r="J78" s="540">
        <f t="shared" si="50"/>
        <v>0</v>
      </c>
      <c r="K78" s="540">
        <f t="shared" si="50"/>
        <v>0</v>
      </c>
      <c r="L78" s="540">
        <f t="shared" si="50"/>
        <v>0</v>
      </c>
      <c r="M78" s="540">
        <f t="shared" si="50"/>
        <v>0</v>
      </c>
      <c r="N78" s="540">
        <f t="shared" si="50"/>
        <v>0</v>
      </c>
      <c r="O78" s="540">
        <f t="shared" si="50"/>
        <v>0</v>
      </c>
      <c r="Q78" s="537"/>
      <c r="R78" s="537"/>
      <c r="S78" s="537"/>
      <c r="T78" s="537">
        <f t="shared" si="33"/>
        <v>0</v>
      </c>
    </row>
    <row r="79" spans="1:20">
      <c r="A79" s="536">
        <f t="shared" si="34"/>
        <v>60</v>
      </c>
      <c r="B79" s="960"/>
      <c r="C79" s="540">
        <f t="shared" si="29"/>
        <v>0</v>
      </c>
      <c r="D79" s="540">
        <f t="shared" ref="D79:O79" si="51">D26-D51</f>
        <v>0</v>
      </c>
      <c r="E79" s="540">
        <f t="shared" si="51"/>
        <v>0</v>
      </c>
      <c r="F79" s="540">
        <f t="shared" si="51"/>
        <v>0</v>
      </c>
      <c r="G79" s="540">
        <f t="shared" si="51"/>
        <v>0</v>
      </c>
      <c r="H79" s="540">
        <f t="shared" si="51"/>
        <v>0</v>
      </c>
      <c r="I79" s="540">
        <f t="shared" si="51"/>
        <v>0</v>
      </c>
      <c r="J79" s="540">
        <f t="shared" si="51"/>
        <v>0</v>
      </c>
      <c r="K79" s="540">
        <f t="shared" si="51"/>
        <v>0</v>
      </c>
      <c r="L79" s="540">
        <f t="shared" si="51"/>
        <v>0</v>
      </c>
      <c r="M79" s="540">
        <f t="shared" si="51"/>
        <v>0</v>
      </c>
      <c r="N79" s="540">
        <f t="shared" si="51"/>
        <v>0</v>
      </c>
      <c r="O79" s="540">
        <f t="shared" si="51"/>
        <v>0</v>
      </c>
      <c r="Q79" s="537"/>
      <c r="R79" s="537"/>
      <c r="S79" s="537"/>
      <c r="T79" s="537">
        <f t="shared" si="33"/>
        <v>0</v>
      </c>
    </row>
    <row r="80" spans="1:20">
      <c r="A80" s="536">
        <f t="shared" si="34"/>
        <v>61</v>
      </c>
      <c r="B80" s="369" t="s">
        <v>13</v>
      </c>
      <c r="C80" s="537">
        <f>SUM(C62:C79)</f>
        <v>53934443.690000005</v>
      </c>
      <c r="D80" s="537">
        <f t="shared" ref="D80:O80" si="52">SUM(D62:D79)</f>
        <v>58499379.128324665</v>
      </c>
      <c r="E80" s="537">
        <f t="shared" si="52"/>
        <v>57672507.259899013</v>
      </c>
      <c r="F80" s="537">
        <f t="shared" si="52"/>
        <v>57149278.760685302</v>
      </c>
      <c r="G80" s="537">
        <f t="shared" si="52"/>
        <v>56591306.766166411</v>
      </c>
      <c r="H80" s="537">
        <f t="shared" si="52"/>
        <v>55940411.564171873</v>
      </c>
      <c r="I80" s="537">
        <f t="shared" si="52"/>
        <v>55365840.413739182</v>
      </c>
      <c r="J80" s="537">
        <f t="shared" si="52"/>
        <v>54979157.0236146</v>
      </c>
      <c r="K80" s="537">
        <f t="shared" si="52"/>
        <v>54470627.075767159</v>
      </c>
      <c r="L80" s="537">
        <f t="shared" si="52"/>
        <v>54068808.039809942</v>
      </c>
      <c r="M80" s="537">
        <f t="shared" si="52"/>
        <v>53636857.141936295</v>
      </c>
      <c r="N80" s="537">
        <f t="shared" si="52"/>
        <v>53093184.861697234</v>
      </c>
      <c r="O80" s="537">
        <f t="shared" si="52"/>
        <v>54361154.045492515</v>
      </c>
      <c r="P80" s="537">
        <f t="shared" ref="P80" si="53">SUM(P62:P79)</f>
        <v>55366381.213177241</v>
      </c>
      <c r="Q80" s="537">
        <f t="shared" ref="Q80" si="54">SUM(Q62:Q79)</f>
        <v>2777530.8734934153</v>
      </c>
      <c r="R80" s="537">
        <f t="shared" ref="R80" si="55">SUM(R62:R79)</f>
        <v>39170372.348932706</v>
      </c>
      <c r="S80" s="537">
        <f t="shared" ref="S80" si="56">SUM(S62:S79)</f>
        <v>14232797.256936848</v>
      </c>
      <c r="T80" s="537">
        <f t="shared" ref="T80" si="57">SUM(T62:T79)</f>
        <v>56180700.479362965</v>
      </c>
    </row>
    <row r="81" spans="1:20">
      <c r="A81" s="536">
        <f t="shared" si="34"/>
        <v>62</v>
      </c>
      <c r="B81" s="369"/>
      <c r="C81" s="537"/>
      <c r="D81" s="537"/>
      <c r="E81" s="537"/>
      <c r="F81" s="537"/>
      <c r="G81" s="537"/>
      <c r="H81" s="537"/>
      <c r="I81" s="537"/>
      <c r="J81" s="537"/>
      <c r="K81" s="537"/>
      <c r="L81" s="537"/>
      <c r="M81" s="537"/>
      <c r="N81" s="537"/>
      <c r="O81" s="537"/>
      <c r="P81" s="538" t="s">
        <v>698</v>
      </c>
      <c r="Q81" s="539">
        <f>Q53</f>
        <v>1</v>
      </c>
      <c r="R81" s="539">
        <f t="shared" ref="R81:S81" si="58">R53</f>
        <v>0</v>
      </c>
      <c r="S81" s="539">
        <f t="shared" si="58"/>
        <v>9.4490855863003556E-2</v>
      </c>
      <c r="T81" s="537"/>
    </row>
    <row r="82" spans="1:20">
      <c r="A82" s="536">
        <f t="shared" si="34"/>
        <v>63</v>
      </c>
      <c r="B82" s="369"/>
      <c r="C82" s="537"/>
      <c r="D82" s="537"/>
      <c r="E82" s="537"/>
      <c r="F82" s="537"/>
      <c r="G82" s="537"/>
      <c r="H82" s="537"/>
      <c r="I82" s="537"/>
      <c r="J82" s="537"/>
      <c r="K82" s="537"/>
      <c r="L82" s="537"/>
      <c r="M82" s="537"/>
      <c r="N82" s="537"/>
      <c r="O82" s="537"/>
      <c r="P82" s="538" t="s">
        <v>786</v>
      </c>
      <c r="Q82" s="537">
        <f>Q80*Q81</f>
        <v>2777530.8734934153</v>
      </c>
      <c r="R82" s="537">
        <f t="shared" ref="R82" si="59">R80*R81</f>
        <v>0</v>
      </c>
      <c r="S82" s="537">
        <f>S80*S81</f>
        <v>1344869.194132572</v>
      </c>
      <c r="T82" s="537">
        <f>SUM(Q82:S82)</f>
        <v>4122400.0676259873</v>
      </c>
    </row>
    <row r="84" spans="1:20">
      <c r="B84" s="369" t="s">
        <v>198</v>
      </c>
      <c r="C84" s="369" t="s">
        <v>199</v>
      </c>
      <c r="D84" s="369" t="s">
        <v>200</v>
      </c>
      <c r="E84" s="369" t="s">
        <v>201</v>
      </c>
      <c r="F84" s="369" t="s">
        <v>203</v>
      </c>
      <c r="G84" s="369" t="s">
        <v>202</v>
      </c>
      <c r="H84" s="369"/>
      <c r="I84" s="369"/>
      <c r="J84" s="369"/>
      <c r="K84" s="369"/>
      <c r="L84" s="369"/>
      <c r="M84" s="369"/>
      <c r="N84" s="369"/>
      <c r="O84" s="369"/>
      <c r="P84" s="369"/>
      <c r="Q84" s="369"/>
      <c r="R84" s="369"/>
      <c r="S84" s="369"/>
      <c r="T84" s="369"/>
    </row>
    <row r="85" spans="1:20">
      <c r="B85" s="377"/>
      <c r="C85" s="369" t="s">
        <v>13</v>
      </c>
      <c r="D85" s="530" t="s">
        <v>17</v>
      </c>
      <c r="E85" s="530" t="s">
        <v>778</v>
      </c>
      <c r="F85" s="530" t="s">
        <v>685</v>
      </c>
      <c r="G85" s="533" t="s">
        <v>13</v>
      </c>
      <c r="H85" s="369"/>
      <c r="I85" s="369"/>
      <c r="J85" s="369"/>
      <c r="K85" s="369"/>
      <c r="L85" s="369"/>
      <c r="M85" s="369"/>
      <c r="N85" s="369"/>
      <c r="O85" s="369"/>
    </row>
    <row r="86" spans="1:20">
      <c r="B86" s="377" t="s">
        <v>662</v>
      </c>
      <c r="C86" s="534"/>
      <c r="G86" s="535" t="s">
        <v>1156</v>
      </c>
      <c r="H86" s="369"/>
      <c r="I86" s="369"/>
      <c r="J86" s="369"/>
      <c r="K86" s="369"/>
      <c r="L86" s="369"/>
      <c r="M86" s="369"/>
      <c r="N86" s="369"/>
      <c r="O86" s="369"/>
    </row>
    <row r="87" spans="1:20">
      <c r="A87" s="536">
        <f>A82+1</f>
        <v>64</v>
      </c>
      <c r="B87" s="956" t="s">
        <v>1529</v>
      </c>
      <c r="C87" s="957">
        <v>4026332.32</v>
      </c>
      <c r="D87" s="537"/>
      <c r="E87" s="537"/>
      <c r="F87" s="537">
        <f>C87</f>
        <v>4026332.32</v>
      </c>
      <c r="G87" s="537">
        <f>SUM(D87:F87)</f>
        <v>4026332.32</v>
      </c>
      <c r="H87" s="540"/>
      <c r="I87" s="540"/>
      <c r="J87" s="540"/>
      <c r="K87" s="540"/>
      <c r="L87" s="540"/>
      <c r="M87" s="540"/>
      <c r="N87" s="540"/>
      <c r="O87" s="540"/>
    </row>
    <row r="88" spans="1:20">
      <c r="A88" s="536">
        <f>A87+1</f>
        <v>65</v>
      </c>
      <c r="B88" s="956" t="s">
        <v>776</v>
      </c>
      <c r="C88" s="957">
        <v>2012205.78</v>
      </c>
      <c r="D88" s="537">
        <f>C88</f>
        <v>2012205.78</v>
      </c>
      <c r="E88" s="537"/>
      <c r="F88" s="537"/>
      <c r="G88" s="537">
        <f t="shared" ref="G88:G105" si="60">SUM(D88:F88)</f>
        <v>2012205.78</v>
      </c>
      <c r="H88" s="540"/>
      <c r="I88" s="540"/>
      <c r="J88" s="540"/>
      <c r="K88" s="540"/>
      <c r="L88" s="540"/>
      <c r="M88" s="540"/>
      <c r="N88" s="540"/>
      <c r="O88" s="540"/>
    </row>
    <row r="89" spans="1:20">
      <c r="A89" s="536">
        <f t="shared" ref="A89:A107" si="61">A88+1</f>
        <v>66</v>
      </c>
      <c r="B89" s="956" t="s">
        <v>777</v>
      </c>
      <c r="C89" s="957">
        <v>99119.030000000013</v>
      </c>
      <c r="D89" s="537"/>
      <c r="E89" s="537">
        <f>C89</f>
        <v>99119.030000000013</v>
      </c>
      <c r="F89" s="537"/>
      <c r="G89" s="537">
        <f t="shared" si="60"/>
        <v>99119.030000000013</v>
      </c>
      <c r="H89" s="540"/>
      <c r="I89" s="540"/>
      <c r="J89" s="540"/>
      <c r="K89" s="540"/>
      <c r="L89" s="540"/>
      <c r="M89" s="540"/>
      <c r="N89" s="540"/>
      <c r="O89" s="540"/>
    </row>
    <row r="90" spans="1:20">
      <c r="A90" s="536">
        <f t="shared" si="61"/>
        <v>67</v>
      </c>
      <c r="B90" s="956" t="s">
        <v>789</v>
      </c>
      <c r="C90" s="957">
        <v>0</v>
      </c>
      <c r="D90" s="537"/>
      <c r="E90" s="537">
        <f>C90</f>
        <v>0</v>
      </c>
      <c r="F90" s="537"/>
      <c r="G90" s="537">
        <f t="shared" si="60"/>
        <v>0</v>
      </c>
      <c r="H90" s="540"/>
      <c r="I90" s="540"/>
      <c r="J90" s="540"/>
      <c r="K90" s="540"/>
      <c r="L90" s="540"/>
      <c r="M90" s="540"/>
      <c r="N90" s="540"/>
      <c r="O90" s="540"/>
    </row>
    <row r="91" spans="1:20">
      <c r="A91" s="536">
        <f t="shared" si="61"/>
        <v>68</v>
      </c>
      <c r="B91" s="956" t="s">
        <v>1560</v>
      </c>
      <c r="C91" s="957">
        <v>645830.05415999994</v>
      </c>
      <c r="D91" s="537"/>
      <c r="E91" s="537">
        <f>C91</f>
        <v>645830.05415999994</v>
      </c>
      <c r="F91" s="537"/>
      <c r="G91" s="537">
        <f t="shared" si="60"/>
        <v>645830.05415999994</v>
      </c>
      <c r="H91" s="540"/>
      <c r="I91" s="540"/>
      <c r="J91" s="540"/>
      <c r="K91" s="540"/>
      <c r="L91" s="540"/>
      <c r="M91" s="540"/>
      <c r="N91" s="540"/>
      <c r="O91" s="540"/>
    </row>
    <row r="92" spans="1:20">
      <c r="A92" s="536">
        <f t="shared" si="61"/>
        <v>69</v>
      </c>
      <c r="B92" s="956" t="s">
        <v>818</v>
      </c>
      <c r="C92" s="957">
        <v>6746712.6800000006</v>
      </c>
      <c r="D92" s="537"/>
      <c r="E92" s="537">
        <f>C92</f>
        <v>6746712.6800000006</v>
      </c>
      <c r="F92" s="537"/>
      <c r="G92" s="537">
        <f t="shared" si="60"/>
        <v>6746712.6800000006</v>
      </c>
      <c r="H92" s="540"/>
      <c r="I92" s="540"/>
      <c r="J92" s="540"/>
      <c r="K92" s="540"/>
      <c r="L92" s="540"/>
      <c r="M92" s="540"/>
      <c r="N92" s="540"/>
      <c r="O92" s="540"/>
    </row>
    <row r="93" spans="1:20">
      <c r="A93" s="536">
        <f t="shared" si="61"/>
        <v>70</v>
      </c>
      <c r="B93" s="956" t="s">
        <v>790</v>
      </c>
      <c r="C93" s="957">
        <v>3562235.2200000007</v>
      </c>
      <c r="D93" s="537"/>
      <c r="E93" s="537">
        <f>C93</f>
        <v>3562235.2200000007</v>
      </c>
      <c r="F93" s="537"/>
      <c r="G93" s="537">
        <f t="shared" si="60"/>
        <v>3562235.2200000007</v>
      </c>
      <c r="H93" s="540"/>
      <c r="I93" s="540"/>
      <c r="J93" s="540"/>
      <c r="K93" s="540"/>
      <c r="L93" s="540"/>
      <c r="M93" s="540"/>
      <c r="N93" s="540"/>
      <c r="O93" s="540"/>
    </row>
    <row r="94" spans="1:20">
      <c r="A94" s="536">
        <f t="shared" si="61"/>
        <v>71</v>
      </c>
      <c r="B94" s="956" t="s">
        <v>1561</v>
      </c>
      <c r="C94" s="957">
        <v>3088072.59</v>
      </c>
      <c r="D94" s="537">
        <f>C94</f>
        <v>3088072.59</v>
      </c>
      <c r="E94" s="537"/>
      <c r="F94" s="537"/>
      <c r="G94" s="537">
        <f>SUM(D94:F94)</f>
        <v>3088072.59</v>
      </c>
      <c r="H94" s="540"/>
      <c r="I94" s="540"/>
      <c r="J94" s="540"/>
      <c r="K94" s="540"/>
      <c r="L94" s="540"/>
      <c r="M94" s="540"/>
      <c r="N94" s="540"/>
      <c r="O94" s="540"/>
    </row>
    <row r="95" spans="1:20">
      <c r="A95" s="536">
        <f t="shared" si="61"/>
        <v>72</v>
      </c>
      <c r="B95" s="956" t="s">
        <v>1636</v>
      </c>
      <c r="C95" s="957">
        <v>20458.985840000001</v>
      </c>
      <c r="D95" s="537">
        <f>C95</f>
        <v>20458.985840000001</v>
      </c>
      <c r="E95" s="537"/>
      <c r="F95" s="537"/>
      <c r="G95" s="537">
        <f>SUM(D95:F95)</f>
        <v>20458.985840000001</v>
      </c>
      <c r="H95" s="540"/>
      <c r="I95" s="540"/>
      <c r="J95" s="540"/>
      <c r="K95" s="540"/>
      <c r="L95" s="540"/>
      <c r="M95" s="540"/>
      <c r="N95" s="540"/>
      <c r="O95" s="540"/>
    </row>
    <row r="96" spans="1:20">
      <c r="A96" s="536">
        <f t="shared" si="61"/>
        <v>73</v>
      </c>
      <c r="B96" s="959"/>
      <c r="C96" s="957">
        <v>0</v>
      </c>
      <c r="D96" s="537"/>
      <c r="E96" s="537"/>
      <c r="F96" s="537"/>
      <c r="G96" s="537">
        <f t="shared" si="60"/>
        <v>0</v>
      </c>
      <c r="H96" s="540"/>
      <c r="I96" s="540"/>
      <c r="J96" s="540"/>
      <c r="K96" s="540"/>
      <c r="L96" s="540"/>
      <c r="M96" s="540"/>
      <c r="N96" s="540"/>
      <c r="O96" s="540"/>
    </row>
    <row r="97" spans="1:15">
      <c r="A97" s="536">
        <f t="shared" si="61"/>
        <v>74</v>
      </c>
      <c r="B97" s="959"/>
      <c r="C97" s="957">
        <v>0</v>
      </c>
      <c r="D97" s="537"/>
      <c r="E97" s="537"/>
      <c r="F97" s="537"/>
      <c r="G97" s="537">
        <f t="shared" si="60"/>
        <v>0</v>
      </c>
      <c r="H97" s="540"/>
      <c r="I97" s="540"/>
      <c r="J97" s="540"/>
      <c r="K97" s="540"/>
      <c r="L97" s="540"/>
      <c r="M97" s="540"/>
      <c r="N97" s="540"/>
      <c r="O97" s="540"/>
    </row>
    <row r="98" spans="1:15">
      <c r="A98" s="536">
        <f t="shared" si="61"/>
        <v>75</v>
      </c>
      <c r="B98" s="959"/>
      <c r="C98" s="957">
        <v>0</v>
      </c>
      <c r="D98" s="537"/>
      <c r="E98" s="537"/>
      <c r="F98" s="537"/>
      <c r="G98" s="537">
        <f t="shared" si="60"/>
        <v>0</v>
      </c>
      <c r="H98" s="540"/>
      <c r="I98" s="540"/>
      <c r="J98" s="540"/>
      <c r="K98" s="540"/>
      <c r="L98" s="540"/>
      <c r="M98" s="540"/>
      <c r="N98" s="540"/>
      <c r="O98" s="540"/>
    </row>
    <row r="99" spans="1:15">
      <c r="A99" s="536">
        <f t="shared" si="61"/>
        <v>76</v>
      </c>
      <c r="B99" s="959"/>
      <c r="C99" s="957">
        <v>0</v>
      </c>
      <c r="D99" s="537"/>
      <c r="E99" s="537"/>
      <c r="F99" s="537"/>
      <c r="G99" s="537">
        <f t="shared" si="60"/>
        <v>0</v>
      </c>
      <c r="H99" s="540"/>
      <c r="I99" s="540"/>
      <c r="J99" s="540"/>
      <c r="K99" s="540"/>
      <c r="L99" s="540"/>
      <c r="M99" s="540"/>
      <c r="N99" s="540"/>
      <c r="O99" s="540"/>
    </row>
    <row r="100" spans="1:15">
      <c r="A100" s="536">
        <f t="shared" si="61"/>
        <v>77</v>
      </c>
      <c r="B100" s="960"/>
      <c r="C100" s="957">
        <v>0</v>
      </c>
      <c r="D100" s="537"/>
      <c r="E100" s="537"/>
      <c r="F100" s="537"/>
      <c r="G100" s="537">
        <f t="shared" si="60"/>
        <v>0</v>
      </c>
      <c r="H100" s="540"/>
      <c r="I100" s="540"/>
      <c r="J100" s="540"/>
      <c r="K100" s="540"/>
      <c r="L100" s="540"/>
      <c r="M100" s="540"/>
      <c r="N100" s="540"/>
      <c r="O100" s="540"/>
    </row>
    <row r="101" spans="1:15">
      <c r="A101" s="536">
        <f t="shared" si="61"/>
        <v>78</v>
      </c>
      <c r="B101" s="959"/>
      <c r="C101" s="957">
        <v>0</v>
      </c>
      <c r="D101" s="537"/>
      <c r="E101" s="537"/>
      <c r="F101" s="537"/>
      <c r="G101" s="537">
        <f t="shared" si="60"/>
        <v>0</v>
      </c>
      <c r="H101" s="540"/>
      <c r="I101" s="540"/>
      <c r="J101" s="540"/>
      <c r="K101" s="540"/>
      <c r="L101" s="540"/>
      <c r="M101" s="540"/>
      <c r="N101" s="540"/>
      <c r="O101" s="540"/>
    </row>
    <row r="102" spans="1:15">
      <c r="A102" s="536">
        <f t="shared" si="61"/>
        <v>79</v>
      </c>
      <c r="B102" s="960"/>
      <c r="C102" s="957">
        <v>0</v>
      </c>
      <c r="D102" s="537"/>
      <c r="E102" s="537"/>
      <c r="F102" s="537"/>
      <c r="G102" s="537">
        <f t="shared" si="60"/>
        <v>0</v>
      </c>
      <c r="H102" s="540"/>
      <c r="I102" s="540"/>
      <c r="J102" s="540"/>
      <c r="K102" s="540"/>
      <c r="L102" s="540"/>
      <c r="M102" s="540"/>
      <c r="N102" s="540"/>
      <c r="O102" s="540"/>
    </row>
    <row r="103" spans="1:15">
      <c r="A103" s="536">
        <f t="shared" si="61"/>
        <v>80</v>
      </c>
      <c r="B103" s="960"/>
      <c r="C103" s="957">
        <v>0</v>
      </c>
      <c r="D103" s="537"/>
      <c r="E103" s="537"/>
      <c r="F103" s="537"/>
      <c r="G103" s="537">
        <f t="shared" si="60"/>
        <v>0</v>
      </c>
      <c r="H103" s="540"/>
      <c r="I103" s="540"/>
      <c r="J103" s="540"/>
      <c r="K103" s="540"/>
      <c r="L103" s="540"/>
      <c r="M103" s="540"/>
      <c r="N103" s="540"/>
      <c r="O103" s="540"/>
    </row>
    <row r="104" spans="1:15">
      <c r="A104" s="536">
        <f t="shared" si="61"/>
        <v>81</v>
      </c>
      <c r="B104" s="960"/>
      <c r="C104" s="957">
        <v>0</v>
      </c>
      <c r="D104" s="537"/>
      <c r="E104" s="537"/>
      <c r="F104" s="537"/>
      <c r="G104" s="537">
        <f t="shared" si="60"/>
        <v>0</v>
      </c>
      <c r="H104" s="540"/>
      <c r="I104" s="540"/>
      <c r="J104" s="540"/>
      <c r="K104" s="540"/>
      <c r="L104" s="540"/>
      <c r="M104" s="540"/>
      <c r="N104" s="540"/>
      <c r="O104" s="540"/>
    </row>
    <row r="105" spans="1:15">
      <c r="A105" s="536">
        <f t="shared" si="61"/>
        <v>82</v>
      </c>
      <c r="B105" s="369" t="s">
        <v>13</v>
      </c>
      <c r="C105" s="537">
        <f>SUM(C87:C104)</f>
        <v>20200966.66</v>
      </c>
      <c r="D105" s="537">
        <f>SUM(D87:D104)</f>
        <v>5120737.3558400003</v>
      </c>
      <c r="E105" s="537">
        <f>SUM(E87:E104)</f>
        <v>11053896.984160002</v>
      </c>
      <c r="F105" s="537">
        <f>SUM(F87:F104)</f>
        <v>4026332.32</v>
      </c>
      <c r="G105" s="537">
        <f t="shared" si="60"/>
        <v>20200966.660000004</v>
      </c>
      <c r="H105" s="537"/>
      <c r="I105" s="537"/>
      <c r="J105" s="537"/>
      <c r="K105" s="537"/>
      <c r="L105" s="537"/>
      <c r="M105" s="537"/>
      <c r="N105" s="537"/>
      <c r="O105" s="537"/>
    </row>
    <row r="106" spans="1:15">
      <c r="A106" s="536">
        <f t="shared" si="61"/>
        <v>83</v>
      </c>
      <c r="C106" s="538" t="s">
        <v>698</v>
      </c>
      <c r="D106" s="539">
        <f>Q81</f>
        <v>1</v>
      </c>
      <c r="E106" s="539">
        <f>R81</f>
        <v>0</v>
      </c>
      <c r="F106" s="539">
        <f>S81</f>
        <v>9.4490855863003556E-2</v>
      </c>
      <c r="G106" s="537"/>
    </row>
    <row r="107" spans="1:15">
      <c r="A107" s="536">
        <f t="shared" si="61"/>
        <v>84</v>
      </c>
      <c r="C107" s="538" t="s">
        <v>786</v>
      </c>
      <c r="D107" s="537">
        <f>D105*D106</f>
        <v>5120737.3558400003</v>
      </c>
      <c r="E107" s="537">
        <f t="shared" ref="E107" si="62">E105*E106</f>
        <v>0</v>
      </c>
      <c r="F107" s="537">
        <f t="shared" ref="F107" si="63">F105*F106</f>
        <v>380451.58690567268</v>
      </c>
      <c r="G107" s="537">
        <f>SUM(D107:F107)</f>
        <v>5501188.9427456725</v>
      </c>
    </row>
  </sheetData>
  <sheetProtection algorithmName="SHA-512" hashValue="x7nR+OMxBkTl19yUI3UwecpNQPDlKlRSPXdHsbhJCvpkVNW3jbCtulvdeVmMmlKUgLIJItUkFualroz91P5ngQ==" saltValue="Lj2pEGGYxvQCnJi13k2CfQ=="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89"/>
  <sheetViews>
    <sheetView view="pageBreakPreview" topLeftCell="A64" zoomScale="80" zoomScaleNormal="90" zoomScaleSheetLayoutView="80" workbookViewId="0">
      <selection activeCell="C53" sqref="C53"/>
    </sheetView>
  </sheetViews>
  <sheetFormatPr defaultColWidth="8.77734375" defaultRowHeight="15.75"/>
  <cols>
    <col min="1" max="1" width="4.77734375" style="16" customWidth="1"/>
    <col min="2" max="2" width="62" style="16" customWidth="1"/>
    <col min="3" max="3" width="15.33203125" style="16" customWidth="1"/>
    <col min="4" max="7" width="11.6640625" style="16" customWidth="1"/>
    <col min="8" max="8" width="11" style="16" bestFit="1" customWidth="1"/>
    <col min="9" max="9" width="8.77734375" style="16"/>
    <col min="10" max="10" width="13.77734375" style="16" bestFit="1" customWidth="1"/>
    <col min="11" max="11" width="12.44140625" style="16" bestFit="1" customWidth="1"/>
    <col min="12" max="16384" width="8.77734375" style="16"/>
  </cols>
  <sheetData>
    <row r="1" spans="1:14" ht="18.75">
      <c r="A1" s="1064" t="str">
        <f>+'Attachment H-7'!D177</f>
        <v>PECO Energy Company</v>
      </c>
      <c r="B1" s="1064"/>
      <c r="C1" s="1064"/>
      <c r="D1" s="1064"/>
      <c r="E1" s="1064"/>
      <c r="F1" s="1064"/>
      <c r="G1" s="541"/>
      <c r="H1" s="16" t="s">
        <v>422</v>
      </c>
    </row>
    <row r="2" spans="1:14" ht="20.25">
      <c r="A2" s="542"/>
      <c r="B2" s="543"/>
      <c r="C2" s="544"/>
      <c r="D2" s="545"/>
      <c r="E2" s="541"/>
      <c r="F2" s="541"/>
      <c r="G2" s="541"/>
    </row>
    <row r="3" spans="1:14">
      <c r="A3" s="1065" t="s">
        <v>1230</v>
      </c>
      <c r="B3" s="1065"/>
      <c r="C3" s="1065"/>
      <c r="D3" s="1065"/>
      <c r="E3" s="1065"/>
      <c r="F3" s="1065"/>
      <c r="G3" s="541"/>
    </row>
    <row r="4" spans="1:14">
      <c r="B4" s="369" t="s">
        <v>198</v>
      </c>
      <c r="C4" s="369" t="s">
        <v>199</v>
      </c>
      <c r="D4" s="369" t="s">
        <v>200</v>
      </c>
      <c r="E4" s="369" t="s">
        <v>201</v>
      </c>
      <c r="F4" s="369" t="s">
        <v>203</v>
      </c>
      <c r="G4" s="369" t="s">
        <v>972</v>
      </c>
      <c r="H4" s="369" t="s">
        <v>976</v>
      </c>
      <c r="I4" s="369"/>
      <c r="J4" s="369"/>
      <c r="K4" s="369"/>
      <c r="L4" s="369"/>
      <c r="M4" s="369"/>
      <c r="N4" s="369"/>
    </row>
    <row r="5" spans="1:14">
      <c r="B5" s="546" t="s">
        <v>719</v>
      </c>
    </row>
    <row r="6" spans="1:14">
      <c r="B6" s="343" t="s">
        <v>718</v>
      </c>
      <c r="C6" s="961" t="s">
        <v>1661</v>
      </c>
      <c r="D6" s="961" t="s">
        <v>1662</v>
      </c>
      <c r="E6" s="961"/>
      <c r="F6" s="962"/>
      <c r="G6" s="962"/>
      <c r="H6" s="547" t="s">
        <v>13</v>
      </c>
    </row>
    <row r="7" spans="1:14">
      <c r="A7" s="547">
        <v>1</v>
      </c>
      <c r="B7" s="963">
        <v>923</v>
      </c>
      <c r="C7" s="963">
        <v>0</v>
      </c>
      <c r="D7" s="964">
        <v>7745.7899999999991</v>
      </c>
      <c r="E7" s="962"/>
      <c r="F7" s="962"/>
      <c r="G7" s="962"/>
      <c r="H7" s="548">
        <f t="shared" ref="H7:H17" si="0">SUM(C7:G7)</f>
        <v>7745.7899999999991</v>
      </c>
      <c r="I7" s="547"/>
    </row>
    <row r="8" spans="1:14">
      <c r="A8" s="547">
        <f>A7+1</f>
        <v>2</v>
      </c>
      <c r="B8" s="963">
        <v>926</v>
      </c>
      <c r="C8" s="963">
        <v>0</v>
      </c>
      <c r="D8" s="964">
        <v>0</v>
      </c>
      <c r="E8" s="962"/>
      <c r="F8" s="962"/>
      <c r="G8" s="962"/>
      <c r="H8" s="548">
        <f t="shared" si="0"/>
        <v>0</v>
      </c>
      <c r="I8" s="547"/>
    </row>
    <row r="9" spans="1:14">
      <c r="A9" s="547">
        <f t="shared" ref="A9:A17" si="1">A8+1</f>
        <v>3</v>
      </c>
      <c r="B9" s="963">
        <v>920</v>
      </c>
      <c r="C9" s="963"/>
      <c r="D9" s="964">
        <v>0</v>
      </c>
      <c r="E9" s="962"/>
      <c r="F9" s="962"/>
      <c r="G9" s="962"/>
      <c r="H9" s="548">
        <f t="shared" si="0"/>
        <v>0</v>
      </c>
      <c r="I9" s="547"/>
    </row>
    <row r="10" spans="1:14">
      <c r="A10" s="547">
        <f t="shared" si="1"/>
        <v>4</v>
      </c>
      <c r="B10" s="963"/>
      <c r="C10" s="963"/>
      <c r="D10" s="963"/>
      <c r="E10" s="962"/>
      <c r="F10" s="962"/>
      <c r="G10" s="962"/>
      <c r="H10" s="548">
        <f t="shared" si="0"/>
        <v>0</v>
      </c>
      <c r="I10" s="547"/>
    </row>
    <row r="11" spans="1:14">
      <c r="A11" s="547">
        <f t="shared" si="1"/>
        <v>5</v>
      </c>
      <c r="B11" s="963"/>
      <c r="C11" s="963"/>
      <c r="D11" s="963"/>
      <c r="E11" s="962"/>
      <c r="F11" s="962"/>
      <c r="G11" s="962"/>
      <c r="H11" s="548">
        <f t="shared" si="0"/>
        <v>0</v>
      </c>
      <c r="I11" s="547"/>
    </row>
    <row r="12" spans="1:14">
      <c r="A12" s="547">
        <f t="shared" si="1"/>
        <v>6</v>
      </c>
      <c r="B12" s="963"/>
      <c r="C12" s="963"/>
      <c r="D12" s="963"/>
      <c r="E12" s="962"/>
      <c r="F12" s="962"/>
      <c r="G12" s="962"/>
      <c r="H12" s="548">
        <f t="shared" si="0"/>
        <v>0</v>
      </c>
      <c r="I12" s="547"/>
    </row>
    <row r="13" spans="1:14">
      <c r="A13" s="547">
        <f t="shared" si="1"/>
        <v>7</v>
      </c>
      <c r="B13" s="963"/>
      <c r="C13" s="963"/>
      <c r="D13" s="963"/>
      <c r="E13" s="962"/>
      <c r="F13" s="962"/>
      <c r="G13" s="962"/>
      <c r="H13" s="548">
        <f t="shared" si="0"/>
        <v>0</v>
      </c>
      <c r="I13" s="547"/>
    </row>
    <row r="14" spans="1:14">
      <c r="A14" s="547">
        <f t="shared" si="1"/>
        <v>8</v>
      </c>
      <c r="B14" s="963"/>
      <c r="C14" s="963"/>
      <c r="D14" s="963"/>
      <c r="E14" s="962"/>
      <c r="F14" s="962"/>
      <c r="G14" s="962"/>
      <c r="H14" s="548">
        <f t="shared" si="0"/>
        <v>0</v>
      </c>
      <c r="I14" s="547"/>
    </row>
    <row r="15" spans="1:14">
      <c r="A15" s="547">
        <f t="shared" si="1"/>
        <v>9</v>
      </c>
      <c r="B15" s="963"/>
      <c r="C15" s="963"/>
      <c r="D15" s="963"/>
      <c r="E15" s="962"/>
      <c r="F15" s="962"/>
      <c r="G15" s="962"/>
      <c r="H15" s="548">
        <f t="shared" si="0"/>
        <v>0</v>
      </c>
      <c r="I15" s="547"/>
    </row>
    <row r="16" spans="1:14">
      <c r="A16" s="547">
        <f t="shared" si="1"/>
        <v>10</v>
      </c>
      <c r="B16" s="963"/>
      <c r="C16" s="963"/>
      <c r="D16" s="963"/>
      <c r="E16" s="962"/>
      <c r="F16" s="962"/>
      <c r="G16" s="962"/>
      <c r="H16" s="548">
        <f t="shared" si="0"/>
        <v>0</v>
      </c>
      <c r="I16" s="547"/>
    </row>
    <row r="17" spans="1:10">
      <c r="A17" s="547">
        <f t="shared" si="1"/>
        <v>11</v>
      </c>
      <c r="B17" s="343" t="s">
        <v>13</v>
      </c>
      <c r="C17" s="548">
        <f>SUM(C7:C16)</f>
        <v>0</v>
      </c>
      <c r="D17" s="548">
        <f t="shared" ref="D17" si="2">SUM(D7:D16)</f>
        <v>7745.7899999999991</v>
      </c>
      <c r="E17" s="548"/>
      <c r="F17" s="548"/>
      <c r="G17" s="548"/>
      <c r="H17" s="548">
        <f t="shared" si="0"/>
        <v>7745.7899999999991</v>
      </c>
      <c r="I17" s="547"/>
    </row>
    <row r="18" spans="1:10">
      <c r="A18" s="369"/>
      <c r="B18" s="343"/>
      <c r="C18" s="548"/>
      <c r="D18" s="548"/>
      <c r="E18" s="548"/>
      <c r="F18" s="548"/>
      <c r="G18" s="548"/>
      <c r="H18" s="548"/>
      <c r="I18" s="547"/>
    </row>
    <row r="19" spans="1:10">
      <c r="A19" s="370"/>
      <c r="B19" s="546" t="s">
        <v>1121</v>
      </c>
      <c r="I19" s="547"/>
    </row>
    <row r="20" spans="1:10">
      <c r="B20" s="546" t="s">
        <v>775</v>
      </c>
      <c r="C20" s="343" t="str">
        <f>C6</f>
        <v>Constellation Merger</v>
      </c>
      <c r="D20" s="343" t="str">
        <f>D6</f>
        <v>PHI Merger</v>
      </c>
      <c r="E20" s="343"/>
      <c r="F20" s="343"/>
      <c r="G20" s="343"/>
      <c r="H20" s="547" t="s">
        <v>13</v>
      </c>
    </row>
    <row r="21" spans="1:10">
      <c r="A21" s="547">
        <f>A17+1</f>
        <v>12</v>
      </c>
      <c r="B21" s="343" t="s">
        <v>195</v>
      </c>
      <c r="C21" s="965">
        <v>0</v>
      </c>
      <c r="D21" s="965">
        <v>3205041.70896</v>
      </c>
      <c r="E21" s="966"/>
      <c r="F21" s="966"/>
      <c r="G21" s="966"/>
      <c r="H21" s="548">
        <f t="shared" ref="H21:H33" si="3">SUM(C21:G21)</f>
        <v>3205041.70896</v>
      </c>
      <c r="J21" s="233"/>
    </row>
    <row r="22" spans="1:10">
      <c r="A22" s="547">
        <f>A21+1</f>
        <v>13</v>
      </c>
      <c r="B22" s="343" t="s">
        <v>84</v>
      </c>
      <c r="C22" s="965">
        <v>0</v>
      </c>
      <c r="D22" s="965">
        <v>3183945.02244</v>
      </c>
      <c r="E22" s="966"/>
      <c r="F22" s="966"/>
      <c r="G22" s="966"/>
      <c r="H22" s="548">
        <f t="shared" si="3"/>
        <v>3183945.02244</v>
      </c>
      <c r="J22" s="233"/>
    </row>
    <row r="23" spans="1:10">
      <c r="A23" s="547">
        <f t="shared" ref="A23:A34" si="4">A22+1</f>
        <v>14</v>
      </c>
      <c r="B23" s="343" t="s">
        <v>83</v>
      </c>
      <c r="C23" s="965">
        <v>0</v>
      </c>
      <c r="D23" s="965">
        <v>3183945.02244</v>
      </c>
      <c r="E23" s="966"/>
      <c r="F23" s="966"/>
      <c r="G23" s="966"/>
      <c r="H23" s="548">
        <f t="shared" si="3"/>
        <v>3183945.02244</v>
      </c>
      <c r="J23" s="233"/>
    </row>
    <row r="24" spans="1:10">
      <c r="A24" s="547">
        <f t="shared" si="4"/>
        <v>15</v>
      </c>
      <c r="B24" s="343" t="s">
        <v>171</v>
      </c>
      <c r="C24" s="965">
        <v>0</v>
      </c>
      <c r="D24" s="965">
        <v>3183945.02244</v>
      </c>
      <c r="E24" s="966"/>
      <c r="F24" s="966"/>
      <c r="G24" s="966"/>
      <c r="H24" s="548">
        <f t="shared" si="3"/>
        <v>3183945.02244</v>
      </c>
      <c r="J24" s="233"/>
    </row>
    <row r="25" spans="1:10">
      <c r="A25" s="547">
        <f t="shared" si="4"/>
        <v>16</v>
      </c>
      <c r="B25" s="343" t="s">
        <v>74</v>
      </c>
      <c r="C25" s="965">
        <v>0</v>
      </c>
      <c r="D25" s="965">
        <v>3183945.02244</v>
      </c>
      <c r="E25" s="966"/>
      <c r="F25" s="966"/>
      <c r="G25" s="966"/>
      <c r="H25" s="548">
        <f t="shared" si="3"/>
        <v>3183945.02244</v>
      </c>
      <c r="J25" s="233"/>
    </row>
    <row r="26" spans="1:10">
      <c r="A26" s="547">
        <f t="shared" si="4"/>
        <v>17</v>
      </c>
      <c r="B26" s="343" t="s">
        <v>73</v>
      </c>
      <c r="C26" s="965">
        <v>0</v>
      </c>
      <c r="D26" s="965">
        <v>3183945.02244</v>
      </c>
      <c r="E26" s="966"/>
      <c r="F26" s="966"/>
      <c r="G26" s="966"/>
      <c r="H26" s="548">
        <f t="shared" si="3"/>
        <v>3183945.02244</v>
      </c>
      <c r="J26" s="233"/>
    </row>
    <row r="27" spans="1:10">
      <c r="A27" s="547">
        <f t="shared" si="4"/>
        <v>18</v>
      </c>
      <c r="B27" s="343" t="s">
        <v>93</v>
      </c>
      <c r="C27" s="965">
        <v>0</v>
      </c>
      <c r="D27" s="965">
        <v>3183945.02244</v>
      </c>
      <c r="E27" s="966"/>
      <c r="F27" s="966"/>
      <c r="G27" s="966"/>
      <c r="H27" s="548">
        <f t="shared" si="3"/>
        <v>3183945.02244</v>
      </c>
      <c r="J27" s="233"/>
    </row>
    <row r="28" spans="1:10">
      <c r="A28" s="547">
        <f t="shared" si="4"/>
        <v>19</v>
      </c>
      <c r="B28" s="343" t="s">
        <v>81</v>
      </c>
      <c r="C28" s="965">
        <v>0</v>
      </c>
      <c r="D28" s="965">
        <v>3183945.02244</v>
      </c>
      <c r="E28" s="966"/>
      <c r="F28" s="966"/>
      <c r="G28" s="966"/>
      <c r="H28" s="548">
        <f t="shared" si="3"/>
        <v>3183945.02244</v>
      </c>
      <c r="J28" s="233"/>
    </row>
    <row r="29" spans="1:10">
      <c r="A29" s="547">
        <f t="shared" si="4"/>
        <v>20</v>
      </c>
      <c r="B29" s="343" t="s">
        <v>172</v>
      </c>
      <c r="C29" s="965">
        <v>0</v>
      </c>
      <c r="D29" s="965">
        <v>3183945.02244</v>
      </c>
      <c r="E29" s="966"/>
      <c r="F29" s="966"/>
      <c r="G29" s="966"/>
      <c r="H29" s="548">
        <f t="shared" si="3"/>
        <v>3183945.02244</v>
      </c>
      <c r="J29" s="233"/>
    </row>
    <row r="30" spans="1:10">
      <c r="A30" s="547">
        <f t="shared" si="4"/>
        <v>21</v>
      </c>
      <c r="B30" s="343" t="s">
        <v>79</v>
      </c>
      <c r="C30" s="965">
        <v>0</v>
      </c>
      <c r="D30" s="965">
        <v>3183945.02244</v>
      </c>
      <c r="E30" s="966"/>
      <c r="F30" s="966"/>
      <c r="G30" s="966"/>
      <c r="H30" s="548">
        <f t="shared" si="3"/>
        <v>3183945.02244</v>
      </c>
      <c r="J30" s="233"/>
    </row>
    <row r="31" spans="1:10">
      <c r="A31" s="547">
        <f t="shared" si="4"/>
        <v>22</v>
      </c>
      <c r="B31" s="343" t="s">
        <v>85</v>
      </c>
      <c r="C31" s="965">
        <v>0</v>
      </c>
      <c r="D31" s="965">
        <v>3183945.02244</v>
      </c>
      <c r="E31" s="966"/>
      <c r="F31" s="966"/>
      <c r="G31" s="966"/>
      <c r="H31" s="548">
        <f t="shared" si="3"/>
        <v>3183945.02244</v>
      </c>
      <c r="J31" s="233"/>
    </row>
    <row r="32" spans="1:10">
      <c r="A32" s="547">
        <f t="shared" si="4"/>
        <v>23</v>
      </c>
      <c r="B32" s="343" t="s">
        <v>78</v>
      </c>
      <c r="C32" s="965">
        <v>0</v>
      </c>
      <c r="D32" s="965">
        <v>3183945.02244</v>
      </c>
      <c r="E32" s="966"/>
      <c r="F32" s="966"/>
      <c r="G32" s="966"/>
      <c r="H32" s="548">
        <f t="shared" si="3"/>
        <v>3183945.02244</v>
      </c>
      <c r="J32" s="233"/>
    </row>
    <row r="33" spans="1:10">
      <c r="A33" s="547">
        <f t="shared" si="4"/>
        <v>24</v>
      </c>
      <c r="B33" s="343" t="s">
        <v>196</v>
      </c>
      <c r="C33" s="965">
        <v>0</v>
      </c>
      <c r="D33" s="965">
        <v>3183945.02244</v>
      </c>
      <c r="E33" s="966"/>
      <c r="F33" s="966"/>
      <c r="G33" s="966"/>
      <c r="H33" s="548">
        <f t="shared" si="3"/>
        <v>3183945.02244</v>
      </c>
      <c r="J33" s="233"/>
    </row>
    <row r="34" spans="1:10">
      <c r="A34" s="547">
        <f t="shared" si="4"/>
        <v>25</v>
      </c>
      <c r="B34" s="343" t="s">
        <v>481</v>
      </c>
      <c r="C34" s="549">
        <f>AVERAGE(C21:C33)</f>
        <v>0</v>
      </c>
      <c r="D34" s="549">
        <f>AVERAGE(D21:D33)</f>
        <v>3185567.8444800004</v>
      </c>
      <c r="E34" s="549"/>
      <c r="F34" s="549"/>
      <c r="G34" s="549"/>
      <c r="H34" s="549">
        <f>AVERAGE(H21:H33)</f>
        <v>3185567.8444800004</v>
      </c>
      <c r="J34" s="233"/>
    </row>
    <row r="35" spans="1:10">
      <c r="A35" s="547"/>
      <c r="B35" s="343"/>
      <c r="C35" s="549"/>
      <c r="D35" s="549"/>
      <c r="E35" s="549"/>
      <c r="F35" s="549"/>
      <c r="J35" s="233"/>
    </row>
    <row r="36" spans="1:10">
      <c r="J36" s="233"/>
    </row>
    <row r="37" spans="1:10">
      <c r="B37" s="546" t="s">
        <v>208</v>
      </c>
      <c r="C37" s="343" t="str">
        <f>C20</f>
        <v>Constellation Merger</v>
      </c>
      <c r="D37" s="343" t="str">
        <f>D20</f>
        <v>PHI Merger</v>
      </c>
      <c r="E37" s="343"/>
      <c r="F37" s="343"/>
      <c r="G37" s="343"/>
      <c r="H37" s="547" t="s">
        <v>13</v>
      </c>
      <c r="J37" s="233"/>
    </row>
    <row r="38" spans="1:10">
      <c r="A38" s="547">
        <f>A34+1</f>
        <v>26</v>
      </c>
      <c r="B38" s="343" t="s">
        <v>195</v>
      </c>
      <c r="C38" s="965">
        <v>0</v>
      </c>
      <c r="D38" s="965">
        <v>1329143.1730199996</v>
      </c>
      <c r="E38" s="966"/>
      <c r="F38" s="966"/>
      <c r="G38" s="966"/>
      <c r="H38" s="548">
        <f t="shared" ref="H38:H50" si="5">SUM(C38:G38)</f>
        <v>1329143.1730199996</v>
      </c>
      <c r="J38" s="233"/>
    </row>
    <row r="39" spans="1:10">
      <c r="A39" s="547">
        <f>A38+1</f>
        <v>27</v>
      </c>
      <c r="B39" s="343" t="s">
        <v>84</v>
      </c>
      <c r="C39" s="965">
        <v>0</v>
      </c>
      <c r="D39" s="965">
        <v>1389038.6310104425</v>
      </c>
      <c r="E39" s="966"/>
      <c r="F39" s="966"/>
      <c r="G39" s="966"/>
      <c r="H39" s="548">
        <f t="shared" si="5"/>
        <v>1389038.6310104425</v>
      </c>
      <c r="J39" s="233"/>
    </row>
    <row r="40" spans="1:10">
      <c r="A40" s="547">
        <f t="shared" ref="A40:A51" si="6">A39+1</f>
        <v>28</v>
      </c>
      <c r="B40" s="343" t="s">
        <v>83</v>
      </c>
      <c r="C40" s="965">
        <v>0</v>
      </c>
      <c r="D40" s="965">
        <v>1448611.0327670181</v>
      </c>
      <c r="E40" s="966"/>
      <c r="F40" s="966"/>
      <c r="G40" s="966"/>
      <c r="H40" s="548">
        <f t="shared" si="5"/>
        <v>1448611.0327670181</v>
      </c>
      <c r="J40" s="233"/>
    </row>
    <row r="41" spans="1:10">
      <c r="A41" s="547">
        <f t="shared" si="6"/>
        <v>29</v>
      </c>
      <c r="B41" s="343" t="s">
        <v>171</v>
      </c>
      <c r="C41" s="965">
        <v>0</v>
      </c>
      <c r="D41" s="965">
        <v>1507870.4093742373</v>
      </c>
      <c r="E41" s="966"/>
      <c r="F41" s="966"/>
      <c r="G41" s="966"/>
      <c r="H41" s="548">
        <f t="shared" si="5"/>
        <v>1507870.4093742373</v>
      </c>
      <c r="J41" s="233"/>
    </row>
    <row r="42" spans="1:10">
      <c r="A42" s="547">
        <f t="shared" si="6"/>
        <v>30</v>
      </c>
      <c r="B42" s="343" t="s">
        <v>74</v>
      </c>
      <c r="C42" s="965">
        <v>0</v>
      </c>
      <c r="D42" s="965">
        <v>1566826.4804455857</v>
      </c>
      <c r="E42" s="966"/>
      <c r="F42" s="966"/>
      <c r="G42" s="966"/>
      <c r="H42" s="548">
        <f t="shared" si="5"/>
        <v>1566826.4804455857</v>
      </c>
      <c r="J42" s="233"/>
    </row>
    <row r="43" spans="1:10">
      <c r="A43" s="547">
        <f t="shared" si="6"/>
        <v>31</v>
      </c>
      <c r="B43" s="343" t="s">
        <v>73</v>
      </c>
      <c r="C43" s="965">
        <v>0</v>
      </c>
      <c r="D43" s="965">
        <v>1625488.6637948803</v>
      </c>
      <c r="E43" s="966"/>
      <c r="F43" s="966"/>
      <c r="G43" s="966"/>
      <c r="H43" s="548">
        <f t="shared" si="5"/>
        <v>1625488.6637948803</v>
      </c>
      <c r="J43" s="233"/>
    </row>
    <row r="44" spans="1:10">
      <c r="A44" s="547">
        <f t="shared" si="6"/>
        <v>32</v>
      </c>
      <c r="B44" s="343" t="s">
        <v>93</v>
      </c>
      <c r="C44" s="965">
        <v>0</v>
      </c>
      <c r="D44" s="965">
        <v>1683866.0848073254</v>
      </c>
      <c r="E44" s="966"/>
      <c r="F44" s="966"/>
      <c r="G44" s="966"/>
      <c r="H44" s="548">
        <f t="shared" si="5"/>
        <v>1683866.0848073254</v>
      </c>
      <c r="J44" s="233"/>
    </row>
    <row r="45" spans="1:10">
      <c r="A45" s="547">
        <f t="shared" si="6"/>
        <v>33</v>
      </c>
      <c r="B45" s="343" t="s">
        <v>81</v>
      </c>
      <c r="C45" s="965">
        <v>0</v>
      </c>
      <c r="D45" s="965">
        <v>1741967.5855195916</v>
      </c>
      <c r="E45" s="966"/>
      <c r="F45" s="966"/>
      <c r="G45" s="966"/>
      <c r="H45" s="548">
        <f t="shared" si="5"/>
        <v>1741967.5855195916</v>
      </c>
      <c r="J45" s="233"/>
    </row>
    <row r="46" spans="1:10">
      <c r="A46" s="547">
        <f t="shared" si="6"/>
        <v>34</v>
      </c>
      <c r="B46" s="343" t="s">
        <v>172</v>
      </c>
      <c r="C46" s="965">
        <v>0</v>
      </c>
      <c r="D46" s="965">
        <v>1799801.7334179529</v>
      </c>
      <c r="E46" s="966"/>
      <c r="F46" s="966"/>
      <c r="G46" s="966"/>
      <c r="H46" s="548">
        <f t="shared" si="5"/>
        <v>1799801.7334179529</v>
      </c>
      <c r="J46" s="233"/>
    </row>
    <row r="47" spans="1:10">
      <c r="A47" s="547">
        <f t="shared" si="6"/>
        <v>35</v>
      </c>
      <c r="B47" s="343" t="s">
        <v>79</v>
      </c>
      <c r="C47" s="965">
        <v>0</v>
      </c>
      <c r="D47" s="965">
        <v>1857376.8299632368</v>
      </c>
      <c r="E47" s="966"/>
      <c r="F47" s="966"/>
      <c r="G47" s="966"/>
      <c r="H47" s="548">
        <f t="shared" si="5"/>
        <v>1857376.8299632368</v>
      </c>
      <c r="J47" s="233"/>
    </row>
    <row r="48" spans="1:10">
      <c r="A48" s="547">
        <f t="shared" si="6"/>
        <v>36</v>
      </c>
      <c r="B48" s="343" t="s">
        <v>85</v>
      </c>
      <c r="C48" s="965">
        <v>0</v>
      </c>
      <c r="D48" s="965">
        <v>1914700.9188510696</v>
      </c>
      <c r="E48" s="966"/>
      <c r="F48" s="966"/>
      <c r="G48" s="966"/>
      <c r="H48" s="548">
        <f t="shared" si="5"/>
        <v>1914700.9188510696</v>
      </c>
      <c r="J48" s="233"/>
    </row>
    <row r="49" spans="1:10">
      <c r="A49" s="547">
        <f t="shared" si="6"/>
        <v>37</v>
      </c>
      <c r="B49" s="343" t="s">
        <v>78</v>
      </c>
      <c r="C49" s="965">
        <v>0</v>
      </c>
      <c r="D49" s="965">
        <v>1971781.7940156367</v>
      </c>
      <c r="E49" s="966"/>
      <c r="F49" s="966"/>
      <c r="G49" s="966"/>
      <c r="H49" s="548">
        <f t="shared" si="5"/>
        <v>1971781.7940156367</v>
      </c>
      <c r="J49" s="233"/>
    </row>
    <row r="50" spans="1:10">
      <c r="A50" s="547">
        <f t="shared" si="6"/>
        <v>38</v>
      </c>
      <c r="B50" s="343" t="s">
        <v>196</v>
      </c>
      <c r="C50" s="965">
        <v>0</v>
      </c>
      <c r="D50" s="965">
        <v>2028627.0073849196</v>
      </c>
      <c r="E50" s="966"/>
      <c r="F50" s="966"/>
      <c r="G50" s="966"/>
      <c r="H50" s="548">
        <f t="shared" si="5"/>
        <v>2028627.0073849196</v>
      </c>
      <c r="J50" s="233"/>
    </row>
    <row r="51" spans="1:10">
      <c r="A51" s="547">
        <f t="shared" si="6"/>
        <v>39</v>
      </c>
      <c r="B51" s="343" t="s">
        <v>481</v>
      </c>
      <c r="C51" s="549">
        <f>AVERAGE(C38:C50)</f>
        <v>0</v>
      </c>
      <c r="D51" s="549">
        <f>AVERAGE(D38:D50)</f>
        <v>1681930.7957209148</v>
      </c>
      <c r="E51" s="549"/>
      <c r="F51" s="549"/>
      <c r="G51" s="549"/>
      <c r="H51" s="549">
        <f>AVERAGE(H38:H50)</f>
        <v>1681930.7957209148</v>
      </c>
      <c r="J51" s="233"/>
    </row>
    <row r="52" spans="1:10" ht="18.75">
      <c r="B52" s="1064" t="str">
        <f>+'Attachment H-7'!D177</f>
        <v>PECO Energy Company</v>
      </c>
      <c r="C52" s="1064"/>
      <c r="D52" s="1064"/>
      <c r="E52" s="1064"/>
      <c r="F52" s="1064"/>
      <c r="G52" s="1064"/>
    </row>
    <row r="53" spans="1:10" ht="20.25">
      <c r="A53" s="542"/>
      <c r="B53" s="543"/>
      <c r="C53" s="544"/>
      <c r="D53" s="545"/>
      <c r="E53" s="541"/>
      <c r="F53" s="541"/>
      <c r="G53" s="541"/>
      <c r="H53" s="16" t="s">
        <v>154</v>
      </c>
    </row>
    <row r="54" spans="1:10">
      <c r="A54" s="1065" t="str">
        <f>+A3</f>
        <v>Attachment 4E - Cost to Achieve Mergers (Note A)</v>
      </c>
      <c r="B54" s="1065"/>
      <c r="C54" s="1065"/>
      <c r="D54" s="1065"/>
      <c r="E54" s="1065"/>
      <c r="F54" s="1065"/>
      <c r="G54" s="541"/>
    </row>
    <row r="55" spans="1:10">
      <c r="B55" s="369" t="s">
        <v>198</v>
      </c>
      <c r="C55" s="369" t="s">
        <v>199</v>
      </c>
      <c r="D55" s="369" t="s">
        <v>200</v>
      </c>
      <c r="E55" s="369" t="s">
        <v>201</v>
      </c>
      <c r="F55" s="369" t="s">
        <v>203</v>
      </c>
      <c r="G55" s="369" t="s">
        <v>972</v>
      </c>
      <c r="H55" s="369" t="s">
        <v>976</v>
      </c>
    </row>
    <row r="56" spans="1:10">
      <c r="A56" s="541"/>
      <c r="B56" s="546" t="s">
        <v>977</v>
      </c>
      <c r="C56" s="343" t="str">
        <f>C37</f>
        <v>Constellation Merger</v>
      </c>
      <c r="D56" s="343" t="str">
        <f t="shared" ref="D56" si="7">D37</f>
        <v>PHI Merger</v>
      </c>
      <c r="E56" s="343"/>
      <c r="F56" s="343"/>
      <c r="G56" s="343"/>
      <c r="H56" s="547" t="s">
        <v>13</v>
      </c>
    </row>
    <row r="57" spans="1:10">
      <c r="A57" s="547">
        <f>A51+1</f>
        <v>40</v>
      </c>
      <c r="B57" s="343" t="s">
        <v>195</v>
      </c>
      <c r="C57" s="549">
        <f t="shared" ref="C57:D69" si="8">C21-C38</f>
        <v>0</v>
      </c>
      <c r="D57" s="549">
        <f t="shared" si="8"/>
        <v>1875898.5359400003</v>
      </c>
      <c r="E57" s="549">
        <f t="shared" ref="E57:G57" si="9">E21-E38</f>
        <v>0</v>
      </c>
      <c r="F57" s="549">
        <f t="shared" si="9"/>
        <v>0</v>
      </c>
      <c r="G57" s="549">
        <f t="shared" si="9"/>
        <v>0</v>
      </c>
      <c r="H57" s="548">
        <f t="shared" ref="H57:H69" si="10">SUM(C57:G57)</f>
        <v>1875898.5359400003</v>
      </c>
    </row>
    <row r="58" spans="1:10">
      <c r="A58" s="547">
        <f>A57+1</f>
        <v>41</v>
      </c>
      <c r="B58" s="343" t="s">
        <v>84</v>
      </c>
      <c r="C58" s="549">
        <f t="shared" si="8"/>
        <v>0</v>
      </c>
      <c r="D58" s="549">
        <f t="shared" si="8"/>
        <v>1794906.3914295575</v>
      </c>
      <c r="E58" s="549">
        <f t="shared" ref="E58:G58" si="11">E22-E39</f>
        <v>0</v>
      </c>
      <c r="F58" s="549">
        <f t="shared" si="11"/>
        <v>0</v>
      </c>
      <c r="G58" s="549">
        <f t="shared" si="11"/>
        <v>0</v>
      </c>
      <c r="H58" s="548">
        <f t="shared" si="10"/>
        <v>1794906.3914295575</v>
      </c>
    </row>
    <row r="59" spans="1:10">
      <c r="A59" s="547">
        <f t="shared" ref="A59:A70" si="12">A58+1</f>
        <v>42</v>
      </c>
      <c r="B59" s="343" t="s">
        <v>83</v>
      </c>
      <c r="C59" s="549">
        <f t="shared" si="8"/>
        <v>0</v>
      </c>
      <c r="D59" s="549">
        <f t="shared" si="8"/>
        <v>1735333.9896729819</v>
      </c>
      <c r="E59" s="549">
        <f t="shared" ref="E59:G59" si="13">E23-E40</f>
        <v>0</v>
      </c>
      <c r="F59" s="549">
        <f t="shared" si="13"/>
        <v>0</v>
      </c>
      <c r="G59" s="549">
        <f t="shared" si="13"/>
        <v>0</v>
      </c>
      <c r="H59" s="548">
        <f t="shared" si="10"/>
        <v>1735333.9896729819</v>
      </c>
    </row>
    <row r="60" spans="1:10">
      <c r="A60" s="547">
        <f t="shared" si="12"/>
        <v>43</v>
      </c>
      <c r="B60" s="343" t="s">
        <v>171</v>
      </c>
      <c r="C60" s="549">
        <f t="shared" si="8"/>
        <v>0</v>
      </c>
      <c r="D60" s="549">
        <f t="shared" si="8"/>
        <v>1676074.6130657627</v>
      </c>
      <c r="E60" s="549">
        <f t="shared" ref="E60:G60" si="14">E24-E41</f>
        <v>0</v>
      </c>
      <c r="F60" s="549">
        <f t="shared" si="14"/>
        <v>0</v>
      </c>
      <c r="G60" s="549">
        <f t="shared" si="14"/>
        <v>0</v>
      </c>
      <c r="H60" s="548">
        <f t="shared" si="10"/>
        <v>1676074.6130657627</v>
      </c>
    </row>
    <row r="61" spans="1:10">
      <c r="A61" s="547">
        <f t="shared" si="12"/>
        <v>44</v>
      </c>
      <c r="B61" s="343" t="s">
        <v>74</v>
      </c>
      <c r="C61" s="549">
        <f t="shared" si="8"/>
        <v>0</v>
      </c>
      <c r="D61" s="549">
        <f t="shared" si="8"/>
        <v>1617118.5419944143</v>
      </c>
      <c r="E61" s="549">
        <f t="shared" ref="E61:G61" si="15">E25-E42</f>
        <v>0</v>
      </c>
      <c r="F61" s="549">
        <f t="shared" si="15"/>
        <v>0</v>
      </c>
      <c r="G61" s="549">
        <f t="shared" si="15"/>
        <v>0</v>
      </c>
      <c r="H61" s="548">
        <f t="shared" si="10"/>
        <v>1617118.5419944143</v>
      </c>
    </row>
    <row r="62" spans="1:10">
      <c r="A62" s="547">
        <f t="shared" si="12"/>
        <v>45</v>
      </c>
      <c r="B62" s="343" t="s">
        <v>73</v>
      </c>
      <c r="C62" s="549">
        <f t="shared" si="8"/>
        <v>0</v>
      </c>
      <c r="D62" s="549">
        <f t="shared" si="8"/>
        <v>1558456.3586451197</v>
      </c>
      <c r="E62" s="549">
        <f t="shared" ref="E62:G62" si="16">E26-E43</f>
        <v>0</v>
      </c>
      <c r="F62" s="549">
        <f t="shared" si="16"/>
        <v>0</v>
      </c>
      <c r="G62" s="549">
        <f t="shared" si="16"/>
        <v>0</v>
      </c>
      <c r="H62" s="548">
        <f t="shared" si="10"/>
        <v>1558456.3586451197</v>
      </c>
    </row>
    <row r="63" spans="1:10">
      <c r="A63" s="547">
        <f t="shared" si="12"/>
        <v>46</v>
      </c>
      <c r="B63" s="343" t="s">
        <v>93</v>
      </c>
      <c r="C63" s="549">
        <f t="shared" si="8"/>
        <v>0</v>
      </c>
      <c r="D63" s="549">
        <f t="shared" si="8"/>
        <v>1500078.9376326746</v>
      </c>
      <c r="E63" s="549">
        <f t="shared" ref="E63:G63" si="17">E27-E44</f>
        <v>0</v>
      </c>
      <c r="F63" s="549">
        <f t="shared" si="17"/>
        <v>0</v>
      </c>
      <c r="G63" s="549">
        <f t="shared" si="17"/>
        <v>0</v>
      </c>
      <c r="H63" s="548">
        <f t="shared" si="10"/>
        <v>1500078.9376326746</v>
      </c>
    </row>
    <row r="64" spans="1:10">
      <c r="A64" s="547">
        <f t="shared" si="12"/>
        <v>47</v>
      </c>
      <c r="B64" s="343" t="s">
        <v>81</v>
      </c>
      <c r="C64" s="549">
        <f t="shared" si="8"/>
        <v>0</v>
      </c>
      <c r="D64" s="549">
        <f t="shared" si="8"/>
        <v>1441977.4369204084</v>
      </c>
      <c r="E64" s="549">
        <f t="shared" ref="E64:G64" si="18">E28-E45</f>
        <v>0</v>
      </c>
      <c r="F64" s="549">
        <f t="shared" si="18"/>
        <v>0</v>
      </c>
      <c r="G64" s="549">
        <f t="shared" si="18"/>
        <v>0</v>
      </c>
      <c r="H64" s="548">
        <f t="shared" si="10"/>
        <v>1441977.4369204084</v>
      </c>
    </row>
    <row r="65" spans="1:8">
      <c r="A65" s="547">
        <f t="shared" si="12"/>
        <v>48</v>
      </c>
      <c r="B65" s="343" t="s">
        <v>172</v>
      </c>
      <c r="C65" s="549">
        <f t="shared" si="8"/>
        <v>0</v>
      </c>
      <c r="D65" s="549">
        <f t="shared" si="8"/>
        <v>1384143.2890220471</v>
      </c>
      <c r="E65" s="549">
        <f t="shared" ref="E65:G65" si="19">E29-E46</f>
        <v>0</v>
      </c>
      <c r="F65" s="549">
        <f t="shared" si="19"/>
        <v>0</v>
      </c>
      <c r="G65" s="549">
        <f t="shared" si="19"/>
        <v>0</v>
      </c>
      <c r="H65" s="548">
        <f t="shared" si="10"/>
        <v>1384143.2890220471</v>
      </c>
    </row>
    <row r="66" spans="1:8">
      <c r="A66" s="547">
        <f t="shared" si="12"/>
        <v>49</v>
      </c>
      <c r="B66" s="343" t="s">
        <v>79</v>
      </c>
      <c r="C66" s="549">
        <f t="shared" si="8"/>
        <v>0</v>
      </c>
      <c r="D66" s="549">
        <f t="shared" si="8"/>
        <v>1326568.1924767632</v>
      </c>
      <c r="E66" s="549">
        <f t="shared" ref="E66:G66" si="20">E30-E47</f>
        <v>0</v>
      </c>
      <c r="F66" s="549">
        <f t="shared" si="20"/>
        <v>0</v>
      </c>
      <c r="G66" s="549">
        <f t="shared" si="20"/>
        <v>0</v>
      </c>
      <c r="H66" s="548">
        <f t="shared" si="10"/>
        <v>1326568.1924767632</v>
      </c>
    </row>
    <row r="67" spans="1:8">
      <c r="A67" s="547">
        <f t="shared" si="12"/>
        <v>50</v>
      </c>
      <c r="B67" s="343" t="s">
        <v>85</v>
      </c>
      <c r="C67" s="549">
        <f t="shared" si="8"/>
        <v>0</v>
      </c>
      <c r="D67" s="549">
        <f t="shared" si="8"/>
        <v>1269244.1035889303</v>
      </c>
      <c r="E67" s="549">
        <f t="shared" ref="E67:G67" si="21">E31-E48</f>
        <v>0</v>
      </c>
      <c r="F67" s="549">
        <f t="shared" si="21"/>
        <v>0</v>
      </c>
      <c r="G67" s="549">
        <f t="shared" si="21"/>
        <v>0</v>
      </c>
      <c r="H67" s="548">
        <f t="shared" si="10"/>
        <v>1269244.1035889303</v>
      </c>
    </row>
    <row r="68" spans="1:8">
      <c r="A68" s="547">
        <f t="shared" si="12"/>
        <v>51</v>
      </c>
      <c r="B68" s="343" t="s">
        <v>78</v>
      </c>
      <c r="C68" s="549">
        <f t="shared" si="8"/>
        <v>0</v>
      </c>
      <c r="D68" s="549">
        <f t="shared" si="8"/>
        <v>1212163.2284243633</v>
      </c>
      <c r="E68" s="549">
        <f t="shared" ref="E68:G68" si="22">E32-E49</f>
        <v>0</v>
      </c>
      <c r="F68" s="549">
        <f t="shared" si="22"/>
        <v>0</v>
      </c>
      <c r="G68" s="549">
        <f t="shared" si="22"/>
        <v>0</v>
      </c>
      <c r="H68" s="548">
        <f t="shared" si="10"/>
        <v>1212163.2284243633</v>
      </c>
    </row>
    <row r="69" spans="1:8">
      <c r="A69" s="547">
        <f t="shared" si="12"/>
        <v>52</v>
      </c>
      <c r="B69" s="343" t="s">
        <v>196</v>
      </c>
      <c r="C69" s="549">
        <f t="shared" si="8"/>
        <v>0</v>
      </c>
      <c r="D69" s="549">
        <f t="shared" si="8"/>
        <v>1155318.0150550804</v>
      </c>
      <c r="E69" s="549">
        <f t="shared" ref="E69:G69" si="23">E33-E50</f>
        <v>0</v>
      </c>
      <c r="F69" s="549">
        <f t="shared" si="23"/>
        <v>0</v>
      </c>
      <c r="G69" s="549">
        <f t="shared" si="23"/>
        <v>0</v>
      </c>
      <c r="H69" s="548">
        <f t="shared" si="10"/>
        <v>1155318.0150550804</v>
      </c>
    </row>
    <row r="70" spans="1:8">
      <c r="A70" s="547">
        <f t="shared" si="12"/>
        <v>53</v>
      </c>
      <c r="B70" s="343" t="s">
        <v>481</v>
      </c>
      <c r="C70" s="549">
        <f>C34-C51</f>
        <v>0</v>
      </c>
      <c r="D70" s="549">
        <f>AVERAGE(D57:D69)</f>
        <v>1503637.0487590847</v>
      </c>
      <c r="E70" s="549">
        <f t="shared" ref="E70:G70" si="24">AVERAGE(E57:E69)</f>
        <v>0</v>
      </c>
      <c r="F70" s="549">
        <f t="shared" si="24"/>
        <v>0</v>
      </c>
      <c r="G70" s="549">
        <f t="shared" si="24"/>
        <v>0</v>
      </c>
      <c r="H70" s="549">
        <f>AVERAGE(H57:H69)</f>
        <v>1503637.0487590847</v>
      </c>
    </row>
    <row r="71" spans="1:8">
      <c r="A71" s="541"/>
    </row>
    <row r="72" spans="1:8">
      <c r="A72" s="541"/>
    </row>
    <row r="73" spans="1:8">
      <c r="A73" s="541"/>
      <c r="B73" s="546" t="s">
        <v>973</v>
      </c>
      <c r="C73" s="343" t="str">
        <f>C56</f>
        <v>Constellation Merger</v>
      </c>
      <c r="D73" s="343" t="str">
        <f>D56</f>
        <v>PHI Merger</v>
      </c>
      <c r="H73" s="547" t="s">
        <v>13</v>
      </c>
    </row>
    <row r="74" spans="1:8">
      <c r="A74" s="547">
        <f>A70+1</f>
        <v>54</v>
      </c>
      <c r="B74" s="343" t="s">
        <v>84</v>
      </c>
      <c r="C74" s="549">
        <f>C39-C38</f>
        <v>0</v>
      </c>
      <c r="D74" s="549">
        <f>D39-D38</f>
        <v>59895.457990442868</v>
      </c>
      <c r="H74" s="548">
        <f t="shared" ref="H74:H86" si="25">SUM(C74:G74)</f>
        <v>59895.457990442868</v>
      </c>
    </row>
    <row r="75" spans="1:8">
      <c r="A75" s="547">
        <f t="shared" ref="A75:A86" si="26">A74+1</f>
        <v>55</v>
      </c>
      <c r="B75" s="343" t="s">
        <v>83</v>
      </c>
      <c r="C75" s="549">
        <f>C40-C39</f>
        <v>0</v>
      </c>
      <c r="D75" s="549">
        <f>D40-D39</f>
        <v>59572.401756575564</v>
      </c>
      <c r="H75" s="548">
        <f t="shared" si="25"/>
        <v>59572.401756575564</v>
      </c>
    </row>
    <row r="76" spans="1:8">
      <c r="A76" s="547">
        <f t="shared" si="26"/>
        <v>56</v>
      </c>
      <c r="B76" s="343" t="s">
        <v>171</v>
      </c>
      <c r="C76" s="549">
        <f>(C41*31/12-C40)*12/31</f>
        <v>0</v>
      </c>
      <c r="D76" s="549">
        <f t="shared" ref="D76:D85" si="27">D41-D40</f>
        <v>59259.376607219223</v>
      </c>
      <c r="H76" s="548">
        <f t="shared" si="25"/>
        <v>59259.376607219223</v>
      </c>
    </row>
    <row r="77" spans="1:8">
      <c r="A77" s="547">
        <f t="shared" si="26"/>
        <v>57</v>
      </c>
      <c r="B77" s="343" t="s">
        <v>74</v>
      </c>
      <c r="C77" s="549">
        <f>C42-C41*0</f>
        <v>0</v>
      </c>
      <c r="D77" s="549">
        <f t="shared" si="27"/>
        <v>58956.071071348386</v>
      </c>
      <c r="H77" s="548">
        <f t="shared" si="25"/>
        <v>58956.071071348386</v>
      </c>
    </row>
    <row r="78" spans="1:8">
      <c r="A78" s="547">
        <f t="shared" si="26"/>
        <v>58</v>
      </c>
      <c r="B78" s="343" t="s">
        <v>73</v>
      </c>
      <c r="C78" s="549">
        <f t="shared" ref="C78:C85" si="28">C43-C42</f>
        <v>0</v>
      </c>
      <c r="D78" s="549">
        <f t="shared" si="27"/>
        <v>58662.183349294588</v>
      </c>
      <c r="H78" s="548">
        <f t="shared" si="25"/>
        <v>58662.183349294588</v>
      </c>
    </row>
    <row r="79" spans="1:8">
      <c r="A79" s="547">
        <f t="shared" si="26"/>
        <v>59</v>
      </c>
      <c r="B79" s="343" t="s">
        <v>93</v>
      </c>
      <c r="C79" s="549">
        <f t="shared" si="28"/>
        <v>0</v>
      </c>
      <c r="D79" s="549">
        <f t="shared" si="27"/>
        <v>58377.42101244512</v>
      </c>
      <c r="H79" s="548">
        <f t="shared" si="25"/>
        <v>58377.42101244512</v>
      </c>
    </row>
    <row r="80" spans="1:8">
      <c r="A80" s="547">
        <f t="shared" si="26"/>
        <v>60</v>
      </c>
      <c r="B80" s="343" t="s">
        <v>81</v>
      </c>
      <c r="C80" s="549">
        <f t="shared" si="28"/>
        <v>0</v>
      </c>
      <c r="D80" s="549">
        <f t="shared" si="27"/>
        <v>58101.500712266192</v>
      </c>
      <c r="H80" s="548">
        <f t="shared" si="25"/>
        <v>58101.500712266192</v>
      </c>
    </row>
    <row r="81" spans="1:8">
      <c r="A81" s="547">
        <f t="shared" si="26"/>
        <v>61</v>
      </c>
      <c r="B81" s="343" t="s">
        <v>172</v>
      </c>
      <c r="C81" s="549">
        <f t="shared" si="28"/>
        <v>0</v>
      </c>
      <c r="D81" s="549">
        <f t="shared" si="27"/>
        <v>57834.14789836132</v>
      </c>
      <c r="H81" s="548">
        <f t="shared" si="25"/>
        <v>57834.14789836132</v>
      </c>
    </row>
    <row r="82" spans="1:8">
      <c r="A82" s="547">
        <f t="shared" si="26"/>
        <v>62</v>
      </c>
      <c r="B82" s="343" t="s">
        <v>79</v>
      </c>
      <c r="C82" s="549">
        <f t="shared" si="28"/>
        <v>0</v>
      </c>
      <c r="D82" s="549">
        <f t="shared" si="27"/>
        <v>57575.096545283915</v>
      </c>
      <c r="H82" s="548">
        <f t="shared" si="25"/>
        <v>57575.096545283915</v>
      </c>
    </row>
    <row r="83" spans="1:8">
      <c r="A83" s="547">
        <f t="shared" si="26"/>
        <v>63</v>
      </c>
      <c r="B83" s="343" t="s">
        <v>85</v>
      </c>
      <c r="C83" s="549">
        <f t="shared" si="28"/>
        <v>0</v>
      </c>
      <c r="D83" s="549">
        <f t="shared" si="27"/>
        <v>57324.088887832826</v>
      </c>
      <c r="H83" s="548">
        <f t="shared" si="25"/>
        <v>57324.088887832826</v>
      </c>
    </row>
    <row r="84" spans="1:8">
      <c r="A84" s="547">
        <f t="shared" si="26"/>
        <v>64</v>
      </c>
      <c r="B84" s="343" t="s">
        <v>78</v>
      </c>
      <c r="C84" s="549">
        <f t="shared" si="28"/>
        <v>0</v>
      </c>
      <c r="D84" s="549">
        <f t="shared" si="27"/>
        <v>57080.875164567027</v>
      </c>
      <c r="H84" s="548">
        <f t="shared" si="25"/>
        <v>57080.875164567027</v>
      </c>
    </row>
    <row r="85" spans="1:8">
      <c r="A85" s="547">
        <f t="shared" si="26"/>
        <v>65</v>
      </c>
      <c r="B85" s="343" t="s">
        <v>196</v>
      </c>
      <c r="C85" s="549">
        <f t="shared" si="28"/>
        <v>0</v>
      </c>
      <c r="D85" s="549">
        <f t="shared" si="27"/>
        <v>56845.213369282894</v>
      </c>
      <c r="H85" s="548">
        <f t="shared" si="25"/>
        <v>56845.213369282894</v>
      </c>
    </row>
    <row r="86" spans="1:8">
      <c r="A86" s="547">
        <f t="shared" si="26"/>
        <v>66</v>
      </c>
      <c r="B86" s="343" t="s">
        <v>13</v>
      </c>
      <c r="C86" s="549">
        <f>SUM(C74:C85)</f>
        <v>0</v>
      </c>
      <c r="D86" s="549">
        <f>SUM(D74:D85)</f>
        <v>699483.83436491992</v>
      </c>
      <c r="H86" s="548">
        <f t="shared" si="25"/>
        <v>699483.83436491992</v>
      </c>
    </row>
    <row r="87" spans="1:8">
      <c r="H87" s="549"/>
    </row>
    <row r="88" spans="1:8" ht="16.5" thickBot="1">
      <c r="A88" s="550" t="s">
        <v>1260</v>
      </c>
      <c r="H88" s="549"/>
    </row>
    <row r="89" spans="1:8">
      <c r="A89" s="16" t="s">
        <v>1231</v>
      </c>
    </row>
  </sheetData>
  <sheetProtection algorithmName="SHA-512" hashValue="r31CcX2k2r9JllM2WwZWR1vMnBrMO2JGNs7m+tUA7rTp2YEiQqKRDBF8qRcZyA45Po9TmrTuNb0BRA2FdFiajA==" saltValue="NG3oI5QjLh6286H1CGvtBA=="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56"/>
  <sheetViews>
    <sheetView view="pageBreakPreview" topLeftCell="A34" zoomScale="80" zoomScaleNormal="100" zoomScaleSheetLayoutView="80" workbookViewId="0">
      <selection activeCell="E40" sqref="E40"/>
    </sheetView>
  </sheetViews>
  <sheetFormatPr defaultColWidth="14" defaultRowHeight="12.75"/>
  <cols>
    <col min="1" max="1" width="5.77734375" style="551" bestFit="1" customWidth="1"/>
    <col min="2" max="2" width="23.6640625" style="21" customWidth="1"/>
    <col min="3" max="3" width="16.77734375" style="21" customWidth="1"/>
    <col min="4" max="4" width="16.33203125" style="21" customWidth="1"/>
    <col min="5" max="5" width="18.88671875" style="21" customWidth="1"/>
    <col min="6" max="6" width="15.44140625" style="21" customWidth="1"/>
    <col min="7" max="7" width="13.21875" style="21" customWidth="1"/>
    <col min="8" max="8" width="12.44140625" style="21" bestFit="1" customWidth="1"/>
    <col min="9" max="9" width="17.6640625" style="21" bestFit="1" customWidth="1"/>
    <col min="10" max="10" width="16" style="21" customWidth="1"/>
    <col min="11" max="11" width="12.5546875" style="21" bestFit="1" customWidth="1"/>
    <col min="12" max="13" width="13.109375" style="21" customWidth="1"/>
    <col min="14" max="14" width="14" style="21"/>
    <col min="15" max="15" width="10" style="21" bestFit="1" customWidth="1"/>
    <col min="16" max="16384" width="14" style="21"/>
  </cols>
  <sheetData>
    <row r="1" spans="1:15">
      <c r="G1" s="151" t="s">
        <v>192</v>
      </c>
      <c r="M1" s="328" t="s">
        <v>422</v>
      </c>
    </row>
    <row r="2" spans="1:15" ht="15" customHeight="1">
      <c r="G2" s="282" t="s">
        <v>1381</v>
      </c>
    </row>
    <row r="3" spans="1:15">
      <c r="D3" s="22"/>
      <c r="E3" s="22"/>
      <c r="F3" s="22"/>
      <c r="G3" s="24" t="str">
        <f>+'Attachment H-7'!D5</f>
        <v>PECO Energy Company</v>
      </c>
      <c r="H3" s="22"/>
      <c r="J3" s="22"/>
      <c r="K3" s="22"/>
      <c r="L3" s="22"/>
      <c r="M3" s="22"/>
      <c r="N3" s="22"/>
    </row>
    <row r="4" spans="1:15">
      <c r="B4" s="4"/>
    </row>
    <row r="6" spans="1:15" s="555" customFormat="1" ht="69.75" customHeight="1">
      <c r="A6" s="552" t="s">
        <v>155</v>
      </c>
      <c r="B6" s="553" t="s">
        <v>167</v>
      </c>
      <c r="C6" s="553" t="s">
        <v>276</v>
      </c>
      <c r="D6" s="553" t="s">
        <v>245</v>
      </c>
      <c r="E6" s="553" t="s">
        <v>246</v>
      </c>
      <c r="F6" s="553" t="s">
        <v>682</v>
      </c>
      <c r="G6" s="553" t="s">
        <v>277</v>
      </c>
      <c r="H6" s="554" t="s">
        <v>322</v>
      </c>
      <c r="I6" s="553" t="s">
        <v>278</v>
      </c>
      <c r="J6" s="553" t="s">
        <v>761</v>
      </c>
      <c r="K6" s="553" t="s">
        <v>1514</v>
      </c>
      <c r="L6" s="553" t="s">
        <v>1515</v>
      </c>
      <c r="M6" s="553" t="s">
        <v>1553</v>
      </c>
      <c r="O6" s="556"/>
    </row>
    <row r="7" spans="1:15" s="555" customFormat="1">
      <c r="A7" s="552"/>
      <c r="B7" s="553"/>
      <c r="C7" s="557" t="s">
        <v>198</v>
      </c>
      <c r="D7" s="327" t="s">
        <v>199</v>
      </c>
      <c r="E7" s="327" t="s">
        <v>200</v>
      </c>
      <c r="F7" s="558" t="s">
        <v>201</v>
      </c>
      <c r="G7" s="348" t="s">
        <v>203</v>
      </c>
      <c r="H7" s="282" t="s">
        <v>202</v>
      </c>
      <c r="I7" s="282" t="s">
        <v>204</v>
      </c>
      <c r="J7" s="348" t="s">
        <v>205</v>
      </c>
      <c r="K7" s="555" t="s">
        <v>206</v>
      </c>
      <c r="L7" s="555" t="s">
        <v>244</v>
      </c>
      <c r="M7" s="555" t="s">
        <v>248</v>
      </c>
      <c r="O7" s="556"/>
    </row>
    <row r="8" spans="1:15" ht="25.5" customHeight="1">
      <c r="A8" s="559"/>
      <c r="B8" s="336" t="s">
        <v>1382</v>
      </c>
      <c r="C8" s="557">
        <v>1</v>
      </c>
      <c r="D8" s="557">
        <v>2</v>
      </c>
      <c r="E8" s="557">
        <v>3</v>
      </c>
      <c r="F8" s="557"/>
      <c r="G8" s="557">
        <v>11</v>
      </c>
      <c r="H8" s="557">
        <v>12</v>
      </c>
      <c r="I8" s="557">
        <v>16</v>
      </c>
      <c r="J8" s="557"/>
      <c r="O8" s="560"/>
    </row>
    <row r="9" spans="1:15" s="563" customFormat="1" ht="54" customHeight="1">
      <c r="A9" s="559"/>
      <c r="B9" s="561" t="s">
        <v>398</v>
      </c>
      <c r="C9" s="282" t="s">
        <v>399</v>
      </c>
      <c r="D9" s="282" t="s">
        <v>400</v>
      </c>
      <c r="E9" s="282" t="s">
        <v>401</v>
      </c>
      <c r="F9" s="562" t="s">
        <v>683</v>
      </c>
      <c r="G9" s="562" t="s">
        <v>402</v>
      </c>
      <c r="H9" s="562" t="s">
        <v>403</v>
      </c>
      <c r="I9" s="562" t="s">
        <v>1511</v>
      </c>
      <c r="J9" s="562" t="s">
        <v>1576</v>
      </c>
      <c r="K9" s="562" t="s">
        <v>1513</v>
      </c>
      <c r="L9" s="562" t="s">
        <v>1555</v>
      </c>
      <c r="M9" s="562" t="s">
        <v>1554</v>
      </c>
      <c r="O9" s="564"/>
    </row>
    <row r="10" spans="1:15" s="563" customFormat="1" ht="25.5">
      <c r="A10" s="559"/>
      <c r="B10" s="561"/>
      <c r="F10" s="282"/>
      <c r="G10" s="562" t="s">
        <v>1564</v>
      </c>
      <c r="I10" s="282"/>
      <c r="J10" s="282"/>
      <c r="K10" s="282"/>
      <c r="L10" s="282"/>
      <c r="M10" s="282"/>
      <c r="O10" s="564"/>
    </row>
    <row r="11" spans="1:15">
      <c r="A11" s="559"/>
      <c r="B11" s="565"/>
      <c r="C11" s="557"/>
      <c r="D11" s="557"/>
      <c r="E11" s="557"/>
      <c r="F11" s="557"/>
      <c r="G11" s="557"/>
      <c r="H11" s="557"/>
      <c r="I11" s="557"/>
      <c r="J11" s="557"/>
      <c r="O11" s="560"/>
    </row>
    <row r="12" spans="1:15">
      <c r="A12" s="559" t="s">
        <v>242</v>
      </c>
      <c r="B12" s="566" t="s">
        <v>13</v>
      </c>
      <c r="C12" s="967">
        <v>116080855</v>
      </c>
      <c r="D12" s="967">
        <v>10863927</v>
      </c>
      <c r="E12" s="967">
        <v>0</v>
      </c>
      <c r="F12" s="967">
        <v>65204955</v>
      </c>
      <c r="G12" s="967">
        <v>0</v>
      </c>
      <c r="H12" s="567">
        <f>D12-G12</f>
        <v>10863927</v>
      </c>
      <c r="I12" s="567">
        <f>'8 - Depreciation Rates'!K23</f>
        <v>26614067.004447006</v>
      </c>
      <c r="J12" s="567">
        <f>'8 - Depreciation Rates'!K96</f>
        <v>30453567.529146001</v>
      </c>
      <c r="K12" s="567">
        <f>'8 - Depreciation Rates'!K52</f>
        <v>3510302.1184150004</v>
      </c>
      <c r="L12" s="567">
        <f>'8 - Depreciation Rates'!K62</f>
        <v>2676289.91304</v>
      </c>
      <c r="M12" s="567">
        <f>'8 - Depreciation Rates'!K66</f>
        <v>11053896.984160002</v>
      </c>
      <c r="O12" s="568"/>
    </row>
    <row r="13" spans="1:15">
      <c r="A13" s="559"/>
      <c r="B13" s="569"/>
      <c r="C13" s="569"/>
      <c r="D13" s="569"/>
      <c r="E13" s="569"/>
      <c r="F13" s="569"/>
      <c r="G13" s="569"/>
      <c r="H13" s="569"/>
      <c r="I13" s="569"/>
      <c r="J13" s="569"/>
      <c r="N13" s="569"/>
      <c r="O13" s="570"/>
    </row>
    <row r="14" spans="1:15">
      <c r="A14" s="559"/>
      <c r="B14" s="569"/>
      <c r="C14" s="569"/>
      <c r="D14" s="569"/>
      <c r="E14" s="569"/>
      <c r="F14" s="569"/>
      <c r="G14" s="569"/>
      <c r="H14" s="569"/>
      <c r="I14" s="569"/>
      <c r="J14" s="569"/>
      <c r="N14" s="569"/>
      <c r="O14" s="570"/>
    </row>
    <row r="15" spans="1:15" ht="76.5">
      <c r="A15" s="559"/>
      <c r="C15" s="553" t="s">
        <v>661</v>
      </c>
      <c r="D15" s="555" t="s">
        <v>247</v>
      </c>
      <c r="E15" s="553" t="s">
        <v>1452</v>
      </c>
      <c r="F15" s="555" t="s">
        <v>1457</v>
      </c>
      <c r="G15" s="553" t="s">
        <v>1453</v>
      </c>
      <c r="H15" s="553" t="s">
        <v>1577</v>
      </c>
      <c r="I15" s="553" t="s">
        <v>1455</v>
      </c>
      <c r="J15" s="553" t="s">
        <v>1458</v>
      </c>
      <c r="K15" s="553" t="s">
        <v>1179</v>
      </c>
      <c r="L15" s="553" t="s">
        <v>1325</v>
      </c>
      <c r="M15" s="553" t="s">
        <v>1223</v>
      </c>
      <c r="N15" s="569"/>
      <c r="O15" s="62"/>
    </row>
    <row r="16" spans="1:15">
      <c r="A16" s="559"/>
      <c r="C16" s="557" t="s">
        <v>198</v>
      </c>
      <c r="D16" s="327" t="s">
        <v>199</v>
      </c>
      <c r="E16" s="547" t="s">
        <v>1460</v>
      </c>
      <c r="F16" s="558" t="s">
        <v>1461</v>
      </c>
      <c r="G16" s="558" t="s">
        <v>203</v>
      </c>
      <c r="H16" s="558" t="s">
        <v>202</v>
      </c>
      <c r="I16" s="558" t="s">
        <v>204</v>
      </c>
      <c r="J16" s="348" t="s">
        <v>1462</v>
      </c>
      <c r="K16" s="348" t="s">
        <v>206</v>
      </c>
      <c r="L16" s="282" t="s">
        <v>244</v>
      </c>
      <c r="M16" s="282" t="s">
        <v>248</v>
      </c>
      <c r="N16" s="569"/>
      <c r="O16" s="62"/>
    </row>
    <row r="17" spans="1:15">
      <c r="A17" s="559"/>
      <c r="B17" s="336" t="s">
        <v>1383</v>
      </c>
      <c r="C17" s="557">
        <v>17</v>
      </c>
      <c r="D17" s="559">
        <v>19</v>
      </c>
      <c r="E17" s="557">
        <v>23</v>
      </c>
      <c r="F17" s="557">
        <v>24</v>
      </c>
      <c r="G17" s="557">
        <v>26</v>
      </c>
      <c r="H17" s="557">
        <v>27</v>
      </c>
      <c r="I17" s="557">
        <v>28</v>
      </c>
      <c r="J17" s="557">
        <v>29</v>
      </c>
      <c r="K17" s="561">
        <v>38</v>
      </c>
      <c r="L17" s="557">
        <v>39</v>
      </c>
      <c r="M17" s="557">
        <v>40</v>
      </c>
      <c r="N17" s="569"/>
      <c r="O17" s="62"/>
    </row>
    <row r="18" spans="1:15" ht="25.15" customHeight="1">
      <c r="A18" s="559"/>
      <c r="B18" s="561" t="s">
        <v>398</v>
      </c>
      <c r="C18" s="562" t="s">
        <v>1512</v>
      </c>
      <c r="D18" s="282" t="s">
        <v>404</v>
      </c>
      <c r="E18" s="282" t="s">
        <v>1450</v>
      </c>
      <c r="F18" s="21" t="s">
        <v>1476</v>
      </c>
      <c r="G18" s="562" t="s">
        <v>1451</v>
      </c>
      <c r="H18" s="562" t="s">
        <v>1454</v>
      </c>
      <c r="I18" s="562" t="s">
        <v>1456</v>
      </c>
      <c r="J18" s="21" t="s">
        <v>1477</v>
      </c>
      <c r="K18" s="282" t="s">
        <v>1178</v>
      </c>
      <c r="L18" s="562" t="s">
        <v>1228</v>
      </c>
      <c r="M18" s="562" t="s">
        <v>1229</v>
      </c>
      <c r="N18" s="569"/>
      <c r="O18" s="62"/>
    </row>
    <row r="19" spans="1:15" s="563" customFormat="1">
      <c r="A19" s="559"/>
      <c r="B19" s="561"/>
      <c r="N19" s="282"/>
    </row>
    <row r="20" spans="1:15">
      <c r="A20" s="559"/>
      <c r="C20" s="557"/>
      <c r="E20" s="557"/>
      <c r="F20" s="557"/>
      <c r="G20" s="557"/>
      <c r="H20" s="557"/>
      <c r="I20" s="557"/>
      <c r="J20" s="557"/>
      <c r="K20" s="557"/>
      <c r="L20" s="557"/>
      <c r="M20" s="557"/>
      <c r="N20" s="569"/>
    </row>
    <row r="21" spans="1:15">
      <c r="A21" s="559" t="s">
        <v>165</v>
      </c>
      <c r="B21" s="566" t="s">
        <v>13</v>
      </c>
      <c r="C21" s="567">
        <f>'8 - Depreciation Rates'!K38</f>
        <v>18063842.926704001</v>
      </c>
      <c r="D21" s="968">
        <v>0</v>
      </c>
      <c r="E21" s="567">
        <f>'5C - Other Taxes'!E20</f>
        <v>12308308</v>
      </c>
      <c r="F21" s="968">
        <v>0</v>
      </c>
      <c r="G21" s="567">
        <f>'5C - Other Taxes'!E12</f>
        <v>12835970</v>
      </c>
      <c r="H21" s="567">
        <f>'5C - Other Taxes'!E37</f>
        <v>132585408</v>
      </c>
      <c r="I21" s="567">
        <f>'5C - Other Taxes'!E28</f>
        <v>450022</v>
      </c>
      <c r="J21" s="968">
        <v>0</v>
      </c>
      <c r="K21" s="968">
        <v>2976.3507628454327</v>
      </c>
      <c r="L21" s="567">
        <f>'9 - EDIT'!P18+'9 - EDIT'!P20+'9 - EDIT'!P24</f>
        <v>3250819.9806056628</v>
      </c>
      <c r="M21" s="968">
        <v>282655.2075020941</v>
      </c>
      <c r="N21" s="569"/>
    </row>
    <row r="22" spans="1:15">
      <c r="A22" s="559"/>
      <c r="B22" s="571"/>
      <c r="C22" s="572"/>
      <c r="D22" s="572"/>
      <c r="E22" s="572"/>
      <c r="F22" s="572"/>
      <c r="G22" s="572"/>
      <c r="H22" s="572"/>
      <c r="I22" s="572"/>
      <c r="J22" s="572"/>
      <c r="K22" s="572"/>
      <c r="L22" s="572"/>
      <c r="M22" s="572"/>
      <c r="N22" s="569"/>
    </row>
    <row r="23" spans="1:15">
      <c r="B23" s="569"/>
      <c r="C23" s="569"/>
      <c r="D23" s="569"/>
      <c r="E23" s="569"/>
      <c r="F23" s="569"/>
      <c r="G23" s="557" t="s">
        <v>192</v>
      </c>
      <c r="H23" s="569"/>
      <c r="I23" s="569"/>
      <c r="J23" s="569"/>
      <c r="M23" s="328" t="s">
        <v>154</v>
      </c>
      <c r="N23" s="569"/>
      <c r="O23" s="573"/>
    </row>
    <row r="24" spans="1:15">
      <c r="B24" s="569"/>
      <c r="C24" s="569"/>
      <c r="D24" s="569"/>
      <c r="E24" s="569"/>
      <c r="F24" s="569"/>
      <c r="G24" s="557" t="s">
        <v>1381</v>
      </c>
      <c r="H24" s="569"/>
      <c r="I24" s="569"/>
      <c r="J24" s="569"/>
      <c r="N24" s="569"/>
      <c r="O24" s="573"/>
    </row>
    <row r="25" spans="1:15" ht="15.75">
      <c r="A25" s="574"/>
      <c r="B25" s="575"/>
      <c r="C25" s="575"/>
      <c r="D25" s="575"/>
      <c r="E25" s="575"/>
      <c r="F25" s="575"/>
      <c r="G25" s="576" t="str">
        <f>+G3</f>
        <v>PECO Energy Company</v>
      </c>
      <c r="H25" s="575"/>
      <c r="I25" s="575"/>
      <c r="J25" s="575"/>
      <c r="K25" s="541"/>
      <c r="L25" s="541"/>
      <c r="M25" s="541"/>
      <c r="N25" s="569"/>
      <c r="O25" s="573"/>
    </row>
    <row r="26" spans="1:15">
      <c r="B26" s="569"/>
      <c r="C26" s="569"/>
      <c r="D26" s="569"/>
      <c r="E26" s="569"/>
      <c r="F26" s="569"/>
      <c r="G26" s="569"/>
      <c r="H26" s="569"/>
      <c r="I26" s="569"/>
      <c r="J26" s="569"/>
      <c r="N26" s="569"/>
      <c r="O26" s="573"/>
    </row>
    <row r="27" spans="1:15">
      <c r="B27" s="569"/>
      <c r="C27" s="569"/>
      <c r="D27" s="569"/>
      <c r="E27" s="569"/>
      <c r="F27" s="569"/>
      <c r="G27" s="569"/>
      <c r="H27" s="569"/>
      <c r="I27" s="569"/>
      <c r="J27" s="569"/>
      <c r="N27" s="569"/>
      <c r="O27" s="573"/>
    </row>
    <row r="28" spans="1:15" ht="13.5" thickBot="1">
      <c r="A28" s="577"/>
      <c r="B28" s="22"/>
      <c r="C28" s="4"/>
      <c r="D28" s="578"/>
      <c r="E28" s="578"/>
      <c r="F28" s="578"/>
      <c r="G28" s="578"/>
      <c r="H28" s="578"/>
      <c r="I28" s="578"/>
      <c r="J28" s="579" t="s">
        <v>44</v>
      </c>
      <c r="K28" s="580"/>
      <c r="L28" s="4"/>
      <c r="N28" s="581"/>
      <c r="O28" s="581"/>
    </row>
    <row r="29" spans="1:15">
      <c r="A29" s="577">
        <f>+A21+1</f>
        <v>3</v>
      </c>
      <c r="B29" s="22"/>
      <c r="C29" s="4"/>
      <c r="D29" s="578" t="s">
        <v>1224</v>
      </c>
      <c r="E29" s="578"/>
      <c r="F29" s="578"/>
      <c r="G29" s="578"/>
      <c r="H29" s="578"/>
      <c r="I29" s="578"/>
      <c r="J29" s="39">
        <f>'11 - Cost of Capital'!G13</f>
        <v>137274572</v>
      </c>
      <c r="N29" s="569"/>
      <c r="O29" s="569"/>
    </row>
    <row r="30" spans="1:15">
      <c r="A30" s="577"/>
      <c r="B30" s="22"/>
      <c r="C30" s="4"/>
      <c r="D30" s="578"/>
      <c r="E30" s="578"/>
      <c r="F30" s="578"/>
      <c r="G30" s="578"/>
      <c r="H30" s="578"/>
      <c r="I30" s="578"/>
      <c r="J30" s="39"/>
      <c r="N30" s="569"/>
      <c r="O30" s="569"/>
    </row>
    <row r="31" spans="1:15">
      <c r="A31" s="577">
        <f>+A29+1</f>
        <v>4</v>
      </c>
      <c r="B31" s="22"/>
      <c r="C31" s="4"/>
      <c r="D31" s="578" t="s">
        <v>300</v>
      </c>
      <c r="E31" s="578"/>
      <c r="F31" s="578"/>
      <c r="G31" s="578"/>
      <c r="H31" s="578"/>
      <c r="I31" s="578"/>
      <c r="J31" s="879">
        <v>0</v>
      </c>
      <c r="N31" s="569"/>
      <c r="O31" s="569"/>
    </row>
    <row r="32" spans="1:15">
      <c r="A32" s="577"/>
      <c r="B32" s="22"/>
      <c r="C32" s="4"/>
      <c r="D32" s="578"/>
      <c r="E32" s="578"/>
      <c r="F32" s="578"/>
      <c r="G32" s="578"/>
      <c r="H32" s="578"/>
      <c r="I32" s="578"/>
      <c r="J32" s="39"/>
    </row>
    <row r="33" spans="1:12">
      <c r="A33" s="577">
        <f>+A31+1</f>
        <v>5</v>
      </c>
      <c r="B33" s="22"/>
      <c r="C33" s="4"/>
      <c r="D33" s="578" t="s">
        <v>1313</v>
      </c>
      <c r="E33" s="582"/>
      <c r="F33" s="578"/>
      <c r="G33" s="578"/>
      <c r="H33" s="578"/>
      <c r="I33" s="578"/>
      <c r="J33" s="39">
        <f>'11 - Cost of Capital'!P42</f>
        <v>4070854964.0446167</v>
      </c>
    </row>
    <row r="34" spans="1:12">
      <c r="A34" s="577">
        <f>+A33+1</f>
        <v>6</v>
      </c>
      <c r="B34" s="22"/>
      <c r="C34" s="4"/>
      <c r="D34" s="578" t="s">
        <v>1314</v>
      </c>
      <c r="E34" s="578"/>
      <c r="F34" s="578"/>
      <c r="G34" s="578"/>
      <c r="H34" s="578"/>
      <c r="I34" s="578"/>
      <c r="J34" s="39">
        <f>'11 - Cost of Capital'!P43</f>
        <v>0</v>
      </c>
    </row>
    <row r="35" spans="1:12">
      <c r="A35" s="577">
        <f>+A34+1</f>
        <v>7</v>
      </c>
      <c r="B35" s="22"/>
      <c r="C35" s="4"/>
      <c r="D35" s="578" t="s">
        <v>1315</v>
      </c>
      <c r="E35" s="578"/>
      <c r="F35" s="578"/>
      <c r="G35" s="578"/>
      <c r="H35" s="578"/>
      <c r="I35" s="578"/>
      <c r="J35" s="39">
        <f>IF('11 - Cost of Capital'!P38&lt;0, 0, -'11 - Cost of Capital'!P38)</f>
        <v>0</v>
      </c>
    </row>
    <row r="36" spans="1:12" ht="13.5" thickBot="1">
      <c r="A36" s="577">
        <f>+A35+1</f>
        <v>8</v>
      </c>
      <c r="B36" s="22"/>
      <c r="C36" s="4"/>
      <c r="D36" s="578" t="s">
        <v>1316</v>
      </c>
      <c r="E36" s="578"/>
      <c r="F36" s="578"/>
      <c r="G36" s="578"/>
      <c r="H36" s="578"/>
      <c r="I36" s="578"/>
      <c r="J36" s="46">
        <f>-'11 - Cost of Capital'!P41</f>
        <v>-1843551.1546153845</v>
      </c>
    </row>
    <row r="37" spans="1:12">
      <c r="A37" s="577">
        <f>+A36+1</f>
        <v>9</v>
      </c>
      <c r="B37" s="22"/>
      <c r="C37" s="4"/>
      <c r="D37" s="578" t="s">
        <v>301</v>
      </c>
      <c r="E37" s="582" t="s">
        <v>1158</v>
      </c>
      <c r="F37" s="582"/>
      <c r="G37" s="582"/>
      <c r="H37" s="583"/>
      <c r="I37" s="582"/>
      <c r="J37" s="39">
        <f>+J33-J34+J35+J36</f>
        <v>4069011412.8900013</v>
      </c>
    </row>
    <row r="38" spans="1:12">
      <c r="A38" s="577"/>
      <c r="B38" s="22"/>
      <c r="C38" s="4"/>
      <c r="J38" s="39"/>
    </row>
    <row r="39" spans="1:12">
      <c r="A39" s="577"/>
      <c r="B39" s="22"/>
      <c r="C39" s="4"/>
      <c r="F39" s="4"/>
      <c r="G39" s="4"/>
      <c r="H39" s="4"/>
      <c r="I39" s="4"/>
      <c r="J39" s="4"/>
      <c r="K39" s="580"/>
      <c r="L39" s="4"/>
    </row>
    <row r="40" spans="1:12">
      <c r="A40" s="577"/>
      <c r="B40" s="22"/>
      <c r="C40" s="4"/>
      <c r="F40" s="4"/>
      <c r="G40" s="4"/>
      <c r="H40" s="4"/>
      <c r="I40" s="27" t="s">
        <v>52</v>
      </c>
      <c r="J40" s="4"/>
      <c r="K40" s="4"/>
      <c r="L40" s="4"/>
    </row>
    <row r="41" spans="1:12" ht="13.5" thickBot="1">
      <c r="A41" s="577"/>
      <c r="B41" s="22"/>
      <c r="C41" s="4"/>
      <c r="F41" s="35" t="s">
        <v>44</v>
      </c>
      <c r="G41" s="35" t="s">
        <v>53</v>
      </c>
      <c r="H41" s="4"/>
      <c r="I41" s="122"/>
      <c r="J41" s="4"/>
      <c r="K41" s="35" t="s">
        <v>54</v>
      </c>
      <c r="L41" s="4"/>
    </row>
    <row r="42" spans="1:12">
      <c r="A42" s="577">
        <f>+A37+1</f>
        <v>10</v>
      </c>
      <c r="B42" s="22" t="s">
        <v>1319</v>
      </c>
      <c r="C42" s="3" t="s">
        <v>1233</v>
      </c>
      <c r="F42" s="33">
        <f>'11 - Cost of Capital'!P22</f>
        <v>3409418609</v>
      </c>
      <c r="G42" s="42">
        <f>1-G44-G43</f>
        <v>0.45590031584441404</v>
      </c>
      <c r="H42" s="41"/>
      <c r="I42" s="42">
        <f>+J29/F42</f>
        <v>4.0263337461005806E-2</v>
      </c>
      <c r="J42" s="41"/>
      <c r="K42" s="42">
        <f>G42*I42</f>
        <v>1.8356068265422774E-2</v>
      </c>
      <c r="L42" s="104" t="s">
        <v>55</v>
      </c>
    </row>
    <row r="43" spans="1:12">
      <c r="A43" s="577">
        <f>+A42+1</f>
        <v>11</v>
      </c>
      <c r="B43" s="22" t="s">
        <v>1317</v>
      </c>
      <c r="C43" s="3" t="s">
        <v>1232</v>
      </c>
      <c r="F43" s="33">
        <f>J34</f>
        <v>0</v>
      </c>
      <c r="G43" s="41">
        <f>IF(F$45=0,0,F43/F$45)</f>
        <v>0</v>
      </c>
      <c r="H43" s="41"/>
      <c r="I43" s="41">
        <v>0</v>
      </c>
      <c r="J43" s="41"/>
      <c r="K43" s="42">
        <f>G43*I43</f>
        <v>0</v>
      </c>
      <c r="L43" s="4"/>
    </row>
    <row r="44" spans="1:12" ht="13.5" thickBot="1">
      <c r="A44" s="577">
        <f>+A43+1</f>
        <v>12</v>
      </c>
      <c r="B44" s="22" t="s">
        <v>1318</v>
      </c>
      <c r="C44" s="3" t="s">
        <v>1234</v>
      </c>
      <c r="F44" s="36">
        <f>+J37</f>
        <v>4069011412.8900013</v>
      </c>
      <c r="G44" s="42">
        <f>IF(F$45=0,0,IF(F44/F$45&gt;0.5575, 0.5575, F44/F$45))</f>
        <v>0.54409968415558596</v>
      </c>
      <c r="H44" s="136"/>
      <c r="I44" s="42">
        <f>0.5%+9.85%</f>
        <v>0.10349999999999999</v>
      </c>
      <c r="J44" s="41"/>
      <c r="K44" s="584">
        <f>G44*I44</f>
        <v>5.6314317310103147E-2</v>
      </c>
      <c r="L44" s="4"/>
    </row>
    <row r="45" spans="1:12">
      <c r="A45" s="577">
        <f>+A44+1</f>
        <v>13</v>
      </c>
      <c r="B45" s="22" t="s">
        <v>227</v>
      </c>
      <c r="C45" s="3" t="s">
        <v>1159</v>
      </c>
      <c r="F45" s="33">
        <f>SUM(F42:F44)</f>
        <v>7478430021.8900013</v>
      </c>
      <c r="G45" s="41" t="s">
        <v>2</v>
      </c>
      <c r="H45" s="4"/>
      <c r="I45" s="41"/>
      <c r="J45" s="41"/>
      <c r="K45" s="42">
        <f>SUM(K42:K44)</f>
        <v>7.4670385575525924E-2</v>
      </c>
      <c r="L45" s="104" t="s">
        <v>56</v>
      </c>
    </row>
    <row r="46" spans="1:12">
      <c r="A46" s="577"/>
      <c r="G46" s="41"/>
    </row>
    <row r="47" spans="1:12" ht="13.5" thickBot="1">
      <c r="A47" s="585" t="s">
        <v>182</v>
      </c>
    </row>
    <row r="48" spans="1:12">
      <c r="A48" s="559" t="s">
        <v>58</v>
      </c>
      <c r="B48" s="21" t="s">
        <v>1266</v>
      </c>
    </row>
    <row r="49" spans="1:13">
      <c r="A49" s="559" t="s">
        <v>59</v>
      </c>
      <c r="B49" s="21" t="s">
        <v>420</v>
      </c>
    </row>
    <row r="50" spans="1:13">
      <c r="A50" s="559" t="s">
        <v>60</v>
      </c>
      <c r="B50" s="21" t="s">
        <v>768</v>
      </c>
    </row>
    <row r="51" spans="1:13">
      <c r="A51" s="559"/>
      <c r="B51" s="21" t="s">
        <v>1188</v>
      </c>
    </row>
    <row r="52" spans="1:13">
      <c r="A52" s="559"/>
      <c r="B52" s="1023" t="s">
        <v>1389</v>
      </c>
      <c r="C52" s="1023"/>
      <c r="D52" s="1023"/>
      <c r="E52" s="1023"/>
      <c r="F52" s="1023"/>
      <c r="G52" s="1023"/>
      <c r="H52" s="1023"/>
      <c r="I52" s="1023"/>
      <c r="J52" s="1023"/>
      <c r="K52" s="1023"/>
    </row>
    <row r="53" spans="1:13">
      <c r="A53" s="559" t="s">
        <v>61</v>
      </c>
      <c r="B53" s="578" t="s">
        <v>700</v>
      </c>
    </row>
    <row r="54" spans="1:13" ht="41.45" customHeight="1">
      <c r="A54" s="586" t="s">
        <v>62</v>
      </c>
      <c r="B54" s="1030" t="s">
        <v>1157</v>
      </c>
      <c r="C54" s="1030"/>
      <c r="D54" s="1030"/>
      <c r="E54" s="1030"/>
      <c r="F54" s="1030"/>
      <c r="G54" s="1030"/>
      <c r="H54" s="1030"/>
      <c r="I54" s="1030"/>
      <c r="J54" s="1030"/>
      <c r="K54" s="1030"/>
      <c r="L54" s="1030"/>
      <c r="M54" s="1030"/>
    </row>
    <row r="55" spans="1:13">
      <c r="A55" s="559" t="s">
        <v>63</v>
      </c>
      <c r="B55" s="587" t="s">
        <v>1463</v>
      </c>
    </row>
    <row r="56" spans="1:13">
      <c r="A56" s="559" t="s">
        <v>64</v>
      </c>
      <c r="B56" s="21" t="s">
        <v>1225</v>
      </c>
    </row>
  </sheetData>
  <sheetProtection algorithmName="SHA-512" hashValue="NdmlcMxjP6mWhA6mYGUSwEeyhmAQLpeF8LEa1quKeXDDJOFsKRmP/m35DKodlsjdmvjZnym36Y+iBwzj8nZ0mw==" saltValue="N1vVLoDoq25OR4ftmpnvkw=="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H93"/>
  <sheetViews>
    <sheetView view="pageBreakPreview" topLeftCell="A50" zoomScale="70" zoomScaleNormal="90" zoomScaleSheetLayoutView="70" workbookViewId="0">
      <selection activeCell="M54" sqref="M54"/>
    </sheetView>
  </sheetViews>
  <sheetFormatPr defaultColWidth="7.109375" defaultRowHeight="15"/>
  <cols>
    <col min="1" max="1" width="5.77734375" style="590" customWidth="1"/>
    <col min="2" max="2" width="65.88671875" style="588" customWidth="1"/>
    <col min="3" max="3" width="14.109375" style="588" customWidth="1"/>
    <col min="4" max="4" width="13" style="537" customWidth="1"/>
    <col min="5" max="5" width="14.77734375" style="588" bestFit="1" customWidth="1"/>
    <col min="6" max="6" width="14" style="588" customWidth="1"/>
    <col min="7" max="7" width="10.6640625" style="588" bestFit="1" customWidth="1"/>
    <col min="8" max="8" width="12" style="588" customWidth="1"/>
    <col min="9" max="16384" width="7.109375" style="588"/>
  </cols>
  <sheetData>
    <row r="1" spans="1:8">
      <c r="A1" s="1061" t="s">
        <v>681</v>
      </c>
      <c r="B1" s="1061"/>
      <c r="C1" s="1061"/>
      <c r="D1" s="1061"/>
      <c r="H1" s="588" t="s">
        <v>422</v>
      </c>
    </row>
    <row r="2" spans="1:8">
      <c r="A2" s="1066" t="s">
        <v>650</v>
      </c>
      <c r="B2" s="1067"/>
      <c r="C2" s="1067"/>
      <c r="D2" s="1067"/>
      <c r="E2" s="589"/>
    </row>
    <row r="3" spans="1:8">
      <c r="A3" s="1066"/>
      <c r="B3" s="1067"/>
      <c r="C3" s="1067"/>
      <c r="D3" s="1067"/>
      <c r="E3" s="589"/>
    </row>
    <row r="4" spans="1:8">
      <c r="B4" s="591"/>
      <c r="C4" s="533"/>
    </row>
    <row r="5" spans="1:8">
      <c r="B5" s="531" t="s">
        <v>618</v>
      </c>
      <c r="C5" s="592"/>
      <c r="G5" s="593"/>
    </row>
    <row r="6" spans="1:8">
      <c r="A6" s="590">
        <v>1</v>
      </c>
      <c r="B6" s="594" t="s">
        <v>841</v>
      </c>
      <c r="C6" s="530"/>
      <c r="D6" s="595">
        <f>E60</f>
        <v>8608296.7600000016</v>
      </c>
      <c r="G6" s="537"/>
    </row>
    <row r="7" spans="1:8">
      <c r="A7" s="590">
        <f>A6+1</f>
        <v>2</v>
      </c>
      <c r="B7" s="594" t="s">
        <v>842</v>
      </c>
      <c r="C7" s="530"/>
      <c r="D7" s="595">
        <f>E59+F67+E63</f>
        <v>761781.19449210376</v>
      </c>
      <c r="G7" s="537"/>
    </row>
    <row r="8" spans="1:8">
      <c r="A8" s="590">
        <f>A7+1</f>
        <v>3</v>
      </c>
      <c r="B8" s="530" t="s">
        <v>624</v>
      </c>
      <c r="C8" s="592" t="s">
        <v>1160</v>
      </c>
      <c r="D8" s="596">
        <f>SUM(D6:D7)</f>
        <v>9370077.9544921052</v>
      </c>
      <c r="G8" s="537"/>
    </row>
    <row r="9" spans="1:8">
      <c r="B9" s="530"/>
      <c r="C9" s="530"/>
      <c r="D9" s="596"/>
      <c r="G9" s="597"/>
    </row>
    <row r="10" spans="1:8">
      <c r="B10" s="531" t="s">
        <v>771</v>
      </c>
      <c r="C10" s="530"/>
      <c r="F10" s="598"/>
      <c r="G10" s="599"/>
    </row>
    <row r="11" spans="1:8">
      <c r="B11" s="600"/>
      <c r="C11" s="601"/>
      <c r="D11" s="602"/>
      <c r="G11" s="599"/>
    </row>
    <row r="12" spans="1:8">
      <c r="A12" s="590">
        <f>+A8+1</f>
        <v>4</v>
      </c>
      <c r="B12" s="594" t="s">
        <v>619</v>
      </c>
      <c r="C12" s="603"/>
      <c r="D12" s="604">
        <f>E84</f>
        <v>5000280.2799999993</v>
      </c>
      <c r="G12" s="599"/>
    </row>
    <row r="13" spans="1:8" ht="30">
      <c r="A13" s="590">
        <f t="shared" ref="A13:A20" si="0">+A12+1</f>
        <v>5</v>
      </c>
      <c r="B13" s="603" t="s">
        <v>979</v>
      </c>
      <c r="C13" s="603"/>
      <c r="D13" s="604">
        <f>E86</f>
        <v>1078489.58</v>
      </c>
      <c r="G13" s="599"/>
    </row>
    <row r="14" spans="1:8">
      <c r="A14" s="590">
        <f t="shared" si="0"/>
        <v>6</v>
      </c>
      <c r="B14" s="603" t="s">
        <v>713</v>
      </c>
      <c r="C14" s="603"/>
      <c r="D14" s="969">
        <v>0</v>
      </c>
      <c r="G14" s="597"/>
    </row>
    <row r="15" spans="1:8">
      <c r="A15" s="590">
        <f t="shared" si="0"/>
        <v>7</v>
      </c>
      <c r="B15" s="530" t="s">
        <v>843</v>
      </c>
      <c r="C15" s="603"/>
      <c r="D15" s="605">
        <f>H80</f>
        <v>356114.17005511239</v>
      </c>
      <c r="G15" s="599"/>
    </row>
    <row r="16" spans="1:8">
      <c r="A16" s="590">
        <f t="shared" si="0"/>
        <v>8</v>
      </c>
      <c r="B16" s="530" t="s">
        <v>620</v>
      </c>
      <c r="C16" s="606"/>
      <c r="D16" s="969">
        <v>0</v>
      </c>
      <c r="G16" s="537"/>
    </row>
    <row r="17" spans="1:5">
      <c r="A17" s="590">
        <f t="shared" si="0"/>
        <v>9</v>
      </c>
      <c r="B17" s="530" t="s">
        <v>621</v>
      </c>
      <c r="C17" s="603"/>
      <c r="D17" s="969">
        <v>0</v>
      </c>
    </row>
    <row r="18" spans="1:5">
      <c r="A18" s="590">
        <f t="shared" si="0"/>
        <v>10</v>
      </c>
      <c r="B18" s="530" t="s">
        <v>625</v>
      </c>
      <c r="C18" s="530"/>
      <c r="D18" s="969">
        <v>0</v>
      </c>
    </row>
    <row r="19" spans="1:5">
      <c r="A19" s="590">
        <f t="shared" si="0"/>
        <v>11</v>
      </c>
      <c r="B19" s="530" t="s">
        <v>622</v>
      </c>
      <c r="C19" s="592"/>
      <c r="D19" s="969">
        <v>0</v>
      </c>
    </row>
    <row r="20" spans="1:5">
      <c r="A20" s="590">
        <f t="shared" si="0"/>
        <v>12</v>
      </c>
      <c r="B20" s="530" t="s">
        <v>626</v>
      </c>
      <c r="C20" s="592"/>
      <c r="D20" s="969">
        <v>0</v>
      </c>
    </row>
    <row r="21" spans="1:5">
      <c r="B21" s="530"/>
      <c r="C21" s="592"/>
      <c r="D21" s="607"/>
    </row>
    <row r="22" spans="1:5">
      <c r="A22" s="590">
        <f>+A20+1</f>
        <v>13</v>
      </c>
      <c r="B22" s="530" t="s">
        <v>623</v>
      </c>
      <c r="C22" s="592" t="s">
        <v>1174</v>
      </c>
      <c r="D22" s="537">
        <f>SUM(D12:D20)+D8</f>
        <v>15804961.984547216</v>
      </c>
    </row>
    <row r="23" spans="1:5">
      <c r="A23" s="590">
        <f t="shared" ref="A23:A24" si="1">+A22+1</f>
        <v>14</v>
      </c>
      <c r="B23" s="530" t="s">
        <v>627</v>
      </c>
      <c r="C23" s="592"/>
      <c r="D23" s="537">
        <f>+D38</f>
        <v>-5699777.3685974162</v>
      </c>
    </row>
    <row r="24" spans="1:5">
      <c r="A24" s="590">
        <f t="shared" si="1"/>
        <v>15</v>
      </c>
      <c r="B24" s="530" t="s">
        <v>628</v>
      </c>
      <c r="C24" s="592"/>
      <c r="D24" s="537">
        <f>+D22+D23</f>
        <v>10105184.6159498</v>
      </c>
    </row>
    <row r="25" spans="1:5">
      <c r="B25" s="530"/>
      <c r="C25" s="592"/>
    </row>
    <row r="26" spans="1:5" ht="50.25" customHeight="1">
      <c r="B26" s="608" t="s">
        <v>629</v>
      </c>
      <c r="C26" s="592"/>
      <c r="D26" s="607"/>
      <c r="E26" s="609"/>
    </row>
    <row r="27" spans="1:5" ht="87.75" customHeight="1">
      <c r="A27" s="610" t="s">
        <v>792</v>
      </c>
      <c r="B27" s="611" t="s">
        <v>1175</v>
      </c>
      <c r="C27" s="592"/>
      <c r="D27" s="969">
        <v>0</v>
      </c>
    </row>
    <row r="28" spans="1:5" ht="21" customHeight="1">
      <c r="A28" s="610"/>
      <c r="B28" s="530"/>
      <c r="C28" s="592"/>
      <c r="E28" s="609"/>
    </row>
    <row r="29" spans="1:5" ht="60">
      <c r="A29" s="610" t="s">
        <v>793</v>
      </c>
      <c r="B29" s="611" t="s">
        <v>630</v>
      </c>
      <c r="C29" s="592"/>
    </row>
    <row r="30" spans="1:5" ht="14.25" customHeight="1">
      <c r="A30" s="610"/>
      <c r="B30" s="530"/>
      <c r="C30" s="592"/>
      <c r="E30" s="609"/>
    </row>
    <row r="31" spans="1:5" ht="207.75" customHeight="1">
      <c r="A31" s="610" t="s">
        <v>794</v>
      </c>
      <c r="B31" s="612" t="s">
        <v>819</v>
      </c>
      <c r="C31" s="612"/>
    </row>
    <row r="32" spans="1:5">
      <c r="A32" s="610" t="s">
        <v>631</v>
      </c>
      <c r="B32" s="612" t="s">
        <v>632</v>
      </c>
      <c r="C32" s="612"/>
      <c r="D32" s="602">
        <f>+D6+D18+D20</f>
        <v>8608296.7600000016</v>
      </c>
    </row>
    <row r="33" spans="1:8">
      <c r="A33" s="610" t="s">
        <v>633</v>
      </c>
      <c r="B33" s="612" t="s">
        <v>634</v>
      </c>
      <c r="C33" s="613"/>
      <c r="D33" s="602">
        <f>F54+(D32-F54)*'Attachment H-7'!D152</f>
        <v>2958183.1930179074</v>
      </c>
      <c r="E33" s="589"/>
    </row>
    <row r="34" spans="1:8">
      <c r="A34" s="610" t="s">
        <v>635</v>
      </c>
      <c r="B34" s="612" t="s">
        <v>636</v>
      </c>
      <c r="C34" s="612"/>
      <c r="D34" s="602">
        <f>+D32-D33</f>
        <v>5650113.5669820942</v>
      </c>
      <c r="E34" s="607"/>
    </row>
    <row r="35" spans="1:8">
      <c r="A35" s="610" t="s">
        <v>637</v>
      </c>
      <c r="B35" s="612" t="s">
        <v>638</v>
      </c>
      <c r="C35" s="612"/>
      <c r="D35" s="602">
        <f>+D34/2</f>
        <v>2825056.7834910471</v>
      </c>
    </row>
    <row r="36" spans="1:8" ht="45">
      <c r="A36" s="610" t="s">
        <v>639</v>
      </c>
      <c r="B36" s="612" t="s">
        <v>640</v>
      </c>
      <c r="C36" s="612"/>
      <c r="D36" s="602">
        <f>H54</f>
        <v>83462.607911538245</v>
      </c>
    </row>
    <row r="37" spans="1:8">
      <c r="A37" s="610" t="s">
        <v>641</v>
      </c>
      <c r="B37" s="530" t="s">
        <v>642</v>
      </c>
      <c r="C37" s="592"/>
      <c r="D37" s="537">
        <f>+D35+D36</f>
        <v>2908519.3914025854</v>
      </c>
    </row>
    <row r="38" spans="1:8">
      <c r="A38" s="610" t="s">
        <v>643</v>
      </c>
      <c r="B38" s="530" t="s">
        <v>644</v>
      </c>
      <c r="C38" s="592"/>
      <c r="D38" s="537">
        <f>+D37-D32</f>
        <v>-5699777.3685974162</v>
      </c>
    </row>
    <row r="39" spans="1:8" ht="78.599999999999994" customHeight="1">
      <c r="A39" s="610">
        <v>18</v>
      </c>
      <c r="B39" s="611" t="s">
        <v>1161</v>
      </c>
      <c r="C39" s="592"/>
      <c r="D39" s="969">
        <v>0</v>
      </c>
    </row>
    <row r="40" spans="1:8">
      <c r="B40" s="592"/>
      <c r="C40" s="592"/>
    </row>
    <row r="41" spans="1:8">
      <c r="A41" s="590">
        <v>19</v>
      </c>
      <c r="B41" s="592" t="s">
        <v>369</v>
      </c>
      <c r="C41" s="592"/>
      <c r="D41" s="969">
        <v>0</v>
      </c>
    </row>
    <row r="42" spans="1:8">
      <c r="B42" s="592"/>
      <c r="C42" s="592"/>
      <c r="D42" s="607"/>
    </row>
    <row r="43" spans="1:8">
      <c r="A43" s="590">
        <v>20</v>
      </c>
      <c r="B43" s="592" t="s">
        <v>645</v>
      </c>
      <c r="C43" s="592"/>
      <c r="D43" s="614">
        <f>+D22+D27+D39+D41</f>
        <v>15804961.984547216</v>
      </c>
    </row>
    <row r="44" spans="1:8">
      <c r="A44" s="590">
        <v>21</v>
      </c>
      <c r="B44" s="592" t="s">
        <v>369</v>
      </c>
      <c r="C44" s="592"/>
      <c r="D44" s="614"/>
    </row>
    <row r="46" spans="1:8">
      <c r="A46" s="615"/>
      <c r="D46" s="616"/>
      <c r="H46" s="588" t="s">
        <v>154</v>
      </c>
    </row>
    <row r="47" spans="1:8">
      <c r="A47" s="1066" t="s">
        <v>650</v>
      </c>
      <c r="B47" s="1067"/>
      <c r="C47" s="1067"/>
      <c r="D47" s="1067"/>
      <c r="E47" s="589"/>
    </row>
    <row r="49" spans="1:8">
      <c r="B49" s="612" t="s">
        <v>634</v>
      </c>
    </row>
    <row r="50" spans="1:8" ht="60" customHeight="1">
      <c r="B50" s="588" t="s">
        <v>646</v>
      </c>
      <c r="C50" s="617" t="s">
        <v>820</v>
      </c>
      <c r="D50" s="537" t="s">
        <v>846</v>
      </c>
      <c r="E50" s="617" t="s">
        <v>978</v>
      </c>
      <c r="F50" s="617" t="s">
        <v>845</v>
      </c>
      <c r="G50" s="617" t="s">
        <v>847</v>
      </c>
      <c r="H50" s="617" t="s">
        <v>848</v>
      </c>
    </row>
    <row r="51" spans="1:8">
      <c r="A51" s="590" t="s">
        <v>647</v>
      </c>
      <c r="B51" s="970" t="s">
        <v>688</v>
      </c>
      <c r="C51" s="970">
        <v>920000</v>
      </c>
      <c r="D51" s="971">
        <v>635680.65</v>
      </c>
      <c r="E51" s="636">
        <v>0.75</v>
      </c>
      <c r="F51" s="618">
        <f>D51*E51</f>
        <v>476760.48750000005</v>
      </c>
      <c r="G51" s="619">
        <f>'Attachment H-7'!I197</f>
        <v>9.4490855863003556E-2</v>
      </c>
      <c r="H51" s="618">
        <f>D51*G51</f>
        <v>60066.008674050412</v>
      </c>
    </row>
    <row r="52" spans="1:8">
      <c r="A52" s="590" t="s">
        <v>648</v>
      </c>
      <c r="B52" s="972" t="s">
        <v>693</v>
      </c>
      <c r="C52" s="970">
        <v>926000</v>
      </c>
      <c r="D52" s="971">
        <v>247607.02000000002</v>
      </c>
      <c r="E52" s="636">
        <v>0.75</v>
      </c>
      <c r="F52" s="618">
        <f>D52*E52</f>
        <v>185705.26500000001</v>
      </c>
      <c r="G52" s="619">
        <f>G51</f>
        <v>9.4490855863003556E-2</v>
      </c>
      <c r="H52" s="618">
        <f>D52*G52</f>
        <v>23396.599237487841</v>
      </c>
    </row>
    <row r="53" spans="1:8">
      <c r="A53" s="590" t="s">
        <v>296</v>
      </c>
    </row>
    <row r="54" spans="1:8">
      <c r="A54" s="590">
        <v>23</v>
      </c>
      <c r="B54" s="588" t="s">
        <v>649</v>
      </c>
      <c r="D54" s="620">
        <f>SUM(D51:D53)</f>
        <v>883287.67</v>
      </c>
      <c r="E54" s="621"/>
      <c r="F54" s="620">
        <f>SUM(F51:F53)</f>
        <v>662465.75250000006</v>
      </c>
      <c r="G54" s="621"/>
      <c r="H54" s="620">
        <f>SUM(H51:H53)</f>
        <v>83462.607911538245</v>
      </c>
    </row>
    <row r="57" spans="1:8" ht="28.15" customHeight="1">
      <c r="B57" s="622" t="s">
        <v>849</v>
      </c>
      <c r="C57" s="623" t="s">
        <v>844</v>
      </c>
      <c r="D57" s="623" t="s">
        <v>853</v>
      </c>
      <c r="E57" s="623" t="s">
        <v>854</v>
      </c>
      <c r="F57" s="623" t="s">
        <v>855</v>
      </c>
      <c r="G57" s="623" t="s">
        <v>856</v>
      </c>
      <c r="H57" s="624" t="s">
        <v>13</v>
      </c>
    </row>
    <row r="58" spans="1:8">
      <c r="A58" s="590" t="s">
        <v>866</v>
      </c>
      <c r="B58" s="622" t="s">
        <v>857</v>
      </c>
      <c r="C58" s="973">
        <v>13620424.470000001</v>
      </c>
      <c r="D58" s="625">
        <f>C58</f>
        <v>13620424.470000001</v>
      </c>
      <c r="E58" s="626"/>
      <c r="F58" s="626"/>
      <c r="G58" s="626"/>
      <c r="H58" s="627"/>
    </row>
    <row r="59" spans="1:8">
      <c r="A59" s="590" t="s">
        <v>867</v>
      </c>
      <c r="B59" s="622" t="s">
        <v>858</v>
      </c>
      <c r="C59" s="974">
        <v>264492</v>
      </c>
      <c r="D59" s="628"/>
      <c r="E59" s="629">
        <f>C59</f>
        <v>264492</v>
      </c>
      <c r="F59" s="622"/>
      <c r="G59" s="622"/>
      <c r="H59" s="630"/>
    </row>
    <row r="60" spans="1:8">
      <c r="A60" s="590" t="s">
        <v>868</v>
      </c>
      <c r="B60" s="622" t="s">
        <v>1252</v>
      </c>
      <c r="C60" s="974">
        <v>8608296.7600000016</v>
      </c>
      <c r="D60" s="628"/>
      <c r="E60" s="629">
        <f>C60</f>
        <v>8608296.7600000016</v>
      </c>
      <c r="F60" s="622"/>
      <c r="G60" s="622"/>
      <c r="H60" s="630"/>
    </row>
    <row r="61" spans="1:8">
      <c r="A61" s="590" t="s">
        <v>869</v>
      </c>
      <c r="B61" s="622" t="s">
        <v>1253</v>
      </c>
      <c r="C61" s="974">
        <v>3175581.0599999996</v>
      </c>
      <c r="D61" s="628">
        <f>C61</f>
        <v>3175581.0599999996</v>
      </c>
      <c r="E61" s="622"/>
      <c r="F61" s="629"/>
      <c r="G61" s="622"/>
      <c r="H61" s="630"/>
    </row>
    <row r="62" spans="1:8">
      <c r="A62" s="590" t="s">
        <v>1251</v>
      </c>
      <c r="B62" s="622" t="s">
        <v>859</v>
      </c>
      <c r="C62" s="974">
        <v>2458806.1</v>
      </c>
      <c r="D62" s="628"/>
      <c r="E62" s="622"/>
      <c r="F62" s="629">
        <f>C62</f>
        <v>2458806.1</v>
      </c>
      <c r="G62" s="622"/>
      <c r="H62" s="630"/>
    </row>
    <row r="63" spans="1:8">
      <c r="A63" s="590" t="s">
        <v>1653</v>
      </c>
      <c r="B63" s="1005" t="s">
        <v>1654</v>
      </c>
      <c r="C63" s="974">
        <v>42186</v>
      </c>
      <c r="D63" s="628"/>
      <c r="E63" s="629">
        <f>C63</f>
        <v>42186</v>
      </c>
      <c r="F63" s="629"/>
      <c r="G63" s="622"/>
      <c r="H63" s="630"/>
    </row>
    <row r="64" spans="1:8">
      <c r="A64" s="590" t="s">
        <v>296</v>
      </c>
      <c r="B64" s="622"/>
      <c r="C64" s="974"/>
      <c r="D64" s="628"/>
      <c r="E64" s="622"/>
      <c r="F64" s="629"/>
      <c r="G64" s="622"/>
      <c r="H64" s="630"/>
    </row>
    <row r="65" spans="1:8">
      <c r="B65" s="631" t="s">
        <v>870</v>
      </c>
      <c r="C65" s="626">
        <f>SUM(C58:C64)</f>
        <v>28169786.390000004</v>
      </c>
      <c r="D65" s="626">
        <f t="shared" ref="D65:G65" si="2">SUM(D58:D64)</f>
        <v>16796005.530000001</v>
      </c>
      <c r="E65" s="626">
        <f t="shared" si="2"/>
        <v>8914974.7600000016</v>
      </c>
      <c r="F65" s="626">
        <f t="shared" si="2"/>
        <v>2458806.1</v>
      </c>
      <c r="G65" s="626">
        <f t="shared" si="2"/>
        <v>0</v>
      </c>
      <c r="H65" s="627"/>
    </row>
    <row r="66" spans="1:8">
      <c r="B66" s="632" t="s">
        <v>860</v>
      </c>
      <c r="C66" s="622"/>
      <c r="D66" s="633">
        <v>0</v>
      </c>
      <c r="E66" s="633">
        <v>1</v>
      </c>
      <c r="F66" s="634">
        <f>'Attachment H-7'!G53</f>
        <v>0.18509112796332486</v>
      </c>
      <c r="G66" s="634">
        <f>'Attachment H-7'!I197</f>
        <v>9.4490855863003556E-2</v>
      </c>
      <c r="H66" s="622"/>
    </row>
    <row r="67" spans="1:8">
      <c r="B67" s="632" t="s">
        <v>861</v>
      </c>
      <c r="C67" s="622"/>
      <c r="D67" s="625">
        <f>D65*D66</f>
        <v>0</v>
      </c>
      <c r="E67" s="625">
        <f t="shared" ref="E67:G67" si="3">E65*E66</f>
        <v>8914974.7600000016</v>
      </c>
      <c r="F67" s="625">
        <f t="shared" si="3"/>
        <v>455103.19449210376</v>
      </c>
      <c r="G67" s="625">
        <f t="shared" si="3"/>
        <v>0</v>
      </c>
      <c r="H67" s="627">
        <f t="shared" ref="H67" si="4">SUM(D67:G67)</f>
        <v>9370077.9544921052</v>
      </c>
    </row>
    <row r="68" spans="1:8">
      <c r="E68" s="635"/>
    </row>
    <row r="69" spans="1:8">
      <c r="B69" s="622" t="s">
        <v>862</v>
      </c>
      <c r="C69" s="623" t="s">
        <v>844</v>
      </c>
      <c r="D69" s="623" t="s">
        <v>853</v>
      </c>
      <c r="E69" s="623" t="s">
        <v>854</v>
      </c>
      <c r="F69" s="623" t="s">
        <v>855</v>
      </c>
      <c r="G69" s="623" t="s">
        <v>856</v>
      </c>
      <c r="H69" s="624" t="s">
        <v>13</v>
      </c>
    </row>
    <row r="70" spans="1:8">
      <c r="A70" s="590" t="s">
        <v>583</v>
      </c>
      <c r="B70" s="622" t="s">
        <v>863</v>
      </c>
      <c r="C70" s="973">
        <v>-3859745.0366666662</v>
      </c>
      <c r="D70" s="625">
        <f>C70</f>
        <v>-3859745.0366666662</v>
      </c>
      <c r="E70" s="626"/>
      <c r="F70" s="626"/>
      <c r="G70" s="626"/>
      <c r="H70" s="627"/>
    </row>
    <row r="71" spans="1:8">
      <c r="A71" s="590" t="s">
        <v>584</v>
      </c>
      <c r="B71" s="622" t="s">
        <v>1254</v>
      </c>
      <c r="C71" s="974">
        <v>1550258.1400000001</v>
      </c>
      <c r="D71" s="625">
        <f>C71</f>
        <v>1550258.1400000001</v>
      </c>
      <c r="E71" s="629"/>
      <c r="F71" s="622"/>
      <c r="G71" s="622"/>
      <c r="H71" s="630"/>
    </row>
    <row r="72" spans="1:8">
      <c r="A72" s="590" t="s">
        <v>585</v>
      </c>
      <c r="B72" s="622" t="s">
        <v>864</v>
      </c>
      <c r="C72" s="974">
        <v>8613546.870000001</v>
      </c>
      <c r="D72" s="625">
        <f>C72</f>
        <v>8613546.870000001</v>
      </c>
      <c r="E72" s="622"/>
      <c r="F72" s="622"/>
      <c r="G72" s="629"/>
      <c r="H72" s="630"/>
    </row>
    <row r="73" spans="1:8">
      <c r="A73" s="590" t="s">
        <v>586</v>
      </c>
      <c r="B73" s="622" t="s">
        <v>1583</v>
      </c>
      <c r="C73" s="974">
        <v>256012.9</v>
      </c>
      <c r="D73" s="630"/>
      <c r="E73" s="630">
        <f>C73</f>
        <v>256012.9</v>
      </c>
      <c r="F73" s="630"/>
      <c r="G73" s="630"/>
      <c r="H73" s="630"/>
    </row>
    <row r="74" spans="1:8">
      <c r="A74" s="590" t="s">
        <v>587</v>
      </c>
      <c r="B74" s="622" t="s">
        <v>1584</v>
      </c>
      <c r="C74" s="974">
        <v>556.74</v>
      </c>
      <c r="D74" s="630"/>
      <c r="E74" s="630"/>
      <c r="F74" s="630"/>
      <c r="G74" s="630">
        <f>C74</f>
        <v>556.74</v>
      </c>
      <c r="H74" s="630"/>
    </row>
    <row r="75" spans="1:8">
      <c r="A75" s="590" t="s">
        <v>588</v>
      </c>
      <c r="B75" s="622" t="s">
        <v>1585</v>
      </c>
      <c r="C75" s="974">
        <v>1080486.1399999999</v>
      </c>
      <c r="D75" s="630">
        <f>C75</f>
        <v>1080486.1399999999</v>
      </c>
      <c r="E75" s="630"/>
      <c r="F75" s="630"/>
      <c r="G75" s="630"/>
      <c r="H75" s="630"/>
    </row>
    <row r="76" spans="1:8">
      <c r="A76" s="590" t="s">
        <v>589</v>
      </c>
      <c r="B76" s="622" t="s">
        <v>853</v>
      </c>
      <c r="C76" s="974">
        <v>994848.41</v>
      </c>
      <c r="D76" s="1006">
        <v>424350.02999999997</v>
      </c>
      <c r="E76" s="1006">
        <v>-58.8</v>
      </c>
      <c r="F76" s="1006">
        <v>509877.26999999996</v>
      </c>
      <c r="G76" s="1006">
        <v>60679.989999999991</v>
      </c>
      <c r="H76" s="630"/>
    </row>
    <row r="77" spans="1:8">
      <c r="A77" s="590" t="s">
        <v>296</v>
      </c>
      <c r="B77" s="622"/>
      <c r="C77" s="974"/>
      <c r="D77" s="628"/>
      <c r="E77" s="622"/>
      <c r="F77" s="629"/>
      <c r="G77" s="629"/>
      <c r="H77" s="630"/>
    </row>
    <row r="78" spans="1:8">
      <c r="B78" s="631" t="s">
        <v>871</v>
      </c>
      <c r="C78" s="626">
        <f>SUM(C70:C77)</f>
        <v>8635964.163333334</v>
      </c>
      <c r="D78" s="626">
        <f t="shared" ref="D78:G78" si="5">SUM(D70:D77)</f>
        <v>7808896.1433333345</v>
      </c>
      <c r="E78" s="626">
        <f t="shared" si="5"/>
        <v>255954.1</v>
      </c>
      <c r="F78" s="626">
        <f t="shared" si="5"/>
        <v>509877.26999999996</v>
      </c>
      <c r="G78" s="626">
        <f t="shared" si="5"/>
        <v>61236.729999999989</v>
      </c>
      <c r="H78" s="627"/>
    </row>
    <row r="79" spans="1:8">
      <c r="B79" s="632" t="s">
        <v>860</v>
      </c>
      <c r="C79" s="622"/>
      <c r="D79" s="633">
        <v>0</v>
      </c>
      <c r="E79" s="633">
        <v>1</v>
      </c>
      <c r="F79" s="634">
        <f>'Attachment H-7'!G53</f>
        <v>0.18509112796332486</v>
      </c>
      <c r="G79" s="634">
        <f>'Attachment H-7'!I197</f>
        <v>9.4490855863003556E-2</v>
      </c>
      <c r="H79" s="622"/>
    </row>
    <row r="80" spans="1:8">
      <c r="B80" s="632" t="s">
        <v>861</v>
      </c>
      <c r="C80" s="622"/>
      <c r="D80" s="625">
        <f>D78*D79</f>
        <v>0</v>
      </c>
      <c r="E80" s="625">
        <f t="shared" ref="E80" si="6">E78*E79</f>
        <v>255954.1</v>
      </c>
      <c r="F80" s="625">
        <f t="shared" ref="F80" si="7">F78*F79</f>
        <v>94373.759027160733</v>
      </c>
      <c r="G80" s="625">
        <f t="shared" ref="G80" si="8">G78*G79</f>
        <v>5786.311027951665</v>
      </c>
      <c r="H80" s="627">
        <f>SUM(D80:G80)</f>
        <v>356114.17005511239</v>
      </c>
    </row>
    <row r="82" spans="1:8">
      <c r="B82" s="622" t="s">
        <v>865</v>
      </c>
      <c r="C82" s="623" t="s">
        <v>844</v>
      </c>
      <c r="D82" s="623" t="s">
        <v>853</v>
      </c>
      <c r="E82" s="623" t="s">
        <v>854</v>
      </c>
      <c r="F82" s="623" t="s">
        <v>855</v>
      </c>
      <c r="G82" s="623" t="s">
        <v>856</v>
      </c>
      <c r="H82" s="624" t="s">
        <v>13</v>
      </c>
    </row>
    <row r="83" spans="1:8">
      <c r="A83" s="590" t="s">
        <v>873</v>
      </c>
      <c r="B83" s="622" t="s">
        <v>850</v>
      </c>
      <c r="C83" s="973">
        <v>142255073.38000003</v>
      </c>
      <c r="D83" s="625">
        <f>C83</f>
        <v>142255073.38000003</v>
      </c>
      <c r="E83" s="626"/>
      <c r="F83" s="626"/>
      <c r="G83" s="626"/>
      <c r="H83" s="627"/>
    </row>
    <row r="84" spans="1:8">
      <c r="A84" s="590" t="s">
        <v>874</v>
      </c>
      <c r="B84" s="622" t="s">
        <v>851</v>
      </c>
      <c r="C84" s="974">
        <v>5000280.2799999993</v>
      </c>
      <c r="D84" s="625"/>
      <c r="E84" s="625">
        <f>C84</f>
        <v>5000280.2799999993</v>
      </c>
      <c r="F84" s="622"/>
      <c r="G84" s="622"/>
      <c r="H84" s="630"/>
    </row>
    <row r="85" spans="1:8">
      <c r="A85" s="590" t="s">
        <v>875</v>
      </c>
      <c r="B85" s="622" t="s">
        <v>1255</v>
      </c>
      <c r="C85" s="974">
        <v>33519816.267291073</v>
      </c>
      <c r="D85" s="625">
        <f>C85</f>
        <v>33519816.267291073</v>
      </c>
      <c r="E85" s="625"/>
      <c r="F85" s="622"/>
      <c r="G85" s="622"/>
      <c r="H85" s="630"/>
    </row>
    <row r="86" spans="1:8">
      <c r="A86" s="590" t="s">
        <v>876</v>
      </c>
      <c r="B86" s="622" t="s">
        <v>852</v>
      </c>
      <c r="C86" s="974">
        <v>1078489.58</v>
      </c>
      <c r="D86" s="628"/>
      <c r="E86" s="629">
        <f>C86</f>
        <v>1078489.58</v>
      </c>
      <c r="F86" s="622"/>
      <c r="G86" s="622"/>
      <c r="H86" s="630"/>
    </row>
    <row r="87" spans="1:8">
      <c r="A87" s="590" t="s">
        <v>1256</v>
      </c>
      <c r="B87" s="622" t="s">
        <v>853</v>
      </c>
      <c r="C87" s="974">
        <v>2597170.129999998</v>
      </c>
      <c r="D87" s="628">
        <f>C87</f>
        <v>2597170.129999998</v>
      </c>
      <c r="E87" s="622"/>
      <c r="F87" s="629"/>
      <c r="G87" s="629"/>
      <c r="H87" s="630"/>
    </row>
    <row r="88" spans="1:8">
      <c r="A88" s="590" t="s">
        <v>296</v>
      </c>
      <c r="B88" s="622"/>
      <c r="C88" s="974"/>
      <c r="D88" s="628"/>
      <c r="E88" s="622"/>
      <c r="F88" s="629"/>
      <c r="G88" s="629"/>
      <c r="H88" s="630"/>
    </row>
    <row r="89" spans="1:8">
      <c r="B89" s="631" t="s">
        <v>872</v>
      </c>
      <c r="C89" s="626">
        <f>SUM(C83:C88)</f>
        <v>184450829.6372911</v>
      </c>
      <c r="D89" s="626">
        <f t="shared" ref="D89:G89" si="9">SUM(D83:D88)</f>
        <v>178372059.77729109</v>
      </c>
      <c r="E89" s="626">
        <f t="shared" si="9"/>
        <v>6078769.8599999994</v>
      </c>
      <c r="F89" s="626">
        <f t="shared" si="9"/>
        <v>0</v>
      </c>
      <c r="G89" s="626">
        <f t="shared" si="9"/>
        <v>0</v>
      </c>
      <c r="H89" s="627"/>
    </row>
    <row r="90" spans="1:8">
      <c r="B90" s="632" t="s">
        <v>860</v>
      </c>
      <c r="C90" s="622"/>
      <c r="D90" s="633">
        <v>0</v>
      </c>
      <c r="E90" s="633">
        <v>1</v>
      </c>
      <c r="F90" s="634">
        <f>'Attachment H-7'!G53</f>
        <v>0.18509112796332486</v>
      </c>
      <c r="G90" s="634">
        <f>'Attachment H-7'!I197</f>
        <v>9.4490855863003556E-2</v>
      </c>
      <c r="H90" s="622"/>
    </row>
    <row r="91" spans="1:8">
      <c r="B91" s="632" t="s">
        <v>861</v>
      </c>
      <c r="C91" s="622"/>
      <c r="D91" s="625">
        <f>D89*D90</f>
        <v>0</v>
      </c>
      <c r="E91" s="625">
        <f t="shared" ref="E91" si="10">E89*E90</f>
        <v>6078769.8599999994</v>
      </c>
      <c r="F91" s="625">
        <f t="shared" ref="F91" si="11">F89*F90</f>
        <v>0</v>
      </c>
      <c r="G91" s="625">
        <f t="shared" ref="G91" si="12">G89*G90</f>
        <v>0</v>
      </c>
      <c r="H91" s="627">
        <f>SUM(D91:G91)</f>
        <v>6078769.8599999994</v>
      </c>
    </row>
    <row r="93" spans="1:8">
      <c r="B93" s="588" t="s">
        <v>1132</v>
      </c>
    </row>
  </sheetData>
  <sheetProtection algorithmName="SHA-512" hashValue="N1Y77vUFHLPO1xE9YpZ20RKHVYAWk7f7h96EEvFHamVwn4XkDl90xk2s8WsZSxFjkXYh4mWAdKyQ6PSmKTlqkQ==" saltValue="Xv1kziK1uvELx5aFU8Zf7A=="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C65:G69 A15:E15 A52 A51 D58:G58 D59:G59 D60:G60 D61:G61 D62:G62 C78:G82 D70:G70 D71:G71 D72:G72 D73:G73 D74:G74 D75:G75 D87:G87 D83:G83 D84:G84 D85:G85 D86:G86 A40:E40 A39:C39 E39 A42:E50 A41:C41 E41 A14:C14 E14 A21:E26 A16:C16 E16 A17:C17 E17 A18:C18 E18 A19:C19 E19 A20:C20 E20 A28:E38 A27:C27 E27 D77:G77 D64:G64"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31"/>
  <sheetViews>
    <sheetView view="pageBreakPreview" topLeftCell="A10" zoomScale="90" zoomScaleNormal="100" zoomScaleSheetLayoutView="90" workbookViewId="0">
      <selection activeCell="H26" sqref="H26"/>
    </sheetView>
  </sheetViews>
  <sheetFormatPr defaultColWidth="8.88671875" defaultRowHeight="15"/>
  <cols>
    <col min="1" max="1" width="4.109375" style="530" customWidth="1"/>
    <col min="2" max="2" width="36.21875" style="530" customWidth="1"/>
    <col min="3" max="3" width="1.6640625" style="530" customWidth="1"/>
    <col min="4" max="4" width="5.33203125" style="530" bestFit="1" customWidth="1"/>
    <col min="5" max="5" width="17" style="530" bestFit="1" customWidth="1"/>
    <col min="6" max="6" width="2.21875" style="530" customWidth="1"/>
    <col min="7" max="7" width="14.77734375" style="530" bestFit="1" customWidth="1"/>
    <col min="8" max="8" width="17.5546875" style="530" bestFit="1" customWidth="1"/>
    <col min="9" max="9" width="14" style="530" bestFit="1" customWidth="1"/>
    <col min="10" max="10" width="14.77734375" style="530" bestFit="1" customWidth="1"/>
    <col min="11" max="11" width="4.33203125" style="530" customWidth="1"/>
    <col min="12" max="16384" width="8.88671875" style="530"/>
  </cols>
  <sheetData>
    <row r="1" spans="1:10">
      <c r="B1" s="1061" t="str">
        <f>+'Attachment H-7'!D177</f>
        <v>PECO Energy Company</v>
      </c>
      <c r="C1" s="1061"/>
      <c r="D1" s="1061"/>
      <c r="E1" s="1061"/>
      <c r="F1" s="1061"/>
      <c r="G1" s="1061"/>
    </row>
    <row r="2" spans="1:10">
      <c r="B2" s="1066" t="s">
        <v>651</v>
      </c>
      <c r="C2" s="1066"/>
      <c r="D2" s="1066"/>
      <c r="E2" s="1066"/>
      <c r="F2" s="1066"/>
      <c r="G2" s="1066"/>
    </row>
    <row r="4" spans="1:10">
      <c r="B4" s="531"/>
      <c r="C4" s="531"/>
      <c r="D4" s="531"/>
      <c r="E4" s="531"/>
      <c r="F4" s="531"/>
      <c r="G4" s="531"/>
    </row>
    <row r="5" spans="1:10">
      <c r="B5" s="531"/>
    </row>
    <row r="6" spans="1:10">
      <c r="E6" s="637" t="s">
        <v>198</v>
      </c>
      <c r="G6" s="637" t="s">
        <v>199</v>
      </c>
      <c r="H6" s="637" t="s">
        <v>200</v>
      </c>
      <c r="I6" s="638" t="s">
        <v>201</v>
      </c>
      <c r="J6" s="637" t="s">
        <v>203</v>
      </c>
    </row>
    <row r="7" spans="1:10">
      <c r="E7" s="639" t="s">
        <v>801</v>
      </c>
    </row>
    <row r="8" spans="1:10">
      <c r="B8" s="592"/>
      <c r="C8" s="592"/>
      <c r="D8" s="592"/>
      <c r="E8" s="640"/>
      <c r="F8" s="641"/>
      <c r="G8" s="641"/>
      <c r="H8" s="641"/>
      <c r="I8" s="641"/>
      <c r="J8" s="641"/>
    </row>
    <row r="9" spans="1:10">
      <c r="B9" s="642"/>
      <c r="C9" s="643"/>
      <c r="D9" s="644"/>
      <c r="E9" s="645" t="s">
        <v>13</v>
      </c>
      <c r="F9" s="645"/>
      <c r="G9" s="645" t="s">
        <v>685</v>
      </c>
      <c r="H9" s="645" t="s">
        <v>686</v>
      </c>
      <c r="I9" s="645" t="s">
        <v>687</v>
      </c>
      <c r="J9" s="645" t="s">
        <v>1162</v>
      </c>
    </row>
    <row r="10" spans="1:10">
      <c r="A10" s="536">
        <v>1</v>
      </c>
      <c r="B10" s="646" t="s">
        <v>688</v>
      </c>
      <c r="C10" s="592"/>
      <c r="D10" s="647">
        <v>920</v>
      </c>
      <c r="E10" s="975">
        <v>27667179</v>
      </c>
      <c r="F10" s="976"/>
      <c r="G10" s="975">
        <v>27667179</v>
      </c>
      <c r="H10" s="648"/>
      <c r="I10" s="975">
        <v>0</v>
      </c>
      <c r="J10" s="975">
        <v>0</v>
      </c>
    </row>
    <row r="11" spans="1:10">
      <c r="A11" s="536">
        <f>A10+1</f>
        <v>2</v>
      </c>
      <c r="B11" s="646" t="s">
        <v>689</v>
      </c>
      <c r="C11" s="592"/>
      <c r="D11" s="647">
        <v>921</v>
      </c>
      <c r="E11" s="924">
        <v>9038489</v>
      </c>
      <c r="F11" s="977"/>
      <c r="G11" s="924">
        <v>9000154.5</v>
      </c>
      <c r="H11" s="649"/>
      <c r="I11" s="924">
        <v>38334.5</v>
      </c>
      <c r="J11" s="924">
        <v>0</v>
      </c>
    </row>
    <row r="12" spans="1:10">
      <c r="A12" s="536">
        <f t="shared" ref="A12:A24" si="0">A11+1</f>
        <v>3</v>
      </c>
      <c r="B12" s="646" t="s">
        <v>690</v>
      </c>
      <c r="C12" s="592"/>
      <c r="D12" s="647">
        <v>922</v>
      </c>
      <c r="E12" s="924">
        <v>0</v>
      </c>
      <c r="F12" s="977"/>
      <c r="G12" s="924">
        <v>0</v>
      </c>
      <c r="H12" s="649"/>
      <c r="I12" s="924">
        <v>0</v>
      </c>
      <c r="J12" s="924">
        <v>0</v>
      </c>
    </row>
    <row r="13" spans="1:10">
      <c r="A13" s="536">
        <f t="shared" si="0"/>
        <v>4</v>
      </c>
      <c r="B13" s="646" t="s">
        <v>1200</v>
      </c>
      <c r="C13" s="592"/>
      <c r="D13" s="647">
        <v>923</v>
      </c>
      <c r="E13" s="924">
        <v>74403755</v>
      </c>
      <c r="F13" s="977"/>
      <c r="G13" s="924">
        <v>73736716.479999989</v>
      </c>
      <c r="H13" s="649"/>
      <c r="I13" s="924">
        <v>667038.52000000584</v>
      </c>
      <c r="J13" s="924">
        <v>0</v>
      </c>
    </row>
    <row r="14" spans="1:10">
      <c r="A14" s="536">
        <f t="shared" si="0"/>
        <v>5</v>
      </c>
      <c r="B14" s="646" t="s">
        <v>691</v>
      </c>
      <c r="C14" s="592"/>
      <c r="D14" s="647">
        <v>924</v>
      </c>
      <c r="E14" s="924">
        <v>24174</v>
      </c>
      <c r="F14" s="977"/>
      <c r="G14" s="649"/>
      <c r="H14" s="924">
        <v>24174</v>
      </c>
      <c r="I14" s="924">
        <v>0</v>
      </c>
      <c r="J14" s="924">
        <v>0</v>
      </c>
    </row>
    <row r="15" spans="1:10">
      <c r="A15" s="536">
        <f t="shared" si="0"/>
        <v>6</v>
      </c>
      <c r="B15" s="646" t="s">
        <v>692</v>
      </c>
      <c r="C15" s="592"/>
      <c r="D15" s="647">
        <v>925</v>
      </c>
      <c r="E15" s="924">
        <v>13844910</v>
      </c>
      <c r="F15" s="977"/>
      <c r="G15" s="924">
        <v>13844910</v>
      </c>
      <c r="H15" s="649"/>
      <c r="I15" s="924">
        <v>0</v>
      </c>
      <c r="J15" s="924">
        <v>0</v>
      </c>
    </row>
    <row r="16" spans="1:10">
      <c r="A16" s="536">
        <f t="shared" si="0"/>
        <v>7</v>
      </c>
      <c r="B16" s="646" t="s">
        <v>693</v>
      </c>
      <c r="C16" s="592"/>
      <c r="D16" s="650">
        <v>926</v>
      </c>
      <c r="E16" s="924">
        <v>28504054</v>
      </c>
      <c r="F16" s="977"/>
      <c r="G16" s="924">
        <v>28504054</v>
      </c>
      <c r="H16" s="649"/>
      <c r="I16" s="924">
        <v>0</v>
      </c>
      <c r="J16" s="924">
        <v>0</v>
      </c>
    </row>
    <row r="17" spans="1:11">
      <c r="A17" s="536">
        <f t="shared" si="0"/>
        <v>8</v>
      </c>
      <c r="B17" s="646" t="s">
        <v>694</v>
      </c>
      <c r="C17" s="592"/>
      <c r="D17" s="647">
        <v>927</v>
      </c>
      <c r="E17" s="924">
        <v>0</v>
      </c>
      <c r="F17" s="977"/>
      <c r="G17" s="924">
        <v>0</v>
      </c>
      <c r="H17" s="649"/>
      <c r="I17" s="924">
        <v>0</v>
      </c>
      <c r="J17" s="924">
        <v>0</v>
      </c>
    </row>
    <row r="18" spans="1:11">
      <c r="A18" s="536">
        <f t="shared" si="0"/>
        <v>9</v>
      </c>
      <c r="B18" s="646" t="s">
        <v>766</v>
      </c>
      <c r="C18" s="592"/>
      <c r="D18" s="647">
        <v>928</v>
      </c>
      <c r="E18" s="924">
        <v>8049891</v>
      </c>
      <c r="F18" s="977"/>
      <c r="G18" s="924">
        <v>0</v>
      </c>
      <c r="H18" s="649"/>
      <c r="I18" s="924">
        <v>7714062.1899999995</v>
      </c>
      <c r="J18" s="924">
        <v>335828.81000000006</v>
      </c>
    </row>
    <row r="19" spans="1:11">
      <c r="A19" s="536">
        <f t="shared" si="0"/>
        <v>10</v>
      </c>
      <c r="B19" s="646" t="s">
        <v>695</v>
      </c>
      <c r="C19" s="592"/>
      <c r="D19" s="647">
        <v>929</v>
      </c>
      <c r="E19" s="924">
        <v>-2859505</v>
      </c>
      <c r="F19" s="977"/>
      <c r="G19" s="924">
        <v>-2859505</v>
      </c>
      <c r="H19" s="649"/>
      <c r="I19" s="924">
        <v>0</v>
      </c>
      <c r="J19" s="924">
        <v>0</v>
      </c>
    </row>
    <row r="20" spans="1:11">
      <c r="A20" s="536">
        <f t="shared" si="0"/>
        <v>11</v>
      </c>
      <c r="B20" s="646" t="s">
        <v>1163</v>
      </c>
      <c r="C20" s="592"/>
      <c r="D20" s="647">
        <v>930.1</v>
      </c>
      <c r="E20" s="924">
        <v>2643003</v>
      </c>
      <c r="F20" s="977"/>
      <c r="G20" s="924">
        <v>0</v>
      </c>
      <c r="H20" s="649"/>
      <c r="I20" s="924">
        <v>2643003</v>
      </c>
      <c r="J20" s="924">
        <v>0</v>
      </c>
    </row>
    <row r="21" spans="1:11">
      <c r="A21" s="536">
        <f t="shared" si="0"/>
        <v>12</v>
      </c>
      <c r="B21" s="646" t="s">
        <v>1165</v>
      </c>
      <c r="C21" s="592"/>
      <c r="D21" s="647">
        <v>930.2</v>
      </c>
      <c r="E21" s="924">
        <v>3076972</v>
      </c>
      <c r="F21" s="977"/>
      <c r="G21" s="924">
        <v>2445200</v>
      </c>
      <c r="H21" s="649"/>
      <c r="I21" s="924">
        <v>631772</v>
      </c>
      <c r="J21" s="924">
        <v>0</v>
      </c>
    </row>
    <row r="22" spans="1:11">
      <c r="A22" s="536">
        <f t="shared" si="0"/>
        <v>13</v>
      </c>
      <c r="B22" s="646" t="s">
        <v>696</v>
      </c>
      <c r="C22" s="592"/>
      <c r="D22" s="647">
        <v>931</v>
      </c>
      <c r="E22" s="924">
        <v>0</v>
      </c>
      <c r="F22" s="977"/>
      <c r="G22" s="924">
        <v>0</v>
      </c>
      <c r="H22" s="649"/>
      <c r="I22" s="924">
        <v>0</v>
      </c>
      <c r="J22" s="924">
        <v>0</v>
      </c>
    </row>
    <row r="23" spans="1:11">
      <c r="A23" s="536">
        <f t="shared" si="0"/>
        <v>14</v>
      </c>
      <c r="B23" s="651" t="s">
        <v>697</v>
      </c>
      <c r="C23" s="592"/>
      <c r="D23" s="644">
        <v>935</v>
      </c>
      <c r="E23" s="924">
        <v>5960581</v>
      </c>
      <c r="F23" s="977"/>
      <c r="G23" s="924">
        <v>5960581</v>
      </c>
      <c r="H23" s="648"/>
      <c r="I23" s="924">
        <v>0</v>
      </c>
      <c r="J23" s="924">
        <v>0</v>
      </c>
      <c r="K23" s="537"/>
    </row>
    <row r="24" spans="1:11">
      <c r="A24" s="536">
        <f t="shared" si="0"/>
        <v>15</v>
      </c>
      <c r="B24" s="652" t="s">
        <v>1164</v>
      </c>
      <c r="C24" s="592"/>
      <c r="D24" s="533"/>
      <c r="E24" s="653">
        <f>SUM(E10:E23)</f>
        <v>170353503</v>
      </c>
      <c r="F24" s="654"/>
      <c r="G24" s="653">
        <f>SUM(G10:G23)</f>
        <v>158299289.97999999</v>
      </c>
      <c r="H24" s="653">
        <f t="shared" ref="H24:J24" si="1">SUM(H10:H23)</f>
        <v>24174</v>
      </c>
      <c r="I24" s="653">
        <f t="shared" si="1"/>
        <v>11694210.210000005</v>
      </c>
      <c r="J24" s="653">
        <f t="shared" si="1"/>
        <v>335828.81000000006</v>
      </c>
    </row>
    <row r="25" spans="1:11">
      <c r="A25" s="536"/>
      <c r="B25" s="592"/>
      <c r="C25" s="592"/>
      <c r="D25" s="592"/>
      <c r="E25" s="592"/>
      <c r="F25" s="592"/>
      <c r="G25" s="592"/>
      <c r="H25" s="592"/>
      <c r="I25" s="592"/>
      <c r="J25" s="592"/>
    </row>
    <row r="26" spans="1:11">
      <c r="A26" s="536">
        <f>A24+1</f>
        <v>16</v>
      </c>
      <c r="B26" s="592"/>
      <c r="C26" s="592"/>
      <c r="D26" s="592"/>
      <c r="E26" s="655" t="s">
        <v>698</v>
      </c>
      <c r="F26" s="592"/>
      <c r="G26" s="656">
        <f>'Attachment H-7'!I197</f>
        <v>9.4490855863003556E-2</v>
      </c>
      <c r="H26" s="656">
        <f>'Attachment H-7'!G53</f>
        <v>0.18509112796332486</v>
      </c>
      <c r="I26" s="656">
        <v>0</v>
      </c>
      <c r="J26" s="656">
        <v>1</v>
      </c>
    </row>
    <row r="27" spans="1:11" ht="16.5">
      <c r="A27" s="536">
        <f t="shared" ref="A27:A28" si="2">A26+1</f>
        <v>17</v>
      </c>
      <c r="B27" s="592"/>
      <c r="C27" s="592"/>
      <c r="D27" s="592"/>
      <c r="E27" s="655" t="s">
        <v>1166</v>
      </c>
      <c r="F27" s="592"/>
      <c r="G27" s="657">
        <f>G24*G26</f>
        <v>14957835.392715981</v>
      </c>
      <c r="H27" s="657">
        <f t="shared" ref="H27" si="3">H24*H26</f>
        <v>4474.3929273854155</v>
      </c>
      <c r="I27" s="657">
        <f t="shared" ref="I27:J27" si="4">I24*I26</f>
        <v>0</v>
      </c>
      <c r="J27" s="657">
        <f t="shared" si="4"/>
        <v>335828.81000000006</v>
      </c>
    </row>
    <row r="28" spans="1:11" ht="16.5">
      <c r="A28" s="536">
        <f t="shared" si="2"/>
        <v>18</v>
      </c>
      <c r="I28" s="655" t="s">
        <v>1167</v>
      </c>
      <c r="J28" s="658">
        <f>SUM(G27:J27)</f>
        <v>15298138.595643368</v>
      </c>
      <c r="K28" s="659"/>
    </row>
    <row r="29" spans="1:11" ht="15.75" thickBot="1">
      <c r="A29" s="660" t="s">
        <v>182</v>
      </c>
    </row>
    <row r="30" spans="1:11" ht="16.5">
      <c r="A30" s="530" t="s">
        <v>1168</v>
      </c>
    </row>
    <row r="31" spans="1:11" ht="16.5">
      <c r="A31" s="530" t="s">
        <v>1169</v>
      </c>
    </row>
  </sheetData>
  <sheetProtection algorithmName="SHA-512" hashValue="sjvJFb+C1xzuRXd92DMSVVA9wiXavu/EDK1vI1eiH0FYEesDIPRiFs+QLAFGfaDnlCqpEyLhbFvJJtNqP6mzbw==" saltValue="SfDbKrLl3RYZhLkUCh4hgA==" spinCount="100000" sheet="1" objects="1" scenarios="1"/>
  <mergeCells count="2">
    <mergeCell ref="B1:G1"/>
    <mergeCell ref="B2:G2"/>
  </mergeCells>
  <pageMargins left="0.7"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codeName="Sheet15">
    <pageSetUpPr fitToPage="1"/>
  </sheetPr>
  <dimension ref="A1:H64"/>
  <sheetViews>
    <sheetView view="pageBreakPreview" zoomScale="60" zoomScaleNormal="50" workbookViewId="0">
      <selection activeCell="F43" sqref="F43"/>
    </sheetView>
  </sheetViews>
  <sheetFormatPr defaultColWidth="8.88671875" defaultRowHeight="15"/>
  <cols>
    <col min="1" max="1" width="4.6640625" style="661" customWidth="1"/>
    <col min="2" max="2" width="3.6640625" style="661" customWidth="1"/>
    <col min="3" max="3" width="74.6640625" style="661" customWidth="1"/>
    <col min="4" max="4" width="11.21875" style="661" customWidth="1"/>
    <col min="5" max="5" width="11.77734375" style="667" customWidth="1"/>
    <col min="6" max="6" width="11.88671875" style="661" customWidth="1"/>
    <col min="7" max="7" width="12" style="661" customWidth="1"/>
    <col min="8" max="16384" width="8.88671875" style="661"/>
  </cols>
  <sheetData>
    <row r="1" spans="1:8">
      <c r="A1" s="1068" t="str">
        <f>'Attachment H-7'!D5</f>
        <v>PECO Energy Company</v>
      </c>
      <c r="B1" s="1068"/>
      <c r="C1" s="1068"/>
      <c r="D1" s="1068"/>
      <c r="E1" s="1068"/>
      <c r="F1" s="1068"/>
      <c r="G1" s="1068"/>
      <c r="H1" s="1068"/>
    </row>
    <row r="2" spans="1:8">
      <c r="A2" s="1069" t="s">
        <v>1413</v>
      </c>
      <c r="B2" s="1069"/>
      <c r="C2" s="1069"/>
      <c r="D2" s="1069"/>
      <c r="E2" s="1069"/>
      <c r="F2" s="1069"/>
      <c r="G2" s="1069"/>
      <c r="H2" s="1069"/>
    </row>
    <row r="4" spans="1:8">
      <c r="D4" s="592"/>
      <c r="E4" s="662" t="s">
        <v>1414</v>
      </c>
    </row>
    <row r="5" spans="1:8">
      <c r="A5" s="663" t="s">
        <v>1438</v>
      </c>
      <c r="B5" s="663"/>
      <c r="D5" s="592"/>
      <c r="E5" s="662" t="s">
        <v>1415</v>
      </c>
    </row>
    <row r="6" spans="1:8">
      <c r="A6" s="663"/>
      <c r="B6" s="663"/>
      <c r="D6" s="592"/>
      <c r="E6" s="662"/>
    </row>
    <row r="7" spans="1:8">
      <c r="A7" s="664"/>
      <c r="B7" s="663" t="s">
        <v>1445</v>
      </c>
      <c r="D7" s="592"/>
      <c r="E7" s="665"/>
    </row>
    <row r="8" spans="1:8">
      <c r="A8" s="666" t="s">
        <v>508</v>
      </c>
      <c r="C8" s="978" t="s">
        <v>1635</v>
      </c>
      <c r="D8" s="592"/>
      <c r="E8" s="979">
        <v>7579064</v>
      </c>
    </row>
    <row r="9" spans="1:8">
      <c r="A9" s="666" t="s">
        <v>509</v>
      </c>
      <c r="B9" s="667"/>
      <c r="C9" s="978" t="s">
        <v>1416</v>
      </c>
      <c r="D9" s="592"/>
      <c r="E9" s="979">
        <v>5256906</v>
      </c>
    </row>
    <row r="10" spans="1:8">
      <c r="A10" s="666" t="s">
        <v>510</v>
      </c>
      <c r="C10" s="978"/>
      <c r="D10" s="592"/>
      <c r="E10" s="979"/>
    </row>
    <row r="11" spans="1:8">
      <c r="A11" s="666" t="s">
        <v>296</v>
      </c>
      <c r="C11" s="978"/>
      <c r="D11" s="592"/>
      <c r="E11" s="980"/>
    </row>
    <row r="12" spans="1:8">
      <c r="A12" s="666">
        <v>1</v>
      </c>
      <c r="B12" s="663" t="s">
        <v>1432</v>
      </c>
      <c r="D12" s="592"/>
      <c r="E12" s="668">
        <f>SUM(E8:E11)</f>
        <v>12835970</v>
      </c>
    </row>
    <row r="13" spans="1:8">
      <c r="A13" s="664"/>
      <c r="D13" s="592"/>
      <c r="E13" s="669"/>
    </row>
    <row r="14" spans="1:8">
      <c r="A14" s="664"/>
      <c r="D14" s="592"/>
      <c r="E14" s="669"/>
    </row>
    <row r="15" spans="1:8">
      <c r="A15" s="664"/>
      <c r="B15" s="663" t="s">
        <v>1447</v>
      </c>
      <c r="D15" s="592"/>
      <c r="E15" s="670"/>
    </row>
    <row r="16" spans="1:8">
      <c r="A16" s="666" t="s">
        <v>1263</v>
      </c>
      <c r="C16" s="958" t="s">
        <v>1417</v>
      </c>
      <c r="D16" s="592"/>
      <c r="E16" s="979">
        <v>49816</v>
      </c>
    </row>
    <row r="17" spans="1:5">
      <c r="A17" s="666" t="s">
        <v>1434</v>
      </c>
      <c r="C17" s="958" t="s">
        <v>1418</v>
      </c>
      <c r="D17" s="592"/>
      <c r="E17" s="979">
        <v>11940482</v>
      </c>
    </row>
    <row r="18" spans="1:5">
      <c r="A18" s="666" t="s">
        <v>1435</v>
      </c>
      <c r="C18" s="958" t="s">
        <v>1419</v>
      </c>
      <c r="D18" s="592"/>
      <c r="E18" s="979">
        <v>318010</v>
      </c>
    </row>
    <row r="19" spans="1:5">
      <c r="A19" s="666" t="s">
        <v>296</v>
      </c>
      <c r="C19" s="978"/>
      <c r="D19" s="592"/>
      <c r="E19" s="980"/>
    </row>
    <row r="20" spans="1:5">
      <c r="A20" s="666">
        <v>2</v>
      </c>
      <c r="B20" s="663" t="s">
        <v>1433</v>
      </c>
      <c r="D20" s="592"/>
      <c r="E20" s="671">
        <f>SUM(E16:E19)</f>
        <v>12308308</v>
      </c>
    </row>
    <row r="21" spans="1:5">
      <c r="A21" s="664"/>
      <c r="B21" s="663"/>
      <c r="C21" s="669"/>
      <c r="D21" s="592"/>
    </row>
    <row r="22" spans="1:5">
      <c r="A22" s="664"/>
      <c r="B22" s="663"/>
      <c r="C22" s="669"/>
      <c r="D22" s="592"/>
    </row>
    <row r="23" spans="1:5">
      <c r="A23" s="664"/>
      <c r="B23" s="663" t="s">
        <v>1446</v>
      </c>
      <c r="D23" s="592"/>
      <c r="E23" s="665"/>
    </row>
    <row r="24" spans="1:5">
      <c r="A24" s="666" t="s">
        <v>387</v>
      </c>
      <c r="C24" s="958" t="s">
        <v>1420</v>
      </c>
      <c r="D24" s="592"/>
      <c r="E24" s="979">
        <v>446333</v>
      </c>
    </row>
    <row r="25" spans="1:5">
      <c r="A25" s="666" t="s">
        <v>388</v>
      </c>
      <c r="C25" s="958" t="s">
        <v>1421</v>
      </c>
      <c r="D25" s="592"/>
      <c r="E25" s="979">
        <v>3689</v>
      </c>
    </row>
    <row r="26" spans="1:5">
      <c r="A26" s="666" t="s">
        <v>389</v>
      </c>
      <c r="C26" s="958"/>
      <c r="D26" s="592"/>
      <c r="E26" s="979"/>
    </row>
    <row r="27" spans="1:5">
      <c r="A27" s="666" t="s">
        <v>296</v>
      </c>
      <c r="C27" s="978"/>
      <c r="D27" s="592"/>
      <c r="E27" s="980"/>
    </row>
    <row r="28" spans="1:5">
      <c r="A28" s="666">
        <v>3</v>
      </c>
      <c r="B28" s="663" t="s">
        <v>1436</v>
      </c>
      <c r="D28" s="592"/>
      <c r="E28" s="671">
        <f>SUM(E24:E27)</f>
        <v>450022</v>
      </c>
    </row>
    <row r="29" spans="1:5">
      <c r="A29" s="666"/>
      <c r="D29" s="592"/>
    </row>
    <row r="30" spans="1:5">
      <c r="A30" s="666">
        <v>4</v>
      </c>
      <c r="B30" s="663" t="s">
        <v>1437</v>
      </c>
      <c r="D30" s="592"/>
      <c r="E30" s="672">
        <f>E12+E20+E28</f>
        <v>25594300</v>
      </c>
    </row>
    <row r="31" spans="1:5">
      <c r="A31" s="666"/>
      <c r="C31" s="673"/>
      <c r="D31" s="592"/>
    </row>
    <row r="32" spans="1:5">
      <c r="A32" s="666"/>
      <c r="B32" s="663" t="s">
        <v>1479</v>
      </c>
      <c r="D32" s="592"/>
    </row>
    <row r="33" spans="1:7">
      <c r="A33" s="666" t="s">
        <v>1439</v>
      </c>
      <c r="C33" s="958" t="s">
        <v>1590</v>
      </c>
      <c r="D33" s="592"/>
      <c r="E33" s="979">
        <v>1089911</v>
      </c>
    </row>
    <row r="34" spans="1:7">
      <c r="A34" s="666" t="s">
        <v>1440</v>
      </c>
      <c r="C34" s="958" t="s">
        <v>1634</v>
      </c>
      <c r="D34" s="592"/>
      <c r="E34" s="979">
        <v>131374951</v>
      </c>
    </row>
    <row r="35" spans="1:7">
      <c r="A35" s="666" t="s">
        <v>1441</v>
      </c>
      <c r="C35" s="958" t="s">
        <v>1422</v>
      </c>
      <c r="D35" s="592"/>
      <c r="E35" s="979">
        <v>120546</v>
      </c>
    </row>
    <row r="36" spans="1:7">
      <c r="A36" s="666" t="s">
        <v>296</v>
      </c>
      <c r="C36" s="978"/>
      <c r="D36" s="592"/>
      <c r="E36" s="979"/>
    </row>
    <row r="37" spans="1:7">
      <c r="A37" s="666">
        <v>5</v>
      </c>
      <c r="B37" s="663" t="s">
        <v>1471</v>
      </c>
      <c r="C37" s="652"/>
      <c r="D37" s="592"/>
      <c r="E37" s="671">
        <f>SUM(E33:E36)</f>
        <v>132585408</v>
      </c>
    </row>
    <row r="38" spans="1:7">
      <c r="A38" s="666"/>
      <c r="C38" s="592"/>
      <c r="D38" s="592"/>
      <c r="E38" s="671"/>
    </row>
    <row r="39" spans="1:7">
      <c r="A39" s="666">
        <v>6</v>
      </c>
      <c r="B39" s="652" t="s">
        <v>1442</v>
      </c>
      <c r="C39" s="674"/>
      <c r="D39" s="592"/>
      <c r="E39" s="671">
        <f>E37+E30</f>
        <v>158179708</v>
      </c>
    </row>
    <row r="40" spans="1:7">
      <c r="A40" s="666">
        <f>A39+1</f>
        <v>7</v>
      </c>
      <c r="B40" s="652" t="s">
        <v>1444</v>
      </c>
      <c r="C40" s="674"/>
      <c r="D40" s="675"/>
      <c r="E40" s="981">
        <v>158179708</v>
      </c>
      <c r="F40" s="676"/>
      <c r="G40" s="676"/>
    </row>
    <row r="41" spans="1:7">
      <c r="A41" s="666">
        <f>A40+1</f>
        <v>8</v>
      </c>
      <c r="B41" s="592"/>
      <c r="C41" s="677" t="s">
        <v>1443</v>
      </c>
      <c r="D41" s="677"/>
      <c r="E41" s="538">
        <f>+E39-E40</f>
        <v>0</v>
      </c>
      <c r="F41" s="678"/>
      <c r="G41" s="676"/>
    </row>
    <row r="42" spans="1:7">
      <c r="A42" s="666"/>
      <c r="B42" s="592"/>
      <c r="C42" s="677"/>
      <c r="D42" s="677"/>
      <c r="E42" s="538"/>
      <c r="F42" s="678"/>
      <c r="G42" s="676"/>
    </row>
    <row r="43" spans="1:7">
      <c r="A43" s="666"/>
      <c r="B43" s="652" t="s">
        <v>1478</v>
      </c>
      <c r="C43" s="677"/>
      <c r="D43" s="677"/>
      <c r="E43" s="538"/>
      <c r="F43" s="678"/>
      <c r="G43" s="676"/>
    </row>
    <row r="44" spans="1:7">
      <c r="A44" s="666" t="s">
        <v>1448</v>
      </c>
      <c r="B44" s="592"/>
      <c r="C44" s="681"/>
      <c r="D44" s="677"/>
      <c r="E44" s="682"/>
      <c r="F44" s="678"/>
      <c r="G44" s="676"/>
    </row>
    <row r="45" spans="1:7">
      <c r="A45" s="666" t="s">
        <v>1449</v>
      </c>
      <c r="B45" s="592"/>
      <c r="C45" s="681"/>
      <c r="D45" s="677"/>
      <c r="E45" s="682"/>
      <c r="F45" s="678"/>
      <c r="G45" s="676"/>
    </row>
    <row r="46" spans="1:7">
      <c r="A46" s="666" t="s">
        <v>296</v>
      </c>
      <c r="B46" s="592"/>
      <c r="C46" s="681"/>
      <c r="D46" s="677"/>
      <c r="E46" s="682"/>
      <c r="F46" s="678"/>
      <c r="G46" s="676"/>
    </row>
    <row r="47" spans="1:7">
      <c r="A47" s="666">
        <v>9</v>
      </c>
      <c r="B47" s="592"/>
      <c r="C47" s="677" t="s">
        <v>1474</v>
      </c>
      <c r="D47" s="677"/>
      <c r="E47" s="538">
        <f>SUM(E44:E46)</f>
        <v>0</v>
      </c>
      <c r="F47" s="678"/>
      <c r="G47" s="676"/>
    </row>
    <row r="48" spans="1:7">
      <c r="A48" s="666"/>
      <c r="B48" s="592"/>
      <c r="C48" s="677"/>
      <c r="D48" s="677"/>
      <c r="E48" s="538"/>
      <c r="F48" s="678"/>
      <c r="G48" s="676"/>
    </row>
    <row r="49" spans="1:7">
      <c r="A49" s="666" t="s">
        <v>1472</v>
      </c>
      <c r="B49" s="592"/>
      <c r="C49" s="681"/>
      <c r="D49" s="677"/>
      <c r="E49" s="682"/>
      <c r="F49" s="678"/>
      <c r="G49" s="676"/>
    </row>
    <row r="50" spans="1:7">
      <c r="A50" s="666" t="s">
        <v>1473</v>
      </c>
      <c r="B50" s="592"/>
      <c r="C50" s="681"/>
      <c r="D50" s="677"/>
      <c r="E50" s="682"/>
      <c r="F50" s="678"/>
      <c r="G50" s="676"/>
    </row>
    <row r="51" spans="1:7">
      <c r="A51" s="666" t="s">
        <v>296</v>
      </c>
      <c r="B51" s="592"/>
      <c r="C51" s="681"/>
      <c r="D51" s="677"/>
      <c r="E51" s="682"/>
      <c r="F51" s="678"/>
      <c r="G51" s="676"/>
    </row>
    <row r="52" spans="1:7">
      <c r="A52" s="666">
        <v>10</v>
      </c>
      <c r="B52" s="592"/>
      <c r="C52" s="677" t="s">
        <v>1475</v>
      </c>
      <c r="D52" s="677"/>
      <c r="E52" s="538">
        <f>SUM(E49:E51)</f>
        <v>0</v>
      </c>
      <c r="F52" s="678"/>
      <c r="G52" s="676"/>
    </row>
    <row r="53" spans="1:7">
      <c r="A53" s="666"/>
      <c r="B53" s="592"/>
      <c r="C53" s="677"/>
      <c r="D53" s="677"/>
      <c r="E53" s="538"/>
      <c r="F53" s="678"/>
      <c r="G53" s="676"/>
    </row>
    <row r="54" spans="1:7">
      <c r="A54" s="666"/>
      <c r="B54" s="592"/>
      <c r="C54" s="677"/>
      <c r="D54" s="677"/>
      <c r="E54" s="538"/>
      <c r="F54" s="678"/>
      <c r="G54" s="676"/>
    </row>
    <row r="55" spans="1:7">
      <c r="B55" s="679" t="s">
        <v>1423</v>
      </c>
      <c r="C55" s="592"/>
      <c r="D55" s="592"/>
      <c r="E55" s="680"/>
      <c r="F55" s="592"/>
      <c r="G55" s="592"/>
    </row>
    <row r="56" spans="1:7">
      <c r="B56" s="592" t="s">
        <v>58</v>
      </c>
      <c r="C56" s="677" t="s">
        <v>1424</v>
      </c>
      <c r="D56" s="592"/>
      <c r="E56" s="680"/>
      <c r="F56" s="592"/>
      <c r="G56" s="592"/>
    </row>
    <row r="57" spans="1:7">
      <c r="B57" s="592"/>
      <c r="C57" s="677" t="s">
        <v>1425</v>
      </c>
      <c r="D57" s="592"/>
      <c r="E57" s="680"/>
      <c r="F57" s="592"/>
      <c r="G57" s="592"/>
    </row>
    <row r="58" spans="1:7">
      <c r="B58" s="592" t="s">
        <v>59</v>
      </c>
      <c r="C58" s="677" t="s">
        <v>1426</v>
      </c>
      <c r="D58" s="592"/>
      <c r="E58" s="680"/>
      <c r="F58" s="592"/>
      <c r="G58" s="592"/>
    </row>
    <row r="59" spans="1:7">
      <c r="B59" s="592"/>
      <c r="C59" s="677" t="s">
        <v>1425</v>
      </c>
      <c r="D59" s="592"/>
      <c r="E59" s="680"/>
      <c r="F59" s="592"/>
      <c r="G59" s="592"/>
    </row>
    <row r="60" spans="1:7">
      <c r="B60" s="592" t="s">
        <v>60</v>
      </c>
      <c r="C60" s="677" t="s">
        <v>1427</v>
      </c>
      <c r="D60" s="592"/>
      <c r="E60" s="680"/>
      <c r="F60" s="592"/>
      <c r="G60" s="592"/>
    </row>
    <row r="61" spans="1:7">
      <c r="B61" s="592" t="s">
        <v>61</v>
      </c>
      <c r="C61" s="677" t="s">
        <v>1428</v>
      </c>
      <c r="D61" s="592"/>
      <c r="E61" s="680"/>
      <c r="F61" s="592"/>
      <c r="G61" s="592"/>
    </row>
    <row r="62" spans="1:7">
      <c r="B62" s="592"/>
      <c r="C62" s="677" t="s">
        <v>1429</v>
      </c>
      <c r="D62" s="592"/>
      <c r="E62" s="680"/>
      <c r="F62" s="592"/>
      <c r="G62" s="592"/>
    </row>
    <row r="63" spans="1:7">
      <c r="B63" s="592"/>
      <c r="C63" s="677" t="s">
        <v>1430</v>
      </c>
    </row>
    <row r="64" spans="1:7">
      <c r="B64" s="592" t="s">
        <v>62</v>
      </c>
      <c r="C64" s="677" t="s">
        <v>1431</v>
      </c>
    </row>
  </sheetData>
  <sheetProtection algorithmName="SHA-512" hashValue="IfVoNtvQR+rS9mjsOdZ/LGy8vKMFkf3FqD9kx5nUnrqdZAMH7jp7pWSWAbuBwxYeFp2KUAoLMwYf3qZe6qN7oQ==" saltValue="TZ9TIaCZd3ss+5oq5oZUVA==" spinCount="100000" sheet="1" objects="1" scenarios="1"/>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A93"/>
  <sheetViews>
    <sheetView view="pageBreakPreview" zoomScale="90" zoomScaleNormal="100" zoomScaleSheetLayoutView="90" workbookViewId="0">
      <selection activeCell="C63" sqref="C63"/>
    </sheetView>
  </sheetViews>
  <sheetFormatPr defaultColWidth="8.88671875" defaultRowHeight="12.75"/>
  <cols>
    <col min="1" max="1" width="4" style="21" customWidth="1"/>
    <col min="2" max="2" width="23.77734375" style="21" customWidth="1"/>
    <col min="3" max="3" width="13.21875" style="21" customWidth="1"/>
    <col min="4" max="4" width="11.21875" style="21" customWidth="1"/>
    <col min="5" max="5" width="9.44140625" style="21" customWidth="1"/>
    <col min="6" max="6" width="7.77734375" style="21" customWidth="1"/>
    <col min="7" max="7" width="10.44140625" style="21" customWidth="1"/>
    <col min="8" max="16" width="7.77734375" style="21" customWidth="1"/>
    <col min="17" max="17" width="10.6640625" style="21" bestFit="1" customWidth="1"/>
    <col min="18" max="16384" width="8.88671875" style="21"/>
  </cols>
  <sheetData>
    <row r="1" spans="1:27">
      <c r="E1" s="151" t="s">
        <v>193</v>
      </c>
      <c r="I1" s="328" t="s">
        <v>419</v>
      </c>
    </row>
    <row r="2" spans="1:27">
      <c r="E2" s="282" t="s">
        <v>405</v>
      </c>
    </row>
    <row r="3" spans="1:27">
      <c r="E3" s="24" t="str">
        <f>+'Attachment H-7'!D5</f>
        <v>PECO Energy Company</v>
      </c>
    </row>
    <row r="4" spans="1:27">
      <c r="I4" s="24"/>
    </row>
    <row r="5" spans="1:27">
      <c r="F5" s="62"/>
      <c r="G5" s="62"/>
      <c r="H5" s="62"/>
      <c r="I5" s="24"/>
    </row>
    <row r="6" spans="1:27" ht="15.75">
      <c r="E6" s="683"/>
      <c r="F6" s="684"/>
      <c r="G6" s="685"/>
      <c r="H6" s="684"/>
    </row>
    <row r="7" spans="1:27" ht="46.5" customHeight="1">
      <c r="A7" s="686"/>
      <c r="B7" s="687"/>
      <c r="C7" s="688" t="s">
        <v>669</v>
      </c>
      <c r="D7" s="688"/>
      <c r="E7" s="689" t="s">
        <v>968</v>
      </c>
      <c r="F7" s="690"/>
      <c r="G7" s="690"/>
      <c r="H7" s="690"/>
      <c r="S7" s="62"/>
      <c r="T7" s="62"/>
      <c r="U7" s="62"/>
      <c r="V7" s="62"/>
      <c r="W7" s="62"/>
      <c r="X7" s="62"/>
      <c r="Y7" s="62"/>
      <c r="Z7" s="62"/>
      <c r="AA7" s="62"/>
    </row>
    <row r="8" spans="1:27" ht="15.75">
      <c r="A8" s="686">
        <v>1</v>
      </c>
      <c r="B8" s="691"/>
      <c r="C8" s="21" t="s">
        <v>84</v>
      </c>
      <c r="D8" s="692"/>
      <c r="E8" s="1003">
        <v>4.4000000000000003E-3</v>
      </c>
      <c r="F8" s="693"/>
      <c r="G8" s="694"/>
      <c r="H8" s="694"/>
      <c r="S8" s="695"/>
      <c r="T8" s="695"/>
      <c r="U8" s="695"/>
      <c r="V8" s="696"/>
      <c r="W8" s="684"/>
      <c r="X8" s="685"/>
      <c r="Y8" s="684"/>
      <c r="Z8" s="695"/>
      <c r="AA8" s="62"/>
    </row>
    <row r="9" spans="1:27" ht="15.75">
      <c r="A9" s="686">
        <v>2</v>
      </c>
      <c r="B9" s="691"/>
      <c r="C9" s="21" t="s">
        <v>83</v>
      </c>
      <c r="D9" s="692"/>
      <c r="E9" s="1003">
        <v>4.0000000000000001E-3</v>
      </c>
      <c r="F9" s="693"/>
      <c r="G9" s="694"/>
      <c r="H9" s="694"/>
      <c r="S9" s="695"/>
      <c r="T9" s="697"/>
      <c r="U9" s="697"/>
      <c r="V9" s="690"/>
      <c r="W9" s="690"/>
      <c r="X9" s="690"/>
      <c r="Y9" s="690"/>
      <c r="Z9" s="690"/>
      <c r="AA9" s="62"/>
    </row>
    <row r="10" spans="1:27" ht="15.75">
      <c r="A10" s="686">
        <v>3</v>
      </c>
      <c r="B10" s="691"/>
      <c r="C10" s="21" t="s">
        <v>82</v>
      </c>
      <c r="D10" s="692"/>
      <c r="E10" s="1003">
        <v>4.4000000000000003E-3</v>
      </c>
      <c r="F10" s="693"/>
      <c r="G10" s="694"/>
      <c r="H10" s="694"/>
      <c r="S10" s="695"/>
      <c r="T10" s="697"/>
      <c r="U10" s="697"/>
      <c r="V10" s="693"/>
      <c r="W10" s="693"/>
      <c r="X10" s="698"/>
      <c r="Y10" s="698"/>
      <c r="Z10" s="698"/>
      <c r="AA10" s="62"/>
    </row>
    <row r="11" spans="1:27" ht="15.75">
      <c r="A11" s="686">
        <v>4</v>
      </c>
      <c r="B11" s="691"/>
      <c r="C11" s="21" t="s">
        <v>74</v>
      </c>
      <c r="D11" s="692"/>
      <c r="E11" s="1003">
        <v>4.4999999999999997E-3</v>
      </c>
      <c r="F11" s="693"/>
      <c r="G11" s="694"/>
      <c r="H11" s="694"/>
      <c r="S11" s="695"/>
      <c r="T11" s="697"/>
      <c r="U11" s="697"/>
      <c r="V11" s="693"/>
      <c r="W11" s="693"/>
      <c r="X11" s="698"/>
      <c r="Y11" s="698"/>
      <c r="Z11" s="698"/>
      <c r="AA11" s="62"/>
    </row>
    <row r="12" spans="1:27" ht="15.75" customHeight="1">
      <c r="A12" s="686">
        <v>5</v>
      </c>
      <c r="B12" s="691"/>
      <c r="C12" s="21" t="s">
        <v>73</v>
      </c>
      <c r="D12" s="692"/>
      <c r="E12" s="1003">
        <v>4.5999999999999999E-3</v>
      </c>
      <c r="F12" s="693"/>
      <c r="G12" s="694"/>
      <c r="H12" s="694"/>
      <c r="S12" s="695"/>
      <c r="T12" s="697"/>
      <c r="U12" s="697"/>
      <c r="V12" s="693"/>
      <c r="W12" s="693"/>
      <c r="X12" s="698"/>
      <c r="Y12" s="698"/>
      <c r="Z12" s="698"/>
      <c r="AA12" s="62"/>
    </row>
    <row r="13" spans="1:27" ht="15.75">
      <c r="A13" s="686">
        <v>6</v>
      </c>
      <c r="B13" s="691"/>
      <c r="C13" s="21" t="s">
        <v>93</v>
      </c>
      <c r="D13" s="692"/>
      <c r="E13" s="1003">
        <v>4.4999999999999997E-3</v>
      </c>
      <c r="F13" s="693"/>
      <c r="G13" s="694"/>
      <c r="H13" s="694"/>
      <c r="S13" s="695"/>
      <c r="T13" s="697"/>
      <c r="U13" s="697"/>
      <c r="V13" s="693"/>
      <c r="W13" s="693"/>
      <c r="X13" s="698"/>
      <c r="Y13" s="698"/>
      <c r="Z13" s="698"/>
      <c r="AA13" s="62"/>
    </row>
    <row r="14" spans="1:27" ht="15.75">
      <c r="A14" s="686">
        <v>7</v>
      </c>
      <c r="B14" s="691"/>
      <c r="C14" s="21" t="s">
        <v>81</v>
      </c>
      <c r="D14" s="692"/>
      <c r="E14" s="1003">
        <v>4.7000000000000002E-3</v>
      </c>
      <c r="F14" s="693"/>
      <c r="G14" s="694"/>
      <c r="H14" s="694"/>
      <c r="S14" s="695"/>
      <c r="T14" s="695"/>
      <c r="U14" s="695"/>
      <c r="V14" s="695"/>
      <c r="W14" s="695"/>
      <c r="X14" s="695"/>
      <c r="Y14" s="695"/>
      <c r="Z14" s="695"/>
      <c r="AA14" s="62"/>
    </row>
    <row r="15" spans="1:27" ht="15.75">
      <c r="A15" s="686">
        <v>8</v>
      </c>
      <c r="B15" s="691"/>
      <c r="C15" s="21" t="s">
        <v>80</v>
      </c>
      <c r="D15" s="692"/>
      <c r="E15" s="1003">
        <v>4.7000000000000002E-3</v>
      </c>
      <c r="F15" s="693"/>
      <c r="G15" s="694"/>
      <c r="H15" s="694"/>
      <c r="S15" s="695"/>
      <c r="T15" s="695"/>
      <c r="U15" s="695"/>
      <c r="V15" s="695"/>
      <c r="W15" s="695"/>
      <c r="X15" s="695"/>
      <c r="Y15" s="695"/>
      <c r="Z15" s="695"/>
      <c r="AA15" s="62"/>
    </row>
    <row r="16" spans="1:27" ht="15.75">
      <c r="A16" s="686">
        <v>9</v>
      </c>
      <c r="B16" s="691"/>
      <c r="C16" s="21" t="s">
        <v>79</v>
      </c>
      <c r="D16" s="692"/>
      <c r="E16" s="1003">
        <v>4.4999999999999997E-3</v>
      </c>
      <c r="F16" s="693"/>
      <c r="G16" s="694"/>
      <c r="H16" s="694"/>
      <c r="S16" s="695"/>
      <c r="T16" s="695"/>
      <c r="U16" s="695"/>
      <c r="V16" s="695"/>
      <c r="W16" s="695"/>
      <c r="X16" s="695"/>
      <c r="Y16" s="695"/>
      <c r="Z16" s="695"/>
      <c r="AA16" s="62"/>
    </row>
    <row r="17" spans="1:27" ht="15.75">
      <c r="A17" s="686">
        <v>10</v>
      </c>
      <c r="B17" s="691"/>
      <c r="C17" s="21" t="s">
        <v>85</v>
      </c>
      <c r="D17" s="692"/>
      <c r="E17" s="1003">
        <v>4.5999999999999999E-3</v>
      </c>
      <c r="F17" s="693"/>
      <c r="G17" s="694"/>
      <c r="H17" s="694"/>
      <c r="S17" s="695"/>
      <c r="T17" s="695"/>
      <c r="U17" s="695"/>
      <c r="V17" s="695"/>
      <c r="W17" s="695"/>
      <c r="X17" s="695"/>
      <c r="Y17" s="695"/>
      <c r="Z17" s="695"/>
      <c r="AA17" s="62"/>
    </row>
    <row r="18" spans="1:27" ht="15.75">
      <c r="A18" s="686">
        <v>11</v>
      </c>
      <c r="B18" s="691"/>
      <c r="C18" s="21" t="s">
        <v>78</v>
      </c>
      <c r="D18" s="692"/>
      <c r="E18" s="1003">
        <v>4.4999999999999997E-3</v>
      </c>
      <c r="F18" s="693"/>
      <c r="G18" s="694"/>
      <c r="H18" s="694"/>
      <c r="S18" s="695"/>
      <c r="T18" s="695"/>
      <c r="U18" s="695"/>
      <c r="V18" s="695"/>
      <c r="W18" s="695"/>
      <c r="X18" s="695"/>
      <c r="Y18" s="695"/>
      <c r="Z18" s="695"/>
      <c r="AA18" s="62"/>
    </row>
    <row r="19" spans="1:27" ht="15.75">
      <c r="A19" s="686">
        <v>12</v>
      </c>
      <c r="B19" s="691"/>
      <c r="C19" s="21" t="s">
        <v>77</v>
      </c>
      <c r="D19" s="692"/>
      <c r="E19" s="1003">
        <v>4.5999999999999999E-3</v>
      </c>
      <c r="F19" s="693"/>
      <c r="G19" s="694"/>
      <c r="H19" s="694"/>
      <c r="S19" s="695"/>
      <c r="T19" s="695"/>
      <c r="U19" s="695"/>
      <c r="V19" s="695"/>
      <c r="W19" s="695"/>
      <c r="X19" s="695"/>
      <c r="Y19" s="695"/>
      <c r="Z19" s="695"/>
      <c r="AA19" s="62"/>
    </row>
    <row r="20" spans="1:27" ht="15.75">
      <c r="A20" s="686">
        <v>13</v>
      </c>
      <c r="B20" s="691"/>
      <c r="C20" s="21" t="s">
        <v>84</v>
      </c>
      <c r="D20" s="692"/>
      <c r="E20" s="1003">
        <v>4.1999999999999997E-3</v>
      </c>
      <c r="F20" s="693"/>
      <c r="G20" s="694"/>
      <c r="H20" s="694"/>
      <c r="S20" s="695"/>
      <c r="T20" s="695"/>
      <c r="U20" s="695"/>
      <c r="V20" s="695"/>
      <c r="W20" s="695"/>
      <c r="X20" s="695"/>
      <c r="Y20" s="695"/>
      <c r="Z20" s="695"/>
      <c r="AA20" s="62"/>
    </row>
    <row r="21" spans="1:27" ht="15.75">
      <c r="A21" s="686">
        <v>14</v>
      </c>
      <c r="B21" s="691"/>
      <c r="C21" s="21" t="s">
        <v>83</v>
      </c>
      <c r="D21" s="692"/>
      <c r="E21" s="1003">
        <v>3.8999999999999998E-3</v>
      </c>
      <c r="F21" s="693"/>
      <c r="G21" s="694"/>
      <c r="H21" s="694"/>
      <c r="S21" s="695"/>
      <c r="T21" s="695"/>
      <c r="U21" s="695"/>
      <c r="V21" s="695"/>
      <c r="W21" s="695"/>
      <c r="X21" s="695"/>
      <c r="Y21" s="695"/>
      <c r="Z21" s="695"/>
      <c r="AA21" s="62"/>
    </row>
    <row r="22" spans="1:27" ht="15.75">
      <c r="A22" s="686">
        <v>15</v>
      </c>
      <c r="B22" s="691"/>
      <c r="C22" s="21" t="s">
        <v>82</v>
      </c>
      <c r="D22" s="692"/>
      <c r="E22" s="1003">
        <v>4.1999999999999997E-3</v>
      </c>
      <c r="F22" s="693"/>
      <c r="G22" s="694"/>
      <c r="H22" s="694"/>
      <c r="S22" s="695"/>
      <c r="T22" s="695"/>
      <c r="U22" s="695"/>
      <c r="V22" s="695"/>
      <c r="W22" s="695"/>
      <c r="X22" s="695"/>
      <c r="Y22" s="695"/>
      <c r="Z22" s="695"/>
      <c r="AA22" s="62"/>
    </row>
    <row r="23" spans="1:27" ht="15.75">
      <c r="A23" s="686">
        <v>16</v>
      </c>
      <c r="B23" s="691"/>
      <c r="C23" s="21" t="s">
        <v>74</v>
      </c>
      <c r="D23" s="692"/>
      <c r="E23" s="1003">
        <v>3.8999999999999998E-3</v>
      </c>
      <c r="F23" s="693"/>
      <c r="G23" s="694"/>
      <c r="H23" s="694"/>
      <c r="S23" s="695"/>
      <c r="T23" s="695"/>
      <c r="U23" s="695"/>
      <c r="V23" s="695"/>
      <c r="W23" s="695"/>
      <c r="X23" s="695"/>
      <c r="Y23" s="695"/>
      <c r="Z23" s="695"/>
      <c r="AA23" s="62"/>
    </row>
    <row r="24" spans="1:27" ht="15.75">
      <c r="A24" s="686">
        <v>17</v>
      </c>
      <c r="B24" s="691"/>
      <c r="C24" s="21" t="s">
        <v>73</v>
      </c>
      <c r="D24" s="692"/>
      <c r="E24" s="1003">
        <v>4.0000000000000001E-3</v>
      </c>
      <c r="F24" s="693"/>
      <c r="G24" s="694"/>
      <c r="H24" s="694"/>
      <c r="S24" s="695"/>
      <c r="T24" s="695"/>
      <c r="U24" s="695"/>
      <c r="V24" s="695"/>
      <c r="W24" s="695"/>
      <c r="X24" s="695"/>
      <c r="Y24" s="695"/>
      <c r="Z24" s="695"/>
      <c r="AA24" s="62"/>
    </row>
    <row r="25" spans="1:27" ht="15.75">
      <c r="A25" s="686"/>
      <c r="B25" s="691"/>
      <c r="C25" s="699"/>
      <c r="D25" s="700"/>
      <c r="E25" s="700"/>
      <c r="F25" s="700"/>
      <c r="G25" s="700"/>
      <c r="H25" s="700"/>
      <c r="S25" s="695"/>
      <c r="T25" s="695"/>
      <c r="U25" s="695"/>
      <c r="V25" s="701"/>
      <c r="W25" s="698"/>
      <c r="X25" s="695"/>
      <c r="Y25" s="695"/>
      <c r="Z25" s="695"/>
      <c r="AA25" s="62"/>
    </row>
    <row r="26" spans="1:27" ht="15.75">
      <c r="A26" s="686">
        <v>18</v>
      </c>
      <c r="B26" s="702" t="s">
        <v>670</v>
      </c>
      <c r="C26" s="239"/>
      <c r="D26" s="700"/>
      <c r="E26" s="703">
        <f>AVERAGE(E8:E24)</f>
        <v>4.3647058823529416E-3</v>
      </c>
      <c r="F26" s="700"/>
      <c r="G26" s="700"/>
      <c r="H26" s="700"/>
      <c r="S26" s="695"/>
      <c r="T26" s="695"/>
      <c r="U26" s="695"/>
      <c r="V26" s="701"/>
      <c r="W26" s="698"/>
      <c r="X26" s="695"/>
      <c r="Y26" s="695"/>
      <c r="Z26" s="695"/>
      <c r="AA26" s="62"/>
    </row>
    <row r="27" spans="1:27" ht="15.75">
      <c r="A27" s="691"/>
      <c r="B27" s="691"/>
      <c r="C27" s="239"/>
      <c r="D27" s="700"/>
      <c r="E27" s="700"/>
      <c r="F27" s="692"/>
      <c r="G27" s="692"/>
      <c r="H27" s="692"/>
      <c r="S27" s="695"/>
      <c r="T27" s="695"/>
      <c r="U27" s="695"/>
      <c r="V27" s="695"/>
      <c r="W27" s="695"/>
      <c r="X27" s="695"/>
      <c r="Y27" s="695"/>
      <c r="Z27" s="695"/>
      <c r="AA27" s="62"/>
    </row>
    <row r="28" spans="1:27" ht="16.5" thickBot="1">
      <c r="A28" s="704" t="s">
        <v>324</v>
      </c>
      <c r="B28" s="691"/>
      <c r="C28" s="691"/>
      <c r="D28" s="691"/>
      <c r="E28" s="691"/>
      <c r="F28" s="691"/>
      <c r="G28" s="691"/>
      <c r="H28" s="691"/>
      <c r="S28" s="695"/>
      <c r="T28" s="695"/>
      <c r="U28" s="695"/>
      <c r="V28" s="695"/>
      <c r="W28" s="695"/>
      <c r="X28" s="695"/>
      <c r="Y28" s="695"/>
      <c r="Z28" s="695"/>
      <c r="AA28" s="62"/>
    </row>
    <row r="29" spans="1:27" ht="15.75">
      <c r="A29" s="705" t="s">
        <v>58</v>
      </c>
      <c r="B29" s="706" t="s">
        <v>1278</v>
      </c>
      <c r="C29" s="691"/>
      <c r="D29" s="691"/>
      <c r="E29" s="691"/>
      <c r="F29" s="691"/>
      <c r="G29" s="691"/>
      <c r="H29" s="691"/>
      <c r="S29" s="697"/>
      <c r="T29" s="62"/>
      <c r="U29" s="695"/>
      <c r="V29" s="695"/>
      <c r="W29" s="695"/>
      <c r="X29" s="695"/>
      <c r="Y29" s="695"/>
      <c r="Z29" s="695"/>
      <c r="AA29" s="62"/>
    </row>
    <row r="30" spans="1:27" ht="15.75">
      <c r="A30" s="691"/>
      <c r="B30" s="706"/>
      <c r="C30" s="691"/>
      <c r="D30" s="691"/>
      <c r="E30" s="691"/>
      <c r="F30" s="691"/>
      <c r="G30" s="691"/>
      <c r="H30" s="691"/>
      <c r="S30" s="706"/>
      <c r="U30" s="706"/>
      <c r="V30" s="706"/>
      <c r="W30" s="706"/>
      <c r="X30" s="706"/>
      <c r="Y30" s="706"/>
      <c r="Z30" s="706"/>
    </row>
    <row r="31" spans="1:27" ht="15.75">
      <c r="A31" s="691"/>
      <c r="B31" s="706"/>
      <c r="C31" s="691"/>
      <c r="D31" s="691"/>
      <c r="E31" s="691"/>
      <c r="F31" s="691"/>
      <c r="G31" s="691"/>
      <c r="H31" s="691"/>
      <c r="S31" s="706"/>
      <c r="T31" s="706"/>
      <c r="U31" s="706"/>
      <c r="V31" s="706"/>
      <c r="W31" s="706"/>
      <c r="X31" s="706"/>
      <c r="Y31" s="706"/>
      <c r="Z31" s="706"/>
    </row>
    <row r="32" spans="1:27" ht="15.75">
      <c r="A32" s="691"/>
      <c r="B32" s="691"/>
      <c r="C32" s="691"/>
      <c r="D32" s="691"/>
      <c r="E32" s="691"/>
      <c r="F32" s="691"/>
      <c r="G32" s="691"/>
      <c r="H32" s="691"/>
    </row>
    <row r="33" spans="1:17">
      <c r="A33" s="281"/>
      <c r="B33" s="88"/>
      <c r="C33" s="88"/>
      <c r="D33" s="1070"/>
      <c r="E33" s="1070"/>
      <c r="F33" s="89"/>
      <c r="G33" s="89"/>
      <c r="H33" s="707"/>
      <c r="I33" s="89"/>
      <c r="J33" s="89"/>
      <c r="K33" s="89"/>
    </row>
    <row r="34" spans="1:17">
      <c r="A34" s="281">
        <v>19</v>
      </c>
      <c r="B34" s="88" t="s">
        <v>75</v>
      </c>
      <c r="C34" s="1004">
        <v>2020</v>
      </c>
      <c r="D34" s="1070"/>
      <c r="E34" s="1070"/>
      <c r="F34" s="1070"/>
      <c r="G34" s="1070"/>
      <c r="H34" s="707"/>
      <c r="I34" s="1070"/>
      <c r="J34" s="1070"/>
      <c r="K34" s="1070"/>
      <c r="L34" s="1070"/>
    </row>
    <row r="35" spans="1:17">
      <c r="A35" s="281">
        <v>20</v>
      </c>
      <c r="B35" s="88"/>
      <c r="C35" s="88"/>
      <c r="D35" s="89"/>
      <c r="E35" s="89"/>
      <c r="F35" s="572"/>
      <c r="G35" s="89"/>
      <c r="H35" s="89"/>
      <c r="I35" s="89"/>
      <c r="J35" s="89"/>
      <c r="K35" s="89"/>
      <c r="L35" s="89"/>
    </row>
    <row r="36" spans="1:17">
      <c r="A36" s="148"/>
      <c r="B36" s="298" t="s">
        <v>58</v>
      </c>
      <c r="C36" s="708" t="s">
        <v>59</v>
      </c>
      <c r="D36" s="708" t="s">
        <v>60</v>
      </c>
      <c r="E36" s="708" t="s">
        <v>61</v>
      </c>
      <c r="F36" s="708" t="s">
        <v>62</v>
      </c>
      <c r="G36" s="709" t="s">
        <v>63</v>
      </c>
      <c r="H36" s="707"/>
      <c r="I36" s="707"/>
      <c r="J36" s="707"/>
      <c r="K36" s="707"/>
      <c r="L36" s="707"/>
      <c r="M36" s="707"/>
      <c r="N36" s="707"/>
      <c r="O36" s="707"/>
      <c r="P36" s="707"/>
      <c r="Q36" s="707"/>
    </row>
    <row r="37" spans="1:17">
      <c r="A37" s="281"/>
      <c r="B37" s="710"/>
      <c r="C37" s="707"/>
      <c r="D37" s="707"/>
      <c r="E37" s="707"/>
      <c r="F37" s="707"/>
      <c r="G37" s="711"/>
      <c r="H37" s="707"/>
      <c r="I37" s="89"/>
      <c r="J37" s="707"/>
      <c r="K37" s="89"/>
      <c r="L37" s="89"/>
      <c r="M37" s="62"/>
      <c r="N37" s="62"/>
      <c r="O37" s="62"/>
      <c r="P37" s="62"/>
      <c r="Q37" s="62"/>
    </row>
    <row r="38" spans="1:17">
      <c r="A38" s="281"/>
      <c r="B38" s="297"/>
      <c r="C38" s="707"/>
      <c r="D38" s="707"/>
      <c r="E38" s="707"/>
      <c r="F38" s="707"/>
      <c r="G38" s="712"/>
      <c r="H38" s="707"/>
      <c r="I38" s="707"/>
      <c r="J38" s="707"/>
      <c r="K38" s="707"/>
      <c r="L38" s="707"/>
      <c r="M38" s="707"/>
      <c r="N38" s="707"/>
      <c r="O38" s="707"/>
      <c r="P38" s="707"/>
      <c r="Q38" s="707"/>
    </row>
    <row r="39" spans="1:17" ht="38.25">
      <c r="A39" s="281"/>
      <c r="B39" s="223" t="s">
        <v>426</v>
      </c>
      <c r="C39" s="713" t="s">
        <v>446</v>
      </c>
      <c r="D39" s="714" t="s">
        <v>11</v>
      </c>
      <c r="E39" s="707" t="s">
        <v>674</v>
      </c>
      <c r="F39" s="713" t="s">
        <v>351</v>
      </c>
      <c r="G39" s="715" t="s">
        <v>297</v>
      </c>
      <c r="H39" s="62"/>
      <c r="I39" s="62"/>
      <c r="J39" s="62"/>
      <c r="K39" s="62"/>
      <c r="L39" s="62"/>
      <c r="M39" s="62"/>
      <c r="N39" s="62"/>
      <c r="O39" s="62"/>
      <c r="P39" s="707"/>
      <c r="Q39" s="707"/>
    </row>
    <row r="40" spans="1:17" ht="30" customHeight="1">
      <c r="A40" s="281"/>
      <c r="B40" s="297"/>
      <c r="C40" s="707"/>
      <c r="D40" s="714" t="s">
        <v>773</v>
      </c>
      <c r="E40" s="707"/>
      <c r="F40" s="714" t="s">
        <v>675</v>
      </c>
      <c r="G40" s="716" t="s">
        <v>676</v>
      </c>
      <c r="H40" s="707"/>
      <c r="I40" s="707"/>
      <c r="J40" s="707"/>
      <c r="K40" s="707"/>
      <c r="L40" s="707"/>
      <c r="M40" s="707"/>
      <c r="N40" s="707"/>
      <c r="O40" s="707"/>
      <c r="P40" s="707"/>
      <c r="Q40" s="707"/>
    </row>
    <row r="41" spans="1:17">
      <c r="A41" s="281">
        <v>21</v>
      </c>
      <c r="B41" s="710" t="str">
        <f>+'1-Project Rev Req'!C66</f>
        <v xml:space="preserve">Zonal </v>
      </c>
      <c r="C41" s="89" t="str">
        <f>+'1-Project Rev Req'!D66</f>
        <v>Zonal</v>
      </c>
      <c r="D41" s="56">
        <f>+'3-Project True-up'!H18+'3-Project True-up'!I18</f>
        <v>-22914604.461339444</v>
      </c>
      <c r="E41" s="56">
        <v>17</v>
      </c>
      <c r="F41" s="1010">
        <f>+E26</f>
        <v>4.3647058823529416E-3</v>
      </c>
      <c r="G41" s="718">
        <f>+D41*E41*F41</f>
        <v>-1700263.651031387</v>
      </c>
      <c r="H41" s="717"/>
      <c r="I41" s="178"/>
      <c r="J41" s="178"/>
      <c r="K41" s="178"/>
      <c r="L41" s="178"/>
      <c r="M41" s="62"/>
      <c r="N41" s="62"/>
      <c r="O41" s="62"/>
      <c r="P41" s="62"/>
      <c r="Q41" s="62"/>
    </row>
    <row r="42" spans="1:17">
      <c r="A42" s="281" t="s">
        <v>671</v>
      </c>
      <c r="B42" s="982" t="s">
        <v>1235</v>
      </c>
      <c r="C42" s="983" t="s">
        <v>720</v>
      </c>
      <c r="D42" s="56">
        <f>+'3-Project True-up'!H19+'3-Project True-up'!I19</f>
        <v>-436854.14666313399</v>
      </c>
      <c r="E42" s="56">
        <v>17</v>
      </c>
      <c r="F42" s="1010">
        <f>+F41</f>
        <v>4.3647058823529416E-3</v>
      </c>
      <c r="G42" s="718">
        <f t="shared" ref="G42:G65" si="0">+D42*E42*F42</f>
        <v>-32414.577682404546</v>
      </c>
      <c r="H42" s="717"/>
      <c r="I42" s="89"/>
      <c r="J42" s="717"/>
      <c r="K42" s="178"/>
      <c r="L42" s="178"/>
      <c r="M42" s="62"/>
      <c r="N42" s="62"/>
      <c r="O42" s="62"/>
      <c r="P42" s="59"/>
      <c r="Q42" s="719"/>
    </row>
    <row r="43" spans="1:17">
      <c r="A43" s="281" t="s">
        <v>672</v>
      </c>
      <c r="B43" s="982" t="s">
        <v>1235</v>
      </c>
      <c r="C43" s="983" t="s">
        <v>720</v>
      </c>
      <c r="D43" s="56">
        <f>+'3-Project True-up'!H20+'3-Project True-up'!I20</f>
        <v>-1563787.4628715659</v>
      </c>
      <c r="E43" s="56">
        <v>17</v>
      </c>
      <c r="F43" s="1010">
        <f t="shared" ref="F43:F69" si="1">+F42</f>
        <v>4.3647058823529416E-3</v>
      </c>
      <c r="G43" s="718">
        <f t="shared" si="0"/>
        <v>-116033.02974507021</v>
      </c>
      <c r="H43" s="717"/>
      <c r="I43" s="89"/>
      <c r="J43" s="717"/>
      <c r="K43" s="178"/>
      <c r="L43" s="178"/>
      <c r="M43" s="62"/>
      <c r="N43" s="62"/>
      <c r="O43" s="62"/>
      <c r="P43" s="59"/>
      <c r="Q43" s="719"/>
    </row>
    <row r="44" spans="1:17">
      <c r="A44" s="281" t="s">
        <v>673</v>
      </c>
      <c r="B44" s="982" t="s">
        <v>803</v>
      </c>
      <c r="C44" s="983" t="s">
        <v>722</v>
      </c>
      <c r="D44" s="56">
        <f>+'3-Project True-up'!H21+'3-Project True-up'!I21</f>
        <v>-876158.00760196953</v>
      </c>
      <c r="E44" s="56">
        <v>17</v>
      </c>
      <c r="F44" s="1010">
        <f t="shared" si="1"/>
        <v>4.3647058823529416E-3</v>
      </c>
      <c r="G44" s="718">
        <f t="shared" si="0"/>
        <v>-65010.924164066142</v>
      </c>
      <c r="H44" s="717"/>
      <c r="I44" s="89"/>
      <c r="J44" s="717"/>
      <c r="K44" s="178"/>
      <c r="L44" s="178"/>
      <c r="M44" s="62"/>
      <c r="N44" s="62"/>
      <c r="O44" s="62"/>
      <c r="P44" s="59"/>
      <c r="Q44" s="719"/>
    </row>
    <row r="45" spans="1:17">
      <c r="A45" s="281" t="s">
        <v>1595</v>
      </c>
      <c r="B45" s="982" t="s">
        <v>803</v>
      </c>
      <c r="C45" s="983" t="s">
        <v>1643</v>
      </c>
      <c r="D45" s="56">
        <f>+'3-Project True-up'!H22+'3-Project True-up'!I22</f>
        <v>40605.71935934358</v>
      </c>
      <c r="E45" s="56">
        <v>17</v>
      </c>
      <c r="F45" s="1010">
        <f t="shared" si="1"/>
        <v>4.3647058823529416E-3</v>
      </c>
      <c r="G45" s="718">
        <f t="shared" si="0"/>
        <v>3012.9443764632942</v>
      </c>
      <c r="H45" s="717"/>
      <c r="I45" s="89"/>
      <c r="J45" s="717"/>
      <c r="K45" s="178"/>
      <c r="L45" s="178"/>
      <c r="M45" s="62"/>
      <c r="N45" s="62"/>
      <c r="O45" s="62"/>
      <c r="P45" s="59"/>
      <c r="Q45" s="719"/>
    </row>
    <row r="46" spans="1:17">
      <c r="A46" s="281" t="s">
        <v>1596</v>
      </c>
      <c r="B46" s="982" t="s">
        <v>804</v>
      </c>
      <c r="C46" s="983" t="s">
        <v>723</v>
      </c>
      <c r="D46" s="56">
        <f>+'3-Project True-up'!H23+'3-Project True-up'!I23</f>
        <v>-110306.55734663195</v>
      </c>
      <c r="E46" s="56">
        <v>17</v>
      </c>
      <c r="F46" s="1010">
        <f t="shared" si="1"/>
        <v>4.3647058823529416E-3</v>
      </c>
      <c r="G46" s="718">
        <f t="shared" si="0"/>
        <v>-8184.7465551200912</v>
      </c>
      <c r="H46" s="717"/>
      <c r="I46" s="89"/>
      <c r="J46" s="717"/>
      <c r="K46" s="178"/>
      <c r="L46" s="178"/>
      <c r="M46" s="62"/>
      <c r="N46" s="62"/>
      <c r="O46" s="62"/>
      <c r="P46" s="59"/>
      <c r="Q46" s="719"/>
    </row>
    <row r="47" spans="1:17">
      <c r="A47" s="281" t="s">
        <v>1597</v>
      </c>
      <c r="B47" s="982" t="s">
        <v>805</v>
      </c>
      <c r="C47" s="983" t="s">
        <v>724</v>
      </c>
      <c r="D47" s="56">
        <f>+'3-Project True-up'!H24+'3-Project True-up'!I24</f>
        <v>-152385.35414793977</v>
      </c>
      <c r="E47" s="56">
        <v>17</v>
      </c>
      <c r="F47" s="1010">
        <f t="shared" si="1"/>
        <v>4.3647058823529416E-3</v>
      </c>
      <c r="G47" s="718">
        <f t="shared" si="0"/>
        <v>-11306.993277777132</v>
      </c>
      <c r="H47" s="717"/>
      <c r="I47" s="89"/>
      <c r="J47" s="717"/>
      <c r="K47" s="178"/>
      <c r="L47" s="178"/>
      <c r="M47" s="62"/>
      <c r="N47" s="62"/>
      <c r="O47" s="62"/>
      <c r="P47" s="59"/>
      <c r="Q47" s="719"/>
    </row>
    <row r="48" spans="1:17">
      <c r="A48" s="281" t="s">
        <v>1598</v>
      </c>
      <c r="B48" s="982" t="s">
        <v>806</v>
      </c>
      <c r="C48" s="983" t="s">
        <v>802</v>
      </c>
      <c r="D48" s="56">
        <f>+'3-Project True-up'!H25+'3-Project True-up'!I25</f>
        <v>-12460.038920108229</v>
      </c>
      <c r="E48" s="56">
        <v>17</v>
      </c>
      <c r="F48" s="1010">
        <f t="shared" si="1"/>
        <v>4.3647058823529416E-3</v>
      </c>
      <c r="G48" s="718">
        <f t="shared" ref="G48:G57" si="2">+D48*E48*F48</f>
        <v>-924.53488787203071</v>
      </c>
      <c r="H48" s="717"/>
      <c r="I48" s="89"/>
      <c r="J48" s="717"/>
      <c r="K48" s="178"/>
      <c r="L48" s="178"/>
      <c r="M48" s="62"/>
      <c r="N48" s="62"/>
      <c r="O48" s="62"/>
      <c r="P48" s="59"/>
      <c r="Q48" s="719"/>
    </row>
    <row r="49" spans="1:17">
      <c r="A49" s="281" t="s">
        <v>1599</v>
      </c>
      <c r="B49" s="982" t="s">
        <v>917</v>
      </c>
      <c r="C49" s="983" t="s">
        <v>918</v>
      </c>
      <c r="D49" s="56">
        <f>+'3-Project True-up'!H26+'3-Project True-up'!I26</f>
        <v>906054.62583538797</v>
      </c>
      <c r="E49" s="56">
        <v>17</v>
      </c>
      <c r="F49" s="1010">
        <f t="shared" si="1"/>
        <v>4.3647058823529416E-3</v>
      </c>
      <c r="G49" s="718">
        <f t="shared" si="2"/>
        <v>67229.253236985795</v>
      </c>
      <c r="H49" s="717"/>
      <c r="I49" s="89"/>
      <c r="J49" s="717"/>
      <c r="K49" s="178"/>
      <c r="L49" s="178"/>
      <c r="M49" s="62"/>
      <c r="N49" s="62"/>
      <c r="O49" s="62"/>
      <c r="P49" s="59"/>
      <c r="Q49" s="719"/>
    </row>
    <row r="50" spans="1:17">
      <c r="A50" s="281" t="s">
        <v>1600</v>
      </c>
      <c r="B50" s="982" t="s">
        <v>807</v>
      </c>
      <c r="C50" s="983" t="s">
        <v>725</v>
      </c>
      <c r="D50" s="56">
        <f>+'3-Project True-up'!H27+'3-Project True-up'!I27</f>
        <v>-903640.95516290562</v>
      </c>
      <c r="E50" s="56">
        <v>17</v>
      </c>
      <c r="F50" s="1010">
        <f t="shared" si="1"/>
        <v>4.3647058823529416E-3</v>
      </c>
      <c r="G50" s="718">
        <f t="shared" si="2"/>
        <v>-67050.158873087596</v>
      </c>
      <c r="H50" s="717"/>
      <c r="I50" s="89"/>
      <c r="J50" s="717"/>
      <c r="K50" s="178"/>
      <c r="L50" s="178"/>
      <c r="M50" s="62"/>
      <c r="N50" s="62"/>
      <c r="O50" s="62"/>
      <c r="P50" s="59"/>
      <c r="Q50" s="719"/>
    </row>
    <row r="51" spans="1:17">
      <c r="A51" s="281" t="s">
        <v>1602</v>
      </c>
      <c r="B51" s="982" t="s">
        <v>808</v>
      </c>
      <c r="C51" s="983" t="s">
        <v>726</v>
      </c>
      <c r="D51" s="56">
        <f>+'3-Project True-up'!H28+'3-Project True-up'!I28</f>
        <v>-718502.8154170895</v>
      </c>
      <c r="E51" s="56">
        <v>17</v>
      </c>
      <c r="F51" s="1010">
        <f t="shared" si="1"/>
        <v>4.3647058823529416E-3</v>
      </c>
      <c r="G51" s="718">
        <f t="shared" si="2"/>
        <v>-53312.908903948039</v>
      </c>
      <c r="H51" s="717"/>
      <c r="I51" s="89"/>
      <c r="J51" s="717"/>
      <c r="K51" s="178"/>
      <c r="L51" s="178"/>
      <c r="M51" s="62"/>
      <c r="N51" s="62"/>
      <c r="O51" s="62"/>
      <c r="P51" s="59"/>
      <c r="Q51" s="719"/>
    </row>
    <row r="52" spans="1:17">
      <c r="A52" s="281" t="s">
        <v>1603</v>
      </c>
      <c r="B52" s="982" t="s">
        <v>809</v>
      </c>
      <c r="C52" s="983" t="s">
        <v>727</v>
      </c>
      <c r="D52" s="56">
        <f>+'3-Project True-up'!H29+'3-Project True-up'!I29</f>
        <v>-667390.00002776668</v>
      </c>
      <c r="E52" s="56">
        <v>17</v>
      </c>
      <c r="F52" s="1010">
        <f t="shared" si="1"/>
        <v>4.3647058823529416E-3</v>
      </c>
      <c r="G52" s="718">
        <f t="shared" si="2"/>
        <v>-49520.338002060293</v>
      </c>
      <c r="H52" s="717"/>
      <c r="I52" s="89"/>
      <c r="J52" s="717"/>
      <c r="K52" s="178"/>
      <c r="L52" s="178"/>
      <c r="M52" s="62"/>
      <c r="N52" s="62"/>
      <c r="O52" s="62"/>
      <c r="P52" s="59"/>
      <c r="Q52" s="719"/>
    </row>
    <row r="53" spans="1:17">
      <c r="A53" s="281" t="s">
        <v>1604</v>
      </c>
      <c r="B53" s="982" t="s">
        <v>810</v>
      </c>
      <c r="C53" s="983" t="s">
        <v>728</v>
      </c>
      <c r="D53" s="56">
        <f>+'3-Project True-up'!H30+'3-Project True-up'!I30</f>
        <v>-481106.64803059539</v>
      </c>
      <c r="E53" s="56">
        <v>17</v>
      </c>
      <c r="F53" s="1010">
        <f t="shared" si="1"/>
        <v>4.3647058823529416E-3</v>
      </c>
      <c r="G53" s="718">
        <f t="shared" si="2"/>
        <v>-35698.113283870181</v>
      </c>
      <c r="H53" s="717"/>
      <c r="I53" s="89"/>
      <c r="J53" s="717"/>
      <c r="K53" s="178"/>
      <c r="L53" s="178"/>
      <c r="M53" s="62"/>
      <c r="N53" s="62"/>
      <c r="O53" s="62"/>
      <c r="P53" s="59"/>
      <c r="Q53" s="719"/>
    </row>
    <row r="54" spans="1:17">
      <c r="A54" s="281" t="s">
        <v>1605</v>
      </c>
      <c r="B54" s="982" t="s">
        <v>811</v>
      </c>
      <c r="C54" s="983" t="s">
        <v>729</v>
      </c>
      <c r="D54" s="56">
        <f>+'3-Project True-up'!H31+'3-Project True-up'!I31</f>
        <v>-306031.30960888928</v>
      </c>
      <c r="E54" s="56">
        <v>17</v>
      </c>
      <c r="F54" s="1010">
        <f t="shared" si="1"/>
        <v>4.3647058823529416E-3</v>
      </c>
      <c r="G54" s="718">
        <f t="shared" si="2"/>
        <v>-22707.523172979589</v>
      </c>
      <c r="H54" s="717"/>
      <c r="I54" s="89"/>
      <c r="J54" s="717"/>
      <c r="K54" s="178"/>
      <c r="L54" s="178"/>
      <c r="M54" s="62"/>
      <c r="N54" s="62"/>
      <c r="O54" s="62"/>
      <c r="P54" s="59"/>
      <c r="Q54" s="719"/>
    </row>
    <row r="55" spans="1:17">
      <c r="A55" s="281" t="s">
        <v>1606</v>
      </c>
      <c r="B55" s="982" t="s">
        <v>812</v>
      </c>
      <c r="C55" s="983" t="s">
        <v>730</v>
      </c>
      <c r="D55" s="56">
        <f>+'3-Project True-up'!H32+'3-Project True-up'!I32</f>
        <v>-64343.302499148005</v>
      </c>
      <c r="E55" s="56">
        <v>17</v>
      </c>
      <c r="F55" s="1010">
        <f t="shared" si="1"/>
        <v>4.3647058823529416E-3</v>
      </c>
      <c r="G55" s="718">
        <f t="shared" si="2"/>
        <v>-4774.2730454367829</v>
      </c>
      <c r="H55" s="717"/>
      <c r="I55" s="89"/>
      <c r="J55" s="717"/>
      <c r="K55" s="178"/>
      <c r="L55" s="178"/>
      <c r="M55" s="62"/>
      <c r="N55" s="62"/>
      <c r="O55" s="62"/>
      <c r="P55" s="59"/>
      <c r="Q55" s="719"/>
    </row>
    <row r="56" spans="1:17">
      <c r="A56" s="281" t="s">
        <v>1601</v>
      </c>
      <c r="B56" s="982" t="s">
        <v>813</v>
      </c>
      <c r="C56" s="983" t="s">
        <v>731</v>
      </c>
      <c r="D56" s="56">
        <f>+'3-Project True-up'!H33+'3-Project True-up'!I33</f>
        <v>-81070.097190351546</v>
      </c>
      <c r="E56" s="56">
        <v>17</v>
      </c>
      <c r="F56" s="1010">
        <f t="shared" si="1"/>
        <v>4.3647058823529416E-3</v>
      </c>
      <c r="G56" s="718">
        <f t="shared" si="2"/>
        <v>-6015.4012115240848</v>
      </c>
      <c r="H56" s="717"/>
      <c r="I56" s="89"/>
      <c r="J56" s="717"/>
      <c r="K56" s="178"/>
      <c r="L56" s="178"/>
      <c r="M56" s="62"/>
      <c r="N56" s="62"/>
      <c r="O56" s="62"/>
      <c r="P56" s="59"/>
      <c r="Q56" s="719"/>
    </row>
    <row r="57" spans="1:17">
      <c r="A57" s="281" t="s">
        <v>1607</v>
      </c>
      <c r="B57" s="982" t="s">
        <v>1047</v>
      </c>
      <c r="C57" s="983" t="s">
        <v>732</v>
      </c>
      <c r="D57" s="56">
        <f>+'3-Project True-up'!H34+'3-Project True-up'!I34</f>
        <v>-87440.568261123553</v>
      </c>
      <c r="E57" s="56">
        <v>17</v>
      </c>
      <c r="F57" s="1010">
        <f>+F56</f>
        <v>4.3647058823529416E-3</v>
      </c>
      <c r="G57" s="718">
        <f t="shared" si="2"/>
        <v>-6488.0901649753678</v>
      </c>
      <c r="H57" s="717"/>
      <c r="I57" s="89"/>
      <c r="J57" s="717"/>
      <c r="K57" s="178"/>
      <c r="L57" s="178"/>
      <c r="M57" s="62"/>
      <c r="N57" s="62"/>
      <c r="O57" s="62"/>
      <c r="P57" s="59"/>
      <c r="Q57" s="719"/>
    </row>
    <row r="58" spans="1:17">
      <c r="A58" s="281" t="s">
        <v>1608</v>
      </c>
      <c r="B58" s="982" t="s">
        <v>812</v>
      </c>
      <c r="C58" s="983" t="s">
        <v>733</v>
      </c>
      <c r="D58" s="56">
        <f>+'3-Project True-up'!H35+'3-Project True-up'!I35</f>
        <v>-87967.782230418525</v>
      </c>
      <c r="E58" s="56">
        <v>17</v>
      </c>
      <c r="F58" s="1010">
        <f>+F57</f>
        <v>4.3647058823529416E-3</v>
      </c>
      <c r="G58" s="718">
        <f t="shared" si="0"/>
        <v>-6527.2094414970552</v>
      </c>
      <c r="H58" s="717"/>
      <c r="I58" s="62"/>
      <c r="J58" s="62"/>
      <c r="K58" s="178"/>
      <c r="L58" s="178"/>
      <c r="M58" s="62"/>
      <c r="N58" s="62"/>
      <c r="O58" s="62"/>
      <c r="P58" s="59"/>
      <c r="Q58" s="719"/>
    </row>
    <row r="59" spans="1:17">
      <c r="A59" s="281" t="s">
        <v>1609</v>
      </c>
      <c r="B59" s="982" t="s">
        <v>814</v>
      </c>
      <c r="C59" s="983" t="s">
        <v>734</v>
      </c>
      <c r="D59" s="56">
        <f>+'3-Project True-up'!H36+'3-Project True-up'!I36</f>
        <v>-112818.75058512832</v>
      </c>
      <c r="E59" s="56">
        <v>17</v>
      </c>
      <c r="F59" s="1010">
        <f t="shared" si="1"/>
        <v>4.3647058823529416E-3</v>
      </c>
      <c r="G59" s="718">
        <f t="shared" si="0"/>
        <v>-8371.1512934165221</v>
      </c>
      <c r="H59" s="717"/>
      <c r="I59" s="62"/>
      <c r="J59" s="62"/>
      <c r="K59" s="178"/>
      <c r="L59" s="178"/>
      <c r="M59" s="62"/>
      <c r="N59" s="62"/>
      <c r="O59" s="62"/>
      <c r="P59" s="59"/>
      <c r="Q59" s="719"/>
    </row>
    <row r="60" spans="1:17">
      <c r="A60" s="281" t="s">
        <v>1610</v>
      </c>
      <c r="B60" s="982" t="s">
        <v>815</v>
      </c>
      <c r="C60" s="983" t="s">
        <v>735</v>
      </c>
      <c r="D60" s="56">
        <f>+'3-Project True-up'!H37+'3-Project True-up'!I37</f>
        <v>-152784.74437376426</v>
      </c>
      <c r="E60" s="56">
        <v>17</v>
      </c>
      <c r="F60" s="1010">
        <f t="shared" si="1"/>
        <v>4.3647058823529416E-3</v>
      </c>
      <c r="G60" s="718">
        <f t="shared" si="0"/>
        <v>-11336.62803253331</v>
      </c>
      <c r="H60" s="717"/>
      <c r="I60" s="62"/>
      <c r="J60" s="62"/>
      <c r="K60" s="178"/>
      <c r="L60" s="178"/>
      <c r="M60" s="62"/>
      <c r="N60" s="62"/>
      <c r="O60" s="62"/>
      <c r="P60" s="59"/>
      <c r="Q60" s="719"/>
    </row>
    <row r="61" spans="1:17">
      <c r="A61" s="281" t="s">
        <v>1611</v>
      </c>
      <c r="B61" s="982" t="s">
        <v>816</v>
      </c>
      <c r="C61" s="983" t="s">
        <v>737</v>
      </c>
      <c r="D61" s="56">
        <f>+'3-Project True-up'!H38+'3-Project True-up'!I38</f>
        <v>-86817.809658017883</v>
      </c>
      <c r="E61" s="56">
        <v>17</v>
      </c>
      <c r="F61" s="1010">
        <f t="shared" si="1"/>
        <v>4.3647058823529416E-3</v>
      </c>
      <c r="G61" s="718">
        <f t="shared" si="0"/>
        <v>-6441.8814766249279</v>
      </c>
      <c r="H61" s="717"/>
      <c r="K61" s="178"/>
      <c r="L61" s="178"/>
      <c r="M61" s="62"/>
      <c r="N61" s="62"/>
      <c r="O61" s="62"/>
      <c r="P61" s="59"/>
      <c r="Q61" s="719"/>
    </row>
    <row r="62" spans="1:17">
      <c r="A62" s="281" t="s">
        <v>1612</v>
      </c>
      <c r="B62" s="982" t="s">
        <v>1048</v>
      </c>
      <c r="C62" s="983" t="s">
        <v>1660</v>
      </c>
      <c r="D62" s="56">
        <f>+'3-Project True-up'!H39+'3-Project True-up'!I39</f>
        <v>-74012.319742014341</v>
      </c>
      <c r="E62" s="56">
        <v>17</v>
      </c>
      <c r="F62" s="1010">
        <f t="shared" si="1"/>
        <v>4.3647058823529416E-3</v>
      </c>
      <c r="G62" s="718">
        <f t="shared" si="0"/>
        <v>-5491.7141248574644</v>
      </c>
      <c r="H62" s="717"/>
      <c r="K62" s="178"/>
      <c r="L62" s="178"/>
      <c r="M62" s="62"/>
      <c r="N62" s="62"/>
      <c r="O62" s="62"/>
      <c r="P62" s="59"/>
      <c r="Q62" s="719"/>
    </row>
    <row r="63" spans="1:17">
      <c r="A63" s="281" t="s">
        <v>1613</v>
      </c>
      <c r="B63" s="982" t="s">
        <v>817</v>
      </c>
      <c r="C63" s="983" t="s">
        <v>738</v>
      </c>
      <c r="D63" s="56">
        <f>+'3-Project True-up'!H40+'3-Project True-up'!I40</f>
        <v>-90729.525893192389</v>
      </c>
      <c r="E63" s="56">
        <v>17</v>
      </c>
      <c r="F63" s="1010">
        <f t="shared" si="1"/>
        <v>4.3647058823529416E-3</v>
      </c>
      <c r="G63" s="718">
        <f t="shared" si="0"/>
        <v>-6732.1308212748754</v>
      </c>
      <c r="H63" s="717"/>
      <c r="K63" s="178"/>
      <c r="L63" s="178"/>
      <c r="M63" s="62"/>
      <c r="N63" s="62"/>
      <c r="O63" s="62"/>
      <c r="P63" s="59"/>
      <c r="Q63" s="719"/>
    </row>
    <row r="64" spans="1:17">
      <c r="A64" s="281" t="s">
        <v>1614</v>
      </c>
      <c r="B64" s="982" t="s">
        <v>1236</v>
      </c>
      <c r="C64" s="983" t="s">
        <v>721</v>
      </c>
      <c r="D64" s="56">
        <f>+'3-Project True-up'!H41+'3-Project True-up'!I41</f>
        <v>132785.75706294423</v>
      </c>
      <c r="E64" s="56">
        <v>17</v>
      </c>
      <c r="F64" s="1010">
        <f t="shared" si="1"/>
        <v>4.3647058823529416E-3</v>
      </c>
      <c r="G64" s="718">
        <f t="shared" si="0"/>
        <v>9852.7031740704624</v>
      </c>
      <c r="H64" s="717"/>
      <c r="K64" s="178"/>
      <c r="L64" s="178"/>
      <c r="M64" s="62"/>
      <c r="N64" s="62"/>
      <c r="O64" s="62"/>
      <c r="P64" s="59"/>
      <c r="Q64" s="719"/>
    </row>
    <row r="65" spans="1:17">
      <c r="A65" s="281" t="s">
        <v>1615</v>
      </c>
      <c r="B65" s="982" t="s">
        <v>1237</v>
      </c>
      <c r="C65" s="983" t="s">
        <v>736</v>
      </c>
      <c r="D65" s="56">
        <f>+'3-Project True-up'!H42+'3-Project True-up'!I42</f>
        <v>101146.94667210535</v>
      </c>
      <c r="E65" s="56">
        <v>17</v>
      </c>
      <c r="F65" s="1010">
        <f t="shared" si="1"/>
        <v>4.3647058823529416E-3</v>
      </c>
      <c r="G65" s="718">
        <f t="shared" si="0"/>
        <v>7505.1034430702166</v>
      </c>
      <c r="H65" s="717"/>
      <c r="K65" s="178"/>
      <c r="L65" s="178"/>
      <c r="M65" s="62"/>
      <c r="N65" s="62"/>
      <c r="O65" s="62"/>
      <c r="P65" s="59"/>
      <c r="Q65" s="719"/>
    </row>
    <row r="66" spans="1:17">
      <c r="A66" s="281" t="s">
        <v>1645</v>
      </c>
      <c r="B66" s="982" t="s">
        <v>1640</v>
      </c>
      <c r="C66" s="983" t="s">
        <v>1641</v>
      </c>
      <c r="D66" s="56">
        <f>+'3-Project True-up'!H43+'3-Project True-up'!I43</f>
        <v>1164094.1106452763</v>
      </c>
      <c r="E66" s="56">
        <v>17</v>
      </c>
      <c r="F66" s="1010">
        <f t="shared" si="1"/>
        <v>4.3647058823529416E-3</v>
      </c>
      <c r="G66" s="718">
        <f t="shared" ref="G66" si="3">+D66*E66*F66</f>
        <v>86375.783009879509</v>
      </c>
      <c r="H66" s="717"/>
      <c r="K66" s="178"/>
      <c r="L66" s="178"/>
      <c r="M66" s="62"/>
      <c r="N66" s="62"/>
      <c r="O66" s="62"/>
      <c r="P66" s="59"/>
      <c r="Q66" s="719"/>
    </row>
    <row r="67" spans="1:17">
      <c r="A67" s="281" t="s">
        <v>1646</v>
      </c>
      <c r="B67" s="982" t="s">
        <v>1656</v>
      </c>
      <c r="C67" s="983" t="s">
        <v>1657</v>
      </c>
      <c r="D67" s="56">
        <f>+'3-Project True-up'!H44+'3-Project True-up'!I44</f>
        <v>53694.81224853747</v>
      </c>
      <c r="E67" s="56">
        <v>17</v>
      </c>
      <c r="F67" s="1010">
        <f t="shared" si="1"/>
        <v>4.3647058823529416E-3</v>
      </c>
      <c r="G67" s="718">
        <f t="shared" ref="G67:G69" si="4">+D67*E67*F67</f>
        <v>3984.1550688414804</v>
      </c>
      <c r="H67" s="717"/>
      <c r="K67" s="178"/>
      <c r="L67" s="178"/>
      <c r="M67" s="62"/>
      <c r="N67" s="62"/>
      <c r="O67" s="62"/>
      <c r="P67" s="59"/>
      <c r="Q67" s="719"/>
    </row>
    <row r="68" spans="1:17" hidden="1">
      <c r="A68" s="281"/>
      <c r="B68" s="982"/>
      <c r="C68" s="983"/>
      <c r="D68" s="56"/>
      <c r="E68" s="56">
        <v>19</v>
      </c>
      <c r="F68" s="717">
        <f t="shared" si="1"/>
        <v>4.3647058823529416E-3</v>
      </c>
      <c r="G68" s="718">
        <f t="shared" si="4"/>
        <v>0</v>
      </c>
      <c r="H68" s="717"/>
      <c r="K68" s="178"/>
      <c r="L68" s="178"/>
      <c r="M68" s="62"/>
      <c r="N68" s="62"/>
      <c r="O68" s="62"/>
      <c r="P68" s="59"/>
      <c r="Q68" s="719"/>
    </row>
    <row r="69" spans="1:17" hidden="1">
      <c r="A69" s="281"/>
      <c r="B69" s="982"/>
      <c r="C69" s="983"/>
      <c r="D69" s="56"/>
      <c r="E69" s="56">
        <v>20</v>
      </c>
      <c r="F69" s="717">
        <f t="shared" si="1"/>
        <v>4.3647058823529416E-3</v>
      </c>
      <c r="G69" s="718">
        <f t="shared" si="4"/>
        <v>0</v>
      </c>
      <c r="H69" s="717"/>
      <c r="K69" s="178"/>
      <c r="L69" s="178"/>
      <c r="M69" s="62"/>
      <c r="N69" s="62"/>
      <c r="O69" s="62"/>
      <c r="P69" s="59"/>
      <c r="Q69" s="719"/>
    </row>
    <row r="70" spans="1:17">
      <c r="A70" s="281" t="s">
        <v>296</v>
      </c>
      <c r="B70" s="982"/>
      <c r="C70" s="983"/>
      <c r="D70" s="717"/>
      <c r="E70" s="56"/>
      <c r="F70" s="717"/>
      <c r="G70" s="720"/>
      <c r="H70" s="717"/>
      <c r="K70" s="178"/>
      <c r="L70" s="178"/>
      <c r="M70" s="62"/>
      <c r="N70" s="62"/>
      <c r="O70" s="62"/>
      <c r="P70" s="59"/>
      <c r="Q70" s="719"/>
    </row>
    <row r="71" spans="1:17">
      <c r="A71" s="281"/>
      <c r="B71" s="982"/>
      <c r="C71" s="983"/>
      <c r="D71" s="717"/>
      <c r="E71" s="56"/>
      <c r="F71" s="717"/>
      <c r="G71" s="720"/>
      <c r="H71" s="717"/>
      <c r="K71" s="178"/>
      <c r="L71" s="178"/>
      <c r="M71" s="62"/>
      <c r="N71" s="62"/>
      <c r="O71" s="62"/>
      <c r="P71" s="59"/>
      <c r="Q71" s="719"/>
    </row>
    <row r="72" spans="1:17">
      <c r="A72" s="281"/>
      <c r="B72" s="982"/>
      <c r="C72" s="983"/>
      <c r="D72" s="717"/>
      <c r="E72" s="56"/>
      <c r="F72" s="717"/>
      <c r="G72" s="720"/>
      <c r="H72" s="717"/>
      <c r="K72" s="178"/>
      <c r="L72" s="178"/>
      <c r="M72" s="62"/>
      <c r="N72" s="62"/>
      <c r="O72" s="62"/>
      <c r="P72" s="59"/>
      <c r="Q72" s="719"/>
    </row>
    <row r="73" spans="1:17">
      <c r="A73" s="281"/>
      <c r="B73" s="982"/>
      <c r="C73" s="983"/>
      <c r="D73" s="717"/>
      <c r="E73" s="56"/>
      <c r="F73" s="717"/>
      <c r="G73" s="720"/>
      <c r="H73" s="717"/>
      <c r="K73" s="178"/>
      <c r="L73" s="178"/>
      <c r="M73" s="62"/>
      <c r="N73" s="62"/>
      <c r="O73" s="62"/>
      <c r="P73" s="59"/>
      <c r="Q73" s="719"/>
    </row>
    <row r="74" spans="1:17">
      <c r="A74" s="281"/>
      <c r="B74" s="721"/>
      <c r="C74" s="722"/>
      <c r="D74" s="723"/>
      <c r="E74" s="723"/>
      <c r="F74" s="723"/>
      <c r="G74" s="724"/>
      <c r="H74" s="717"/>
      <c r="K74" s="178"/>
      <c r="L74" s="178"/>
      <c r="M74" s="62"/>
      <c r="N74" s="62"/>
      <c r="O74" s="62"/>
      <c r="P74" s="59"/>
      <c r="Q74" s="719"/>
    </row>
    <row r="75" spans="1:17">
      <c r="A75" s="281"/>
      <c r="B75" s="89"/>
      <c r="C75" s="89"/>
      <c r="D75" s="572"/>
      <c r="E75" s="725"/>
      <c r="F75" s="89"/>
      <c r="G75" s="725"/>
      <c r="H75" s="572"/>
      <c r="K75" s="89"/>
      <c r="L75" s="89"/>
      <c r="M75" s="62"/>
      <c r="N75" s="62"/>
      <c r="O75" s="62"/>
      <c r="P75" s="59"/>
      <c r="Q75" s="62"/>
    </row>
    <row r="76" spans="1:17">
      <c r="A76" s="281"/>
      <c r="B76" s="88"/>
      <c r="C76" s="88"/>
      <c r="D76" s="717"/>
      <c r="E76" s="717"/>
      <c r="F76" s="717"/>
      <c r="G76" s="717"/>
      <c r="H76" s="717"/>
      <c r="K76" s="717"/>
      <c r="L76" s="717"/>
      <c r="M76" s="62"/>
      <c r="N76" s="62"/>
      <c r="O76" s="62"/>
      <c r="P76" s="62"/>
      <c r="Q76" s="62"/>
    </row>
    <row r="77" spans="1:17">
      <c r="A77" s="281"/>
      <c r="B77" s="88"/>
      <c r="C77" s="88"/>
      <c r="D77" s="307"/>
      <c r="E77" s="307"/>
      <c r="F77" s="307"/>
      <c r="G77" s="307"/>
      <c r="H77" s="307"/>
      <c r="K77" s="307"/>
      <c r="L77" s="307"/>
    </row>
    <row r="78" spans="1:17">
      <c r="A78" s="281"/>
      <c r="B78" s="88"/>
      <c r="C78" s="88"/>
      <c r="D78" s="307"/>
      <c r="E78" s="307"/>
      <c r="F78" s="307"/>
      <c r="G78" s="307"/>
      <c r="H78" s="307"/>
      <c r="K78" s="307"/>
      <c r="L78" s="307"/>
    </row>
    <row r="79" spans="1:17">
      <c r="A79" s="281"/>
      <c r="B79" s="88"/>
      <c r="C79" s="88"/>
      <c r="D79" s="307"/>
      <c r="E79" s="307"/>
      <c r="F79" s="307"/>
      <c r="G79" s="307"/>
      <c r="H79" s="307"/>
      <c r="K79" s="307"/>
      <c r="L79" s="307"/>
    </row>
    <row r="93" ht="24" customHeight="1"/>
  </sheetData>
  <sheetProtection algorithmName="SHA-512" hashValue="B4u8GRfuo8oxyQ31eWxgNwkHG+nXnQVhFhB6VdiX6vcc4iAXqfFXQVHZ4L7ouhWlxBr8QkY2XS7GGYl4sYhWFw==" saltValue="ki4tEJZ+p2NUu5AkdKsrEQ=="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65"/>
  <sheetViews>
    <sheetView view="pageBreakPreview" zoomScale="75" zoomScaleNormal="100" zoomScaleSheetLayoutView="75" workbookViewId="0">
      <selection activeCell="C19" sqref="C19:C20"/>
    </sheetView>
  </sheetViews>
  <sheetFormatPr defaultColWidth="8.88671875" defaultRowHeight="15"/>
  <cols>
    <col min="1" max="1" width="8.88671875" style="530"/>
    <col min="2" max="2" width="43.77734375" style="530" customWidth="1"/>
    <col min="3" max="3" width="15.5546875" style="530" customWidth="1"/>
    <col min="4" max="4" width="16.33203125" style="530" customWidth="1"/>
    <col min="5" max="5" width="13.5546875" style="530" customWidth="1"/>
    <col min="6" max="6" width="14.44140625" style="530" customWidth="1"/>
    <col min="7" max="16384" width="8.88671875" style="530"/>
  </cols>
  <sheetData>
    <row r="1" spans="1:13">
      <c r="A1" s="726"/>
      <c r="C1" s="533" t="s">
        <v>194</v>
      </c>
      <c r="F1" s="655" t="s">
        <v>419</v>
      </c>
    </row>
    <row r="2" spans="1:13">
      <c r="C2" s="727" t="s">
        <v>283</v>
      </c>
    </row>
    <row r="3" spans="1:13">
      <c r="A3" s="728"/>
      <c r="C3" s="533" t="str">
        <f>+'Attachment H-7'!D5</f>
        <v>PECO Energy Company</v>
      </c>
    </row>
    <row r="4" spans="1:13">
      <c r="A4" s="728"/>
      <c r="C4" s="729"/>
    </row>
    <row r="5" spans="1:13">
      <c r="A5" s="728"/>
      <c r="C5" s="729"/>
    </row>
    <row r="6" spans="1:13">
      <c r="A6" s="730"/>
      <c r="B6" s="731" t="s">
        <v>280</v>
      </c>
      <c r="C6" s="732"/>
      <c r="D6" s="730"/>
    </row>
    <row r="7" spans="1:13">
      <c r="A7" s="730"/>
      <c r="B7" s="733" t="s">
        <v>198</v>
      </c>
      <c r="C7" s="732"/>
      <c r="D7" s="733" t="s">
        <v>199</v>
      </c>
      <c r="E7" s="733" t="s">
        <v>200</v>
      </c>
      <c r="F7" s="533" t="s">
        <v>201</v>
      </c>
    </row>
    <row r="8" spans="1:13">
      <c r="A8" s="730"/>
      <c r="B8" s="734"/>
      <c r="C8" s="734"/>
      <c r="D8" s="735" t="s">
        <v>770</v>
      </c>
      <c r="F8" s="736" t="s">
        <v>701</v>
      </c>
    </row>
    <row r="9" spans="1:13" ht="36" customHeight="1">
      <c r="A9" s="728"/>
      <c r="B9" s="728"/>
      <c r="C9" s="737"/>
      <c r="E9" s="639" t="s">
        <v>980</v>
      </c>
      <c r="F9" s="639" t="s">
        <v>1170</v>
      </c>
    </row>
    <row r="10" spans="1:13">
      <c r="A10" s="730">
        <v>1</v>
      </c>
      <c r="B10" s="738" t="s">
        <v>677</v>
      </c>
      <c r="C10" s="738"/>
      <c r="D10" s="607">
        <v>1066173</v>
      </c>
      <c r="E10" s="607">
        <v>679716.20693636674</v>
      </c>
      <c r="F10" s="537">
        <f>+E10*D19</f>
        <v>542277.25880838244</v>
      </c>
      <c r="G10" s="539"/>
    </row>
    <row r="11" spans="1:13">
      <c r="A11" s="730">
        <v>2</v>
      </c>
      <c r="B11" s="738" t="s">
        <v>678</v>
      </c>
      <c r="C11" s="738"/>
      <c r="D11" s="739"/>
      <c r="E11" s="984">
        <v>815433.78400445287</v>
      </c>
      <c r="F11" s="739">
        <f>+E11*D19</f>
        <v>650552.675686131</v>
      </c>
    </row>
    <row r="12" spans="1:13">
      <c r="A12" s="730">
        <v>3</v>
      </c>
      <c r="B12" s="738" t="s">
        <v>679</v>
      </c>
      <c r="C12" s="738" t="s">
        <v>680</v>
      </c>
      <c r="D12" s="607"/>
      <c r="F12" s="607">
        <f t="shared" ref="F12" si="0">+F10-F11</f>
        <v>-108275.41687774856</v>
      </c>
    </row>
    <row r="14" spans="1:13">
      <c r="A14" s="740"/>
      <c r="B14" s="740"/>
      <c r="C14" s="740"/>
      <c r="D14" s="740"/>
      <c r="E14" s="740"/>
      <c r="F14" s="740"/>
      <c r="G14" s="740"/>
      <c r="H14" s="740"/>
      <c r="I14" s="740"/>
      <c r="J14" s="740"/>
      <c r="K14" s="740"/>
      <c r="L14" s="740"/>
      <c r="M14" s="740"/>
    </row>
    <row r="15" spans="1:13" ht="15.75" thickBot="1">
      <c r="A15" s="741" t="s">
        <v>182</v>
      </c>
      <c r="B15" s="740"/>
      <c r="C15" s="740"/>
      <c r="D15" s="740"/>
      <c r="E15" s="740"/>
      <c r="F15" s="740"/>
      <c r="G15" s="740"/>
      <c r="H15" s="740"/>
      <c r="I15" s="740"/>
      <c r="J15" s="740"/>
      <c r="K15" s="740"/>
      <c r="L15" s="740"/>
      <c r="M15" s="740"/>
    </row>
    <row r="16" spans="1:13">
      <c r="A16" s="742" t="s">
        <v>58</v>
      </c>
      <c r="B16" s="743" t="s">
        <v>981</v>
      </c>
      <c r="C16" s="744"/>
      <c r="D16" s="744"/>
      <c r="E16" s="744"/>
      <c r="F16" s="744"/>
      <c r="G16" s="744"/>
      <c r="H16" s="744"/>
      <c r="I16" s="744"/>
      <c r="J16" s="744"/>
      <c r="K16" s="744"/>
      <c r="L16" s="744"/>
      <c r="M16" s="744"/>
    </row>
    <row r="17" spans="1:13">
      <c r="A17" s="742"/>
      <c r="B17" s="743" t="s">
        <v>983</v>
      </c>
      <c r="C17" s="744"/>
      <c r="D17" s="744"/>
      <c r="E17" s="744"/>
      <c r="F17" s="744"/>
      <c r="G17" s="744"/>
      <c r="H17" s="744"/>
      <c r="I17" s="744"/>
      <c r="J17" s="744"/>
      <c r="K17" s="744"/>
      <c r="L17" s="744"/>
      <c r="M17" s="744"/>
    </row>
    <row r="18" spans="1:13">
      <c r="A18" s="745"/>
      <c r="C18" s="533" t="s">
        <v>44</v>
      </c>
      <c r="D18" s="530" t="s">
        <v>53</v>
      </c>
      <c r="E18" s="533"/>
    </row>
    <row r="19" spans="1:13">
      <c r="A19" s="533" t="s">
        <v>59</v>
      </c>
      <c r="B19" s="530" t="s">
        <v>982</v>
      </c>
      <c r="C19" s="971">
        <v>166589129</v>
      </c>
      <c r="D19" s="539">
        <f>C19/C21</f>
        <v>0.79779951290634588</v>
      </c>
      <c r="E19" s="42"/>
    </row>
    <row r="20" spans="1:13">
      <c r="B20" s="530" t="s">
        <v>1384</v>
      </c>
      <c r="C20" s="984">
        <v>42221639</v>
      </c>
      <c r="D20" s="539">
        <f>C20/C21</f>
        <v>0.2022004870936541</v>
      </c>
      <c r="E20" s="42"/>
    </row>
    <row r="21" spans="1:13">
      <c r="B21" s="530" t="s">
        <v>13</v>
      </c>
      <c r="C21" s="537">
        <f>+C19+C20</f>
        <v>208810768</v>
      </c>
      <c r="D21" s="746"/>
    </row>
    <row r="23" spans="1:13">
      <c r="A23" s="533" t="s">
        <v>60</v>
      </c>
      <c r="B23" s="747" t="s">
        <v>1171</v>
      </c>
    </row>
    <row r="24" spans="1:13">
      <c r="B24" s="530" t="s">
        <v>1172</v>
      </c>
    </row>
    <row r="65" ht="24" customHeight="1"/>
  </sheetData>
  <sheetProtection algorithmName="SHA-512" hashValue="iKJt/cQw0SvDvf7BxJidqF8hfngUSlliR8/dn1Wvt746FPk0XMf8xydM0xW99f0/LvBQ141hqJcOCg1EGo3BAw==" saltValue="rA1ZObtZnRpI17B5bn/Sjw==" spinCount="100000" sheet="1" objects="1" scenarios="1"/>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49"/>
  <sheetViews>
    <sheetView view="pageBreakPreview" topLeftCell="A91" zoomScale="50" zoomScaleNormal="70" zoomScaleSheetLayoutView="50" workbookViewId="0">
      <selection activeCell="D151" sqref="D151"/>
    </sheetView>
  </sheetViews>
  <sheetFormatPr defaultColWidth="8.77734375" defaultRowHeight="15.75"/>
  <cols>
    <col min="1" max="1" width="8.77734375" style="748"/>
    <col min="2" max="2" width="6.77734375" style="749" customWidth="1"/>
    <col min="3" max="3" width="56.6640625" style="749" customWidth="1"/>
    <col min="4" max="4" width="18.44140625" style="749" customWidth="1"/>
    <col min="5" max="5" width="21.33203125" style="749" customWidth="1"/>
    <col min="6" max="6" width="16.33203125" style="749" customWidth="1"/>
    <col min="7" max="7" width="21.44140625" style="749" customWidth="1"/>
    <col min="8" max="8" width="22.77734375" style="749" customWidth="1"/>
    <col min="9" max="11" width="22.77734375" style="750" customWidth="1"/>
    <col min="12" max="12" width="18.109375" style="750" customWidth="1"/>
    <col min="13" max="13" width="8.77734375" style="749"/>
    <col min="14" max="14" width="14.21875" style="751" bestFit="1" customWidth="1"/>
    <col min="15" max="15" width="16.44140625" style="752" customWidth="1"/>
    <col min="16" max="16" width="9.44140625" style="749" customWidth="1"/>
    <col min="17" max="17" width="9.109375" style="749" customWidth="1"/>
    <col min="18" max="16384" width="8.77734375" style="749"/>
  </cols>
  <sheetData>
    <row r="1" spans="1:15">
      <c r="L1" s="233" t="s">
        <v>1531</v>
      </c>
    </row>
    <row r="2" spans="1:15">
      <c r="B2" s="1071" t="s">
        <v>681</v>
      </c>
      <c r="C2" s="1071"/>
      <c r="D2" s="1071"/>
      <c r="E2" s="1071"/>
      <c r="F2" s="1071"/>
      <c r="G2" s="1071"/>
      <c r="H2" s="1071"/>
      <c r="I2" s="1071"/>
      <c r="J2" s="1071"/>
      <c r="K2" s="1071"/>
      <c r="L2" s="1071"/>
    </row>
    <row r="3" spans="1:15">
      <c r="B3" s="1071" t="s">
        <v>1559</v>
      </c>
      <c r="C3" s="1071"/>
      <c r="D3" s="1071"/>
      <c r="E3" s="1071"/>
      <c r="F3" s="1071"/>
      <c r="G3" s="1071"/>
      <c r="H3" s="1071"/>
      <c r="I3" s="1071"/>
      <c r="J3" s="1071"/>
      <c r="K3" s="1071"/>
      <c r="L3" s="1071"/>
    </row>
    <row r="4" spans="1:15">
      <c r="L4" s="749"/>
    </row>
    <row r="6" spans="1:15">
      <c r="G6" s="17"/>
      <c r="L6" s="243"/>
    </row>
    <row r="7" spans="1:15">
      <c r="B7" s="753" t="s">
        <v>984</v>
      </c>
      <c r="C7" s="753" t="s">
        <v>985</v>
      </c>
      <c r="D7" s="753" t="s">
        <v>986</v>
      </c>
      <c r="E7" s="753" t="s">
        <v>987</v>
      </c>
      <c r="F7" s="243" t="s">
        <v>988</v>
      </c>
      <c r="G7" s="754" t="s">
        <v>989</v>
      </c>
      <c r="H7" s="755" t="s">
        <v>990</v>
      </c>
      <c r="I7" s="243" t="s">
        <v>991</v>
      </c>
      <c r="J7" s="243" t="s">
        <v>992</v>
      </c>
      <c r="K7" s="243" t="s">
        <v>993</v>
      </c>
    </row>
    <row r="8" spans="1:15">
      <c r="C8" s="756"/>
      <c r="D8" s="753"/>
      <c r="E8" s="753"/>
      <c r="F8" s="754"/>
      <c r="G8" s="755"/>
      <c r="H8" s="243" t="s">
        <v>994</v>
      </c>
      <c r="I8" s="243" t="s">
        <v>995</v>
      </c>
      <c r="J8" s="243" t="s">
        <v>1049</v>
      </c>
      <c r="K8" s="243" t="s">
        <v>996</v>
      </c>
    </row>
    <row r="9" spans="1:15">
      <c r="C9" s="756"/>
      <c r="D9" s="753" t="s">
        <v>997</v>
      </c>
      <c r="E9" s="753" t="s">
        <v>998</v>
      </c>
      <c r="F9" s="754" t="s">
        <v>999</v>
      </c>
      <c r="G9" s="754" t="s">
        <v>1567</v>
      </c>
      <c r="H9" s="243" t="s">
        <v>1484</v>
      </c>
      <c r="I9" s="243" t="s">
        <v>996</v>
      </c>
      <c r="J9" s="243" t="s">
        <v>458</v>
      </c>
      <c r="K9" s="243" t="s">
        <v>1000</v>
      </c>
    </row>
    <row r="10" spans="1:15">
      <c r="B10" s="757" t="s">
        <v>1001</v>
      </c>
      <c r="C10" s="757" t="s">
        <v>1002</v>
      </c>
      <c r="D10" s="757" t="s">
        <v>1003</v>
      </c>
      <c r="E10" s="757" t="s">
        <v>1004</v>
      </c>
      <c r="F10" s="758" t="s">
        <v>1005</v>
      </c>
      <c r="G10" s="758" t="s">
        <v>1568</v>
      </c>
      <c r="H10" s="759" t="s">
        <v>44</v>
      </c>
      <c r="I10" s="759" t="s">
        <v>44</v>
      </c>
      <c r="J10" s="759" t="s">
        <v>44</v>
      </c>
      <c r="K10" s="759" t="s">
        <v>44</v>
      </c>
    </row>
    <row r="11" spans="1:15">
      <c r="B11" s="753"/>
      <c r="C11" s="760"/>
      <c r="D11" s="761" t="s">
        <v>1130</v>
      </c>
      <c r="E11" s="761" t="s">
        <v>1130</v>
      </c>
      <c r="F11" s="762" t="s">
        <v>1050</v>
      </c>
      <c r="G11" s="763"/>
      <c r="H11" s="762" t="s">
        <v>1129</v>
      </c>
      <c r="I11" s="762" t="s">
        <v>1129</v>
      </c>
      <c r="J11" s="764" t="s">
        <v>1051</v>
      </c>
      <c r="K11" s="764" t="s">
        <v>1485</v>
      </c>
    </row>
    <row r="12" spans="1:15" ht="16.5" thickBot="1">
      <c r="B12" s="753"/>
      <c r="C12" s="765"/>
      <c r="D12" s="766"/>
      <c r="E12" s="766"/>
      <c r="F12" s="767"/>
      <c r="G12" s="768"/>
      <c r="H12" s="769"/>
      <c r="I12" s="769"/>
      <c r="J12" s="769"/>
      <c r="K12" s="769"/>
    </row>
    <row r="13" spans="1:15" ht="16.5" thickBot="1">
      <c r="A13" s="748">
        <v>1</v>
      </c>
      <c r="B13" s="770"/>
      <c r="D13" s="771"/>
      <c r="E13" s="772"/>
      <c r="F13" s="773"/>
      <c r="G13" s="703"/>
      <c r="H13" s="1075" t="s">
        <v>1616</v>
      </c>
      <c r="I13" s="1076"/>
      <c r="J13" s="1077"/>
      <c r="K13" s="774" t="s">
        <v>1617</v>
      </c>
      <c r="N13" s="775"/>
    </row>
    <row r="14" spans="1:15">
      <c r="A14" s="748">
        <f>A13+1</f>
        <v>2</v>
      </c>
      <c r="B14" s="770"/>
      <c r="C14" s="776" t="s">
        <v>797</v>
      </c>
      <c r="D14" s="771"/>
      <c r="E14" s="772"/>
      <c r="F14" s="773"/>
      <c r="G14" s="777"/>
      <c r="H14" s="778"/>
      <c r="I14" s="778"/>
      <c r="J14" s="779"/>
      <c r="K14" s="780"/>
      <c r="N14" s="780"/>
    </row>
    <row r="15" spans="1:15">
      <c r="A15" s="748">
        <f t="shared" ref="A15:A23" si="0">A14+1</f>
        <v>3</v>
      </c>
      <c r="B15" s="770">
        <v>352</v>
      </c>
      <c r="C15" s="781" t="s">
        <v>1006</v>
      </c>
      <c r="D15" s="771" t="s">
        <v>1031</v>
      </c>
      <c r="E15" s="771" t="s">
        <v>1031</v>
      </c>
      <c r="F15" s="782" t="s">
        <v>1031</v>
      </c>
      <c r="G15" s="783">
        <v>1.8720000000000001E-2</v>
      </c>
      <c r="H15" s="850">
        <v>84648186</v>
      </c>
      <c r="I15" s="850">
        <v>22075677</v>
      </c>
      <c r="J15" s="240">
        <f t="shared" ref="J15:J22" si="1">H15-I15</f>
        <v>62572509</v>
      </c>
      <c r="K15" s="784">
        <f>IF(G15="N/A", 0, G15*H15)</f>
        <v>1584614.04192</v>
      </c>
      <c r="N15" s="785"/>
      <c r="O15" s="786"/>
    </row>
    <row r="16" spans="1:15">
      <c r="A16" s="748">
        <f t="shared" si="0"/>
        <v>4</v>
      </c>
      <c r="B16" s="770">
        <v>353</v>
      </c>
      <c r="C16" s="781" t="s">
        <v>1007</v>
      </c>
      <c r="D16" s="771" t="s">
        <v>1031</v>
      </c>
      <c r="E16" s="771" t="s">
        <v>1031</v>
      </c>
      <c r="F16" s="782" t="s">
        <v>1031</v>
      </c>
      <c r="G16" s="783">
        <v>1.7493999999999999E-2</v>
      </c>
      <c r="H16" s="850">
        <v>916183089</v>
      </c>
      <c r="I16" s="850">
        <v>206465896</v>
      </c>
      <c r="J16" s="240">
        <f t="shared" si="1"/>
        <v>709717193</v>
      </c>
      <c r="K16" s="784">
        <f t="shared" ref="K16:K22" si="2">IF(G16="N/A", 0, G16*H16)</f>
        <v>16027706.958966</v>
      </c>
      <c r="N16" s="785"/>
      <c r="O16" s="786"/>
    </row>
    <row r="17" spans="1:17">
      <c r="A17" s="748">
        <f t="shared" si="0"/>
        <v>5</v>
      </c>
      <c r="B17" s="770">
        <v>354</v>
      </c>
      <c r="C17" s="781" t="s">
        <v>1008</v>
      </c>
      <c r="D17" s="771" t="s">
        <v>1031</v>
      </c>
      <c r="E17" s="771" t="s">
        <v>1031</v>
      </c>
      <c r="F17" s="782" t="s">
        <v>1031</v>
      </c>
      <c r="G17" s="783">
        <v>1.2812E-2</v>
      </c>
      <c r="H17" s="850">
        <v>289020870</v>
      </c>
      <c r="I17" s="850">
        <v>160785185</v>
      </c>
      <c r="J17" s="240">
        <f t="shared" si="1"/>
        <v>128235685</v>
      </c>
      <c r="K17" s="784">
        <f t="shared" si="2"/>
        <v>3702935.38644</v>
      </c>
      <c r="N17" s="785"/>
      <c r="O17" s="786"/>
    </row>
    <row r="18" spans="1:17">
      <c r="A18" s="748">
        <f t="shared" si="0"/>
        <v>6</v>
      </c>
      <c r="B18" s="770">
        <v>355</v>
      </c>
      <c r="C18" s="781" t="s">
        <v>1010</v>
      </c>
      <c r="D18" s="771" t="s">
        <v>1031</v>
      </c>
      <c r="E18" s="771" t="s">
        <v>1031</v>
      </c>
      <c r="F18" s="782" t="s">
        <v>1031</v>
      </c>
      <c r="G18" s="783">
        <v>1.5094E-2</v>
      </c>
      <c r="H18" s="850">
        <v>17404687</v>
      </c>
      <c r="I18" s="850">
        <v>2569179</v>
      </c>
      <c r="J18" s="240">
        <f t="shared" si="1"/>
        <v>14835508</v>
      </c>
      <c r="K18" s="784">
        <f t="shared" si="2"/>
        <v>262706.34557800001</v>
      </c>
      <c r="N18" s="785"/>
      <c r="O18" s="786"/>
    </row>
    <row r="19" spans="1:17">
      <c r="A19" s="748">
        <f t="shared" si="0"/>
        <v>7</v>
      </c>
      <c r="B19" s="770">
        <v>356</v>
      </c>
      <c r="C19" s="781" t="s">
        <v>1011</v>
      </c>
      <c r="D19" s="771" t="s">
        <v>1031</v>
      </c>
      <c r="E19" s="771" t="s">
        <v>1031</v>
      </c>
      <c r="F19" s="782" t="s">
        <v>1031</v>
      </c>
      <c r="G19" s="783">
        <v>1.5664000000000001E-2</v>
      </c>
      <c r="H19" s="850">
        <v>200291092</v>
      </c>
      <c r="I19" s="850">
        <v>84403607</v>
      </c>
      <c r="J19" s="240">
        <f t="shared" si="1"/>
        <v>115887485</v>
      </c>
      <c r="K19" s="784">
        <f t="shared" si="2"/>
        <v>3137359.6650880002</v>
      </c>
      <c r="N19" s="785"/>
      <c r="O19" s="786"/>
    </row>
    <row r="20" spans="1:17">
      <c r="A20" s="748">
        <f t="shared" si="0"/>
        <v>8</v>
      </c>
      <c r="B20" s="770">
        <v>357</v>
      </c>
      <c r="C20" s="781" t="s">
        <v>1012</v>
      </c>
      <c r="D20" s="771" t="s">
        <v>1031</v>
      </c>
      <c r="E20" s="771" t="s">
        <v>1031</v>
      </c>
      <c r="F20" s="782" t="s">
        <v>1031</v>
      </c>
      <c r="G20" s="783">
        <v>1.5793000000000001E-2</v>
      </c>
      <c r="H20" s="850">
        <v>16205140</v>
      </c>
      <c r="I20" s="850">
        <v>4253018</v>
      </c>
      <c r="J20" s="240">
        <f t="shared" si="1"/>
        <v>11952122</v>
      </c>
      <c r="K20" s="784">
        <f t="shared" si="2"/>
        <v>255927.77602000002</v>
      </c>
      <c r="N20" s="785"/>
      <c r="O20" s="786"/>
    </row>
    <row r="21" spans="1:17">
      <c r="A21" s="748">
        <f t="shared" si="0"/>
        <v>9</v>
      </c>
      <c r="B21" s="770">
        <v>358</v>
      </c>
      <c r="C21" s="781" t="s">
        <v>1013</v>
      </c>
      <c r="D21" s="771" t="s">
        <v>1031</v>
      </c>
      <c r="E21" s="771" t="s">
        <v>1031</v>
      </c>
      <c r="F21" s="782" t="s">
        <v>1031</v>
      </c>
      <c r="G21" s="783">
        <v>1.5723000000000001E-2</v>
      </c>
      <c r="H21" s="850">
        <v>103883450</v>
      </c>
      <c r="I21" s="850">
        <v>45482089</v>
      </c>
      <c r="J21" s="787">
        <f t="shared" si="1"/>
        <v>58401361</v>
      </c>
      <c r="K21" s="785">
        <f t="shared" si="2"/>
        <v>1633359.48435</v>
      </c>
      <c r="N21" s="785"/>
      <c r="O21" s="786"/>
    </row>
    <row r="22" spans="1:17">
      <c r="A22" s="748">
        <f t="shared" si="0"/>
        <v>10</v>
      </c>
      <c r="B22" s="770">
        <v>359</v>
      </c>
      <c r="C22" s="781" t="s">
        <v>1014</v>
      </c>
      <c r="D22" s="771" t="s">
        <v>1031</v>
      </c>
      <c r="E22" s="771" t="s">
        <v>1031</v>
      </c>
      <c r="F22" s="782" t="s">
        <v>1031</v>
      </c>
      <c r="G22" s="783">
        <v>3.715E-3</v>
      </c>
      <c r="H22" s="850">
        <v>2545719</v>
      </c>
      <c r="I22" s="850">
        <v>2087014</v>
      </c>
      <c r="J22" s="787">
        <f t="shared" si="1"/>
        <v>458705</v>
      </c>
      <c r="K22" s="785">
        <f t="shared" si="2"/>
        <v>9457.3460849999992</v>
      </c>
      <c r="N22" s="785"/>
      <c r="O22" s="786"/>
    </row>
    <row r="23" spans="1:17" ht="16.5" thickBot="1">
      <c r="A23" s="748">
        <f t="shared" si="0"/>
        <v>11</v>
      </c>
      <c r="B23" s="770"/>
      <c r="C23" s="781"/>
      <c r="D23" s="771"/>
      <c r="E23" s="771"/>
      <c r="F23" s="771"/>
      <c r="G23" s="783"/>
      <c r="H23" s="788">
        <f>SUM(H15:H22)</f>
        <v>1630182233</v>
      </c>
      <c r="I23" s="788">
        <f>SUM(I15:I22)</f>
        <v>528121665</v>
      </c>
      <c r="J23" s="788">
        <f>SUM(J15:J22)</f>
        <v>1102060568</v>
      </c>
      <c r="K23" s="788">
        <f>SUM(K15:K22)</f>
        <v>26614067.004447006</v>
      </c>
      <c r="M23" s="789"/>
      <c r="N23" s="790"/>
      <c r="O23" s="791"/>
    </row>
    <row r="24" spans="1:17" ht="16.5" thickTop="1">
      <c r="B24" s="770"/>
      <c r="C24" s="781"/>
      <c r="D24" s="771"/>
      <c r="E24" s="771"/>
      <c r="F24" s="771"/>
      <c r="G24" s="783"/>
      <c r="H24" s="787"/>
      <c r="I24" s="787"/>
      <c r="J24" s="787"/>
      <c r="K24" s="785"/>
      <c r="N24" s="785"/>
    </row>
    <row r="25" spans="1:17">
      <c r="A25" s="748">
        <f>A23+1</f>
        <v>12</v>
      </c>
      <c r="B25" s="770"/>
      <c r="C25" s="776" t="s">
        <v>902</v>
      </c>
      <c r="F25" s="95"/>
      <c r="G25" s="792"/>
      <c r="H25" s="750"/>
      <c r="J25" s="779"/>
      <c r="K25" s="780"/>
      <c r="N25" s="780"/>
    </row>
    <row r="26" spans="1:17" ht="15" customHeight="1">
      <c r="A26" s="748">
        <f>A25+1</f>
        <v>13</v>
      </c>
      <c r="B26" s="770">
        <v>390</v>
      </c>
      <c r="C26" s="781" t="s">
        <v>1006</v>
      </c>
      <c r="D26" s="771">
        <v>40</v>
      </c>
      <c r="E26" s="772" t="s">
        <v>1015</v>
      </c>
      <c r="F26" s="985">
        <v>26.62</v>
      </c>
      <c r="G26" s="793">
        <v>2.8378E-2</v>
      </c>
      <c r="H26" s="850">
        <v>49534157</v>
      </c>
      <c r="I26" s="850">
        <v>11870358</v>
      </c>
      <c r="J26" s="794">
        <f t="shared" ref="J26:J37" si="3">H26-I26</f>
        <v>37663799</v>
      </c>
      <c r="K26" s="794">
        <f t="shared" ref="K26:K37" si="4">IF(G26="N/A", 0, G26*H26)</f>
        <v>1405680.3073460001</v>
      </c>
      <c r="N26" s="795"/>
      <c r="O26" s="786"/>
    </row>
    <row r="27" spans="1:17" ht="15" customHeight="1">
      <c r="A27" s="748">
        <f t="shared" ref="A27:A38" si="5">A26+1</f>
        <v>14</v>
      </c>
      <c r="B27" s="770">
        <v>391.1</v>
      </c>
      <c r="C27" s="781" t="s">
        <v>1016</v>
      </c>
      <c r="D27" s="771">
        <v>10</v>
      </c>
      <c r="E27" s="772" t="s">
        <v>1017</v>
      </c>
      <c r="F27" s="985">
        <v>2.5</v>
      </c>
      <c r="G27" s="793">
        <v>0.18121999999999999</v>
      </c>
      <c r="H27" s="850">
        <v>83462</v>
      </c>
      <c r="I27" s="850">
        <v>65786</v>
      </c>
      <c r="J27" s="794">
        <f t="shared" si="3"/>
        <v>17676</v>
      </c>
      <c r="K27" s="794">
        <f t="shared" si="4"/>
        <v>15124.983639999999</v>
      </c>
      <c r="N27" s="795"/>
      <c r="O27" s="786"/>
    </row>
    <row r="28" spans="1:17" ht="15" customHeight="1">
      <c r="A28" s="748">
        <f t="shared" si="5"/>
        <v>15</v>
      </c>
      <c r="B28" s="770">
        <v>391.2</v>
      </c>
      <c r="C28" s="781" t="s">
        <v>1018</v>
      </c>
      <c r="D28" s="771">
        <v>15</v>
      </c>
      <c r="E28" s="772" t="s">
        <v>1017</v>
      </c>
      <c r="F28" s="985">
        <v>10.93</v>
      </c>
      <c r="G28" s="793">
        <v>0.10989</v>
      </c>
      <c r="H28" s="850">
        <v>509566</v>
      </c>
      <c r="I28" s="850">
        <v>147907</v>
      </c>
      <c r="J28" s="794">
        <f t="shared" si="3"/>
        <v>361659</v>
      </c>
      <c r="K28" s="794">
        <f t="shared" si="4"/>
        <v>55996.207739999998</v>
      </c>
      <c r="N28" s="795"/>
      <c r="O28" s="786"/>
      <c r="P28" s="796"/>
      <c r="Q28" s="797"/>
    </row>
    <row r="29" spans="1:17" ht="15" customHeight="1">
      <c r="A29" s="748">
        <f t="shared" si="5"/>
        <v>16</v>
      </c>
      <c r="B29" s="770">
        <v>391.3</v>
      </c>
      <c r="C29" s="781" t="s">
        <v>1019</v>
      </c>
      <c r="D29" s="771">
        <v>5</v>
      </c>
      <c r="E29" s="772" t="s">
        <v>1017</v>
      </c>
      <c r="F29" s="985">
        <v>3.25</v>
      </c>
      <c r="G29" s="793">
        <v>0.18504000000000001</v>
      </c>
      <c r="H29" s="850">
        <v>28616027</v>
      </c>
      <c r="I29" s="850">
        <v>13187765</v>
      </c>
      <c r="J29" s="794">
        <f t="shared" si="3"/>
        <v>15428262</v>
      </c>
      <c r="K29" s="794">
        <f t="shared" si="4"/>
        <v>5295109.6360800005</v>
      </c>
      <c r="N29" s="795"/>
      <c r="O29" s="786"/>
      <c r="P29" s="796"/>
    </row>
    <row r="30" spans="1:17" ht="15" customHeight="1">
      <c r="A30" s="748">
        <f t="shared" si="5"/>
        <v>17</v>
      </c>
      <c r="B30" s="770">
        <v>391.4</v>
      </c>
      <c r="C30" s="781" t="s">
        <v>1020</v>
      </c>
      <c r="D30" s="771">
        <v>5</v>
      </c>
      <c r="E30" s="772" t="s">
        <v>1017</v>
      </c>
      <c r="F30" s="985">
        <v>3.25</v>
      </c>
      <c r="G30" s="793">
        <v>0.118383</v>
      </c>
      <c r="H30" s="850">
        <v>656594</v>
      </c>
      <c r="I30" s="850">
        <v>-76065</v>
      </c>
      <c r="J30" s="794">
        <f t="shared" si="3"/>
        <v>732659</v>
      </c>
      <c r="K30" s="794">
        <f t="shared" si="4"/>
        <v>77729.567502000005</v>
      </c>
      <c r="N30" s="795"/>
      <c r="O30" s="786"/>
      <c r="P30" s="796"/>
    </row>
    <row r="31" spans="1:17" ht="15" customHeight="1">
      <c r="A31" s="748">
        <f t="shared" si="5"/>
        <v>18</v>
      </c>
      <c r="B31" s="770">
        <v>393</v>
      </c>
      <c r="C31" s="781" t="s">
        <v>1021</v>
      </c>
      <c r="D31" s="771">
        <v>15</v>
      </c>
      <c r="E31" s="772" t="s">
        <v>1017</v>
      </c>
      <c r="F31" s="985">
        <v>9.32</v>
      </c>
      <c r="G31" s="793">
        <v>8.6817000000000005E-2</v>
      </c>
      <c r="H31" s="850">
        <v>46470</v>
      </c>
      <c r="I31" s="850">
        <v>11016</v>
      </c>
      <c r="J31" s="794">
        <f t="shared" si="3"/>
        <v>35454</v>
      </c>
      <c r="K31" s="794">
        <f t="shared" si="4"/>
        <v>4034.3859900000002</v>
      </c>
      <c r="N31" s="795"/>
      <c r="O31" s="786"/>
    </row>
    <row r="32" spans="1:17" ht="15" customHeight="1">
      <c r="A32" s="748">
        <f t="shared" si="5"/>
        <v>19</v>
      </c>
      <c r="B32" s="770">
        <v>394</v>
      </c>
      <c r="C32" s="781" t="s">
        <v>1022</v>
      </c>
      <c r="D32" s="771">
        <v>15</v>
      </c>
      <c r="E32" s="772" t="s">
        <v>1017</v>
      </c>
      <c r="F32" s="985">
        <v>9.5399999999999991</v>
      </c>
      <c r="G32" s="793">
        <v>6.7895999999999998E-2</v>
      </c>
      <c r="H32" s="850">
        <v>37811861</v>
      </c>
      <c r="I32" s="850">
        <v>12704571</v>
      </c>
      <c r="J32" s="794">
        <f t="shared" si="3"/>
        <v>25107290</v>
      </c>
      <c r="K32" s="794">
        <f t="shared" si="4"/>
        <v>2567274.1144559998</v>
      </c>
      <c r="N32" s="795"/>
      <c r="O32" s="786"/>
    </row>
    <row r="33" spans="1:15" ht="15" customHeight="1">
      <c r="A33" s="748">
        <f t="shared" si="5"/>
        <v>20</v>
      </c>
      <c r="B33" s="770">
        <v>395.1</v>
      </c>
      <c r="C33" s="781" t="s">
        <v>1023</v>
      </c>
      <c r="D33" s="771">
        <v>20</v>
      </c>
      <c r="E33" s="772" t="s">
        <v>1017</v>
      </c>
      <c r="F33" s="985">
        <v>6.74</v>
      </c>
      <c r="G33" s="793">
        <v>4.4040000000000003E-2</v>
      </c>
      <c r="H33" s="850">
        <v>311026</v>
      </c>
      <c r="I33" s="850">
        <v>227910</v>
      </c>
      <c r="J33" s="794">
        <f t="shared" si="3"/>
        <v>83116</v>
      </c>
      <c r="K33" s="794">
        <f t="shared" si="4"/>
        <v>13697.585040000002</v>
      </c>
      <c r="N33" s="795"/>
      <c r="O33" s="786"/>
    </row>
    <row r="34" spans="1:15" ht="15" customHeight="1">
      <c r="A34" s="748">
        <f t="shared" si="5"/>
        <v>21</v>
      </c>
      <c r="B34" s="770">
        <v>395.2</v>
      </c>
      <c r="C34" s="781" t="s">
        <v>1024</v>
      </c>
      <c r="D34" s="771">
        <v>15</v>
      </c>
      <c r="E34" s="772" t="s">
        <v>1017</v>
      </c>
      <c r="F34" s="985">
        <v>3.5</v>
      </c>
      <c r="G34" s="793">
        <v>6.4772999999999997E-2</v>
      </c>
      <c r="H34" s="850">
        <v>101381</v>
      </c>
      <c r="I34" s="850">
        <v>81824</v>
      </c>
      <c r="J34" s="794">
        <f t="shared" si="3"/>
        <v>19557</v>
      </c>
      <c r="K34" s="794">
        <f t="shared" si="4"/>
        <v>6566.7515130000002</v>
      </c>
      <c r="N34" s="795"/>
      <c r="O34" s="786"/>
    </row>
    <row r="35" spans="1:15" ht="15" customHeight="1">
      <c r="A35" s="748">
        <f t="shared" si="5"/>
        <v>22</v>
      </c>
      <c r="B35" s="770">
        <v>397</v>
      </c>
      <c r="C35" s="781" t="s">
        <v>1025</v>
      </c>
      <c r="D35" s="771">
        <v>20</v>
      </c>
      <c r="E35" s="772" t="s">
        <v>1026</v>
      </c>
      <c r="F35" s="985">
        <v>14.46</v>
      </c>
      <c r="G35" s="793">
        <v>4.8406999999999999E-2</v>
      </c>
      <c r="H35" s="850">
        <v>128734058</v>
      </c>
      <c r="I35" s="850">
        <v>32489484</v>
      </c>
      <c r="J35" s="794">
        <f t="shared" si="3"/>
        <v>96244574</v>
      </c>
      <c r="K35" s="794">
        <f t="shared" si="4"/>
        <v>6231629.5456059994</v>
      </c>
      <c r="N35" s="795"/>
      <c r="O35" s="786"/>
    </row>
    <row r="36" spans="1:15" ht="15" customHeight="1">
      <c r="A36" s="748">
        <f t="shared" si="5"/>
        <v>23</v>
      </c>
      <c r="B36" s="770">
        <v>397.1</v>
      </c>
      <c r="C36" s="781" t="s">
        <v>1027</v>
      </c>
      <c r="D36" s="771">
        <v>15</v>
      </c>
      <c r="E36" s="772" t="s">
        <v>1028</v>
      </c>
      <c r="F36" s="985">
        <v>9.4700000000000006</v>
      </c>
      <c r="G36" s="793">
        <v>6.5693000000000001E-2</v>
      </c>
      <c r="H36" s="850">
        <v>36350171</v>
      </c>
      <c r="I36" s="850">
        <v>13922355</v>
      </c>
      <c r="J36" s="794">
        <f t="shared" si="3"/>
        <v>22427816</v>
      </c>
      <c r="K36" s="794">
        <f t="shared" si="4"/>
        <v>2387951.7835030002</v>
      </c>
      <c r="N36" s="795"/>
      <c r="O36" s="786"/>
    </row>
    <row r="37" spans="1:15" ht="15" customHeight="1">
      <c r="A37" s="748">
        <f t="shared" si="5"/>
        <v>24</v>
      </c>
      <c r="B37" s="770">
        <v>398</v>
      </c>
      <c r="C37" s="781" t="s">
        <v>1029</v>
      </c>
      <c r="D37" s="771">
        <v>15</v>
      </c>
      <c r="E37" s="772" t="s">
        <v>1017</v>
      </c>
      <c r="F37" s="985">
        <v>0.54</v>
      </c>
      <c r="G37" s="793">
        <v>0.118064</v>
      </c>
      <c r="H37" s="850">
        <v>25817</v>
      </c>
      <c r="I37" s="850">
        <v>3845</v>
      </c>
      <c r="J37" s="794">
        <f t="shared" si="3"/>
        <v>21972</v>
      </c>
      <c r="K37" s="794">
        <f t="shared" si="4"/>
        <v>3048.0582880000002</v>
      </c>
      <c r="N37" s="795"/>
      <c r="O37" s="786"/>
    </row>
    <row r="38" spans="1:15" ht="15" customHeight="1" thickBot="1">
      <c r="A38" s="748">
        <f t="shared" si="5"/>
        <v>25</v>
      </c>
      <c r="B38" s="770"/>
      <c r="C38" s="781"/>
      <c r="D38" s="771"/>
      <c r="E38" s="771"/>
      <c r="F38" s="771"/>
      <c r="G38" s="798"/>
      <c r="H38" s="799">
        <f>SUM(H26:H37)</f>
        <v>282780590</v>
      </c>
      <c r="I38" s="799">
        <f>SUM(I26:I37)</f>
        <v>84636756</v>
      </c>
      <c r="J38" s="799">
        <f>SUM(J26:J37)</f>
        <v>198143834</v>
      </c>
      <c r="K38" s="799">
        <f>SUM(K26:K37)</f>
        <v>18063842.926704001</v>
      </c>
      <c r="M38" s="789"/>
      <c r="N38" s="800"/>
      <c r="O38" s="791"/>
    </row>
    <row r="39" spans="1:15" ht="15" customHeight="1" thickTop="1">
      <c r="B39" s="801"/>
      <c r="C39" s="802"/>
      <c r="D39" s="771"/>
      <c r="E39" s="771"/>
      <c r="F39" s="771"/>
      <c r="G39" s="803"/>
      <c r="H39" s="800"/>
      <c r="I39" s="800"/>
      <c r="J39" s="800"/>
      <c r="K39" s="800"/>
      <c r="L39" s="233" t="s">
        <v>1532</v>
      </c>
      <c r="M39" s="789"/>
    </row>
    <row r="40" spans="1:15" ht="15" customHeight="1">
      <c r="B40" s="1071" t="s">
        <v>681</v>
      </c>
      <c r="C40" s="1071"/>
      <c r="D40" s="1071"/>
      <c r="E40" s="1071"/>
      <c r="F40" s="1071"/>
      <c r="G40" s="1071"/>
      <c r="H40" s="1071"/>
      <c r="I40" s="1071"/>
      <c r="J40" s="1071"/>
      <c r="K40" s="1071"/>
      <c r="L40" s="1071"/>
      <c r="M40" s="789"/>
    </row>
    <row r="41" spans="1:15" ht="15" customHeight="1">
      <c r="B41" s="1071" t="s">
        <v>1559</v>
      </c>
      <c r="C41" s="1071"/>
      <c r="D41" s="1071"/>
      <c r="E41" s="1071"/>
      <c r="F41" s="1071"/>
      <c r="G41" s="1071"/>
      <c r="H41" s="1071"/>
      <c r="I41" s="1071"/>
      <c r="J41" s="1071"/>
      <c r="K41" s="1071"/>
      <c r="L41" s="1071"/>
      <c r="M41" s="789"/>
    </row>
    <row r="42" spans="1:15" ht="15" customHeight="1">
      <c r="B42" s="756"/>
      <c r="C42" s="781"/>
      <c r="D42" s="804"/>
      <c r="E42" s="804"/>
      <c r="F42" s="804"/>
      <c r="G42" s="798"/>
      <c r="H42" s="794"/>
      <c r="I42" s="794"/>
      <c r="J42" s="794"/>
      <c r="K42" s="794"/>
    </row>
    <row r="43" spans="1:15" ht="15" customHeight="1">
      <c r="A43" s="748">
        <v>1</v>
      </c>
      <c r="B43" s="756"/>
      <c r="C43" s="776" t="s">
        <v>1030</v>
      </c>
      <c r="D43" s="95"/>
      <c r="E43" s="95"/>
      <c r="F43" s="95"/>
      <c r="G43" s="777"/>
      <c r="H43" s="784"/>
      <c r="I43" s="784"/>
      <c r="J43" s="779"/>
      <c r="K43" s="780"/>
    </row>
    <row r="44" spans="1:15" ht="15" customHeight="1">
      <c r="A44" s="748">
        <f>A43+1</f>
        <v>2</v>
      </c>
      <c r="B44" s="801">
        <v>303</v>
      </c>
      <c r="C44" s="802" t="s">
        <v>1494</v>
      </c>
      <c r="D44" s="771">
        <v>2</v>
      </c>
      <c r="E44" s="771" t="s">
        <v>1031</v>
      </c>
      <c r="F44" s="782" t="s">
        <v>1031</v>
      </c>
      <c r="G44" s="805">
        <v>0.19855900000000001</v>
      </c>
      <c r="H44" s="850">
        <v>5771259</v>
      </c>
      <c r="I44" s="850">
        <v>4190529</v>
      </c>
      <c r="J44" s="794">
        <f>H44-I44</f>
        <v>1580730</v>
      </c>
      <c r="K44" s="794">
        <f t="shared" ref="K44:K51" si="6">IF(G44="N/A", 0, G44*H44)</f>
        <v>1145935.4157810002</v>
      </c>
      <c r="L44" s="806"/>
      <c r="N44" s="795"/>
      <c r="O44" s="786"/>
    </row>
    <row r="45" spans="1:15" ht="15" customHeight="1">
      <c r="A45" s="748">
        <f t="shared" ref="A45:A52" si="7">A44+1</f>
        <v>3</v>
      </c>
      <c r="B45" s="801">
        <v>303</v>
      </c>
      <c r="C45" s="802" t="s">
        <v>1495</v>
      </c>
      <c r="D45" s="771">
        <v>3</v>
      </c>
      <c r="E45" s="771" t="s">
        <v>1031</v>
      </c>
      <c r="F45" s="782" t="s">
        <v>1031</v>
      </c>
      <c r="G45" s="771" t="s">
        <v>1031</v>
      </c>
      <c r="H45" s="850">
        <v>0</v>
      </c>
      <c r="I45" s="850">
        <v>0</v>
      </c>
      <c r="J45" s="794">
        <f t="shared" ref="J45:J64" si="8">H45-I45</f>
        <v>0</v>
      </c>
      <c r="K45" s="794">
        <f t="shared" si="6"/>
        <v>0</v>
      </c>
      <c r="L45" s="806"/>
      <c r="N45" s="795"/>
      <c r="O45" s="786"/>
    </row>
    <row r="46" spans="1:15" ht="15" customHeight="1">
      <c r="A46" s="748">
        <f t="shared" si="7"/>
        <v>4</v>
      </c>
      <c r="B46" s="801">
        <v>303</v>
      </c>
      <c r="C46" s="802" t="s">
        <v>1496</v>
      </c>
      <c r="D46" s="771">
        <v>4</v>
      </c>
      <c r="E46" s="771" t="s">
        <v>1031</v>
      </c>
      <c r="F46" s="782" t="s">
        <v>1031</v>
      </c>
      <c r="G46" s="771" t="s">
        <v>1031</v>
      </c>
      <c r="H46" s="850">
        <v>0</v>
      </c>
      <c r="I46" s="850">
        <v>0</v>
      </c>
      <c r="J46" s="794">
        <f t="shared" si="8"/>
        <v>0</v>
      </c>
      <c r="K46" s="794">
        <f t="shared" si="6"/>
        <v>0</v>
      </c>
      <c r="L46" s="806"/>
      <c r="N46" s="795"/>
      <c r="O46" s="786"/>
    </row>
    <row r="47" spans="1:15" ht="15" customHeight="1">
      <c r="A47" s="748">
        <f t="shared" si="7"/>
        <v>5</v>
      </c>
      <c r="B47" s="801">
        <v>303</v>
      </c>
      <c r="C47" s="802" t="s">
        <v>1497</v>
      </c>
      <c r="D47" s="771">
        <v>5</v>
      </c>
      <c r="E47" s="771" t="s">
        <v>1031</v>
      </c>
      <c r="F47" s="782" t="s">
        <v>1031</v>
      </c>
      <c r="G47" s="805">
        <v>0.19821800000000001</v>
      </c>
      <c r="H47" s="850">
        <v>11928113</v>
      </c>
      <c r="I47" s="850">
        <v>8410862</v>
      </c>
      <c r="J47" s="794">
        <f t="shared" si="8"/>
        <v>3517251</v>
      </c>
      <c r="K47" s="794">
        <f t="shared" si="6"/>
        <v>2364366.7026340002</v>
      </c>
      <c r="L47" s="806"/>
      <c r="N47" s="795"/>
      <c r="O47" s="786"/>
    </row>
    <row r="48" spans="1:15" ht="15" customHeight="1">
      <c r="A48" s="748">
        <f t="shared" si="7"/>
        <v>6</v>
      </c>
      <c r="B48" s="801">
        <v>303</v>
      </c>
      <c r="C48" s="802" t="s">
        <v>1498</v>
      </c>
      <c r="D48" s="771">
        <v>7</v>
      </c>
      <c r="E48" s="771" t="s">
        <v>1031</v>
      </c>
      <c r="F48" s="782" t="s">
        <v>1031</v>
      </c>
      <c r="G48" s="771" t="s">
        <v>1031</v>
      </c>
      <c r="H48" s="850">
        <v>0</v>
      </c>
      <c r="I48" s="850">
        <v>0</v>
      </c>
      <c r="J48" s="794">
        <f t="shared" si="8"/>
        <v>0</v>
      </c>
      <c r="K48" s="794">
        <f t="shared" si="6"/>
        <v>0</v>
      </c>
      <c r="L48" s="806"/>
      <c r="N48" s="795"/>
      <c r="O48" s="786"/>
    </row>
    <row r="49" spans="1:15" ht="15" customHeight="1">
      <c r="A49" s="748">
        <f t="shared" si="7"/>
        <v>7</v>
      </c>
      <c r="B49" s="801">
        <v>303</v>
      </c>
      <c r="C49" s="802" t="s">
        <v>1499</v>
      </c>
      <c r="D49" s="771">
        <v>10</v>
      </c>
      <c r="E49" s="771" t="s">
        <v>1031</v>
      </c>
      <c r="F49" s="782" t="s">
        <v>1031</v>
      </c>
      <c r="G49" s="771" t="s">
        <v>1031</v>
      </c>
      <c r="H49" s="850">
        <v>0</v>
      </c>
      <c r="I49" s="850">
        <v>0</v>
      </c>
      <c r="J49" s="794">
        <f t="shared" si="8"/>
        <v>0</v>
      </c>
      <c r="K49" s="794">
        <f t="shared" si="6"/>
        <v>0</v>
      </c>
      <c r="L49" s="806"/>
      <c r="N49" s="795"/>
      <c r="O49" s="786"/>
    </row>
    <row r="50" spans="1:15" ht="15" customHeight="1">
      <c r="A50" s="748">
        <f t="shared" si="7"/>
        <v>8</v>
      </c>
      <c r="B50" s="801">
        <v>303</v>
      </c>
      <c r="C50" s="802" t="s">
        <v>1500</v>
      </c>
      <c r="D50" s="771">
        <v>13</v>
      </c>
      <c r="E50" s="771" t="s">
        <v>1031</v>
      </c>
      <c r="F50" s="782" t="s">
        <v>1031</v>
      </c>
      <c r="G50" s="771" t="s">
        <v>1031</v>
      </c>
      <c r="H50" s="850">
        <v>0</v>
      </c>
      <c r="I50" s="850">
        <v>0</v>
      </c>
      <c r="J50" s="794">
        <f t="shared" si="8"/>
        <v>0</v>
      </c>
      <c r="K50" s="794">
        <f t="shared" si="6"/>
        <v>0</v>
      </c>
      <c r="L50" s="806"/>
      <c r="N50" s="795"/>
      <c r="O50" s="786"/>
    </row>
    <row r="51" spans="1:15" ht="15" customHeight="1">
      <c r="A51" s="748">
        <f t="shared" si="7"/>
        <v>9</v>
      </c>
      <c r="B51" s="801">
        <v>303</v>
      </c>
      <c r="C51" s="802" t="s">
        <v>1501</v>
      </c>
      <c r="D51" s="771">
        <v>15</v>
      </c>
      <c r="E51" s="771" t="s">
        <v>1031</v>
      </c>
      <c r="F51" s="782" t="s">
        <v>1031</v>
      </c>
      <c r="G51" s="771" t="s">
        <v>1031</v>
      </c>
      <c r="H51" s="850">
        <v>0</v>
      </c>
      <c r="I51" s="850">
        <v>0</v>
      </c>
      <c r="J51" s="794">
        <f t="shared" si="8"/>
        <v>0</v>
      </c>
      <c r="K51" s="794">
        <f t="shared" si="6"/>
        <v>0</v>
      </c>
      <c r="L51" s="806"/>
      <c r="N51" s="795"/>
      <c r="O51" s="786"/>
    </row>
    <row r="52" spans="1:15" ht="16.5" thickBot="1">
      <c r="A52" s="748">
        <f t="shared" si="7"/>
        <v>10</v>
      </c>
      <c r="G52" s="807"/>
      <c r="H52" s="799">
        <f>SUM(H44:H51)</f>
        <v>17699372</v>
      </c>
      <c r="I52" s="799">
        <f t="shared" ref="I52:K52" si="9">SUM(I44:I51)</f>
        <v>12601391</v>
      </c>
      <c r="J52" s="799">
        <f t="shared" si="9"/>
        <v>5097981</v>
      </c>
      <c r="K52" s="799">
        <f t="shared" si="9"/>
        <v>3510302.1184150004</v>
      </c>
      <c r="N52" s="800"/>
      <c r="O52" s="791"/>
    </row>
    <row r="53" spans="1:15" ht="15" customHeight="1" thickTop="1">
      <c r="B53" s="801"/>
      <c r="C53" s="802"/>
      <c r="D53" s="771"/>
      <c r="E53" s="771"/>
      <c r="F53" s="782"/>
      <c r="G53" s="805"/>
      <c r="L53" s="803"/>
      <c r="N53" s="791"/>
    </row>
    <row r="54" spans="1:15" ht="15" customHeight="1">
      <c r="A54" s="748">
        <f>A52+1</f>
        <v>11</v>
      </c>
      <c r="B54" s="801">
        <v>303</v>
      </c>
      <c r="C54" s="802" t="s">
        <v>1502</v>
      </c>
      <c r="D54" s="771">
        <v>2</v>
      </c>
      <c r="E54" s="771" t="s">
        <v>1031</v>
      </c>
      <c r="F54" s="782" t="s">
        <v>1031</v>
      </c>
      <c r="G54" s="771" t="s">
        <v>1031</v>
      </c>
      <c r="H54" s="850">
        <v>0</v>
      </c>
      <c r="I54" s="850">
        <v>0</v>
      </c>
      <c r="J54" s="794">
        <f>H54-I54</f>
        <v>0</v>
      </c>
      <c r="K54" s="794">
        <f t="shared" ref="K54:K61" si="10">IF(G54="N/A", 0, G54*H54)</f>
        <v>0</v>
      </c>
      <c r="L54" s="806"/>
      <c r="N54" s="795"/>
      <c r="O54" s="786"/>
    </row>
    <row r="55" spans="1:15" ht="15" customHeight="1">
      <c r="A55" s="748">
        <f t="shared" ref="A55" si="11">A54+1</f>
        <v>12</v>
      </c>
      <c r="B55" s="801">
        <v>303</v>
      </c>
      <c r="C55" s="802" t="s">
        <v>1503</v>
      </c>
      <c r="D55" s="771">
        <v>3</v>
      </c>
      <c r="E55" s="771" t="s">
        <v>1031</v>
      </c>
      <c r="F55" s="782" t="s">
        <v>1031</v>
      </c>
      <c r="G55" s="771" t="s">
        <v>1031</v>
      </c>
      <c r="H55" s="850">
        <v>245411</v>
      </c>
      <c r="I55" s="850">
        <v>3408</v>
      </c>
      <c r="J55" s="794">
        <f t="shared" ref="J55:J61" si="12">H55-I55</f>
        <v>242003</v>
      </c>
      <c r="K55" s="794">
        <f t="shared" si="10"/>
        <v>0</v>
      </c>
      <c r="L55" s="806"/>
      <c r="N55" s="795"/>
      <c r="O55" s="786"/>
    </row>
    <row r="56" spans="1:15" ht="15" customHeight="1">
      <c r="A56" s="748">
        <f>A55+1</f>
        <v>13</v>
      </c>
      <c r="B56" s="801">
        <v>303</v>
      </c>
      <c r="C56" s="802" t="s">
        <v>1504</v>
      </c>
      <c r="D56" s="771">
        <v>4</v>
      </c>
      <c r="E56" s="771" t="s">
        <v>1031</v>
      </c>
      <c r="F56" s="782" t="s">
        <v>1031</v>
      </c>
      <c r="G56" s="771" t="s">
        <v>1031</v>
      </c>
      <c r="H56" s="850">
        <v>0</v>
      </c>
      <c r="I56" s="850">
        <v>0</v>
      </c>
      <c r="J56" s="794">
        <f t="shared" si="12"/>
        <v>0</v>
      </c>
      <c r="K56" s="794">
        <f t="shared" si="10"/>
        <v>0</v>
      </c>
      <c r="L56" s="806"/>
      <c r="N56" s="795"/>
      <c r="O56" s="786"/>
    </row>
    <row r="57" spans="1:15" ht="15" customHeight="1">
      <c r="A57" s="748">
        <f t="shared" ref="A57:A66" si="13">A56+1</f>
        <v>14</v>
      </c>
      <c r="B57" s="801">
        <v>303</v>
      </c>
      <c r="C57" s="802" t="s">
        <v>1505</v>
      </c>
      <c r="D57" s="771">
        <v>5</v>
      </c>
      <c r="E57" s="771" t="s">
        <v>1031</v>
      </c>
      <c r="F57" s="782" t="s">
        <v>1031</v>
      </c>
      <c r="G57" s="805">
        <v>0.153168</v>
      </c>
      <c r="H57" s="850">
        <v>17472905</v>
      </c>
      <c r="I57" s="850">
        <v>9813804</v>
      </c>
      <c r="J57" s="794">
        <f t="shared" si="12"/>
        <v>7659101</v>
      </c>
      <c r="K57" s="794">
        <f t="shared" si="10"/>
        <v>2676289.91304</v>
      </c>
      <c r="L57" s="806"/>
      <c r="N57" s="795"/>
      <c r="O57" s="786"/>
    </row>
    <row r="58" spans="1:15" ht="15" customHeight="1">
      <c r="A58" s="748">
        <f t="shared" si="13"/>
        <v>15</v>
      </c>
      <c r="B58" s="801">
        <v>303</v>
      </c>
      <c r="C58" s="802" t="s">
        <v>1506</v>
      </c>
      <c r="D58" s="771">
        <v>7</v>
      </c>
      <c r="E58" s="771" t="s">
        <v>1031</v>
      </c>
      <c r="F58" s="782" t="s">
        <v>1031</v>
      </c>
      <c r="G58" s="771" t="s">
        <v>1031</v>
      </c>
      <c r="H58" s="850">
        <v>0</v>
      </c>
      <c r="I58" s="850">
        <v>0</v>
      </c>
      <c r="J58" s="794">
        <f t="shared" si="12"/>
        <v>0</v>
      </c>
      <c r="K58" s="794">
        <f t="shared" si="10"/>
        <v>0</v>
      </c>
      <c r="L58" s="806"/>
      <c r="N58" s="795"/>
      <c r="O58" s="786"/>
    </row>
    <row r="59" spans="1:15" ht="15" customHeight="1">
      <c r="A59" s="748">
        <f t="shared" si="13"/>
        <v>16</v>
      </c>
      <c r="B59" s="801">
        <v>303</v>
      </c>
      <c r="C59" s="802" t="s">
        <v>1507</v>
      </c>
      <c r="D59" s="771">
        <v>10</v>
      </c>
      <c r="E59" s="771" t="s">
        <v>1031</v>
      </c>
      <c r="F59" s="782" t="s">
        <v>1031</v>
      </c>
      <c r="G59" s="771" t="s">
        <v>1031</v>
      </c>
      <c r="H59" s="850">
        <v>0</v>
      </c>
      <c r="I59" s="850">
        <v>0</v>
      </c>
      <c r="J59" s="794">
        <f t="shared" si="12"/>
        <v>0</v>
      </c>
      <c r="K59" s="794">
        <f t="shared" si="10"/>
        <v>0</v>
      </c>
      <c r="L59" s="806"/>
      <c r="N59" s="795"/>
      <c r="O59" s="786"/>
    </row>
    <row r="60" spans="1:15" ht="15" customHeight="1">
      <c r="A60" s="748">
        <f t="shared" si="13"/>
        <v>17</v>
      </c>
      <c r="B60" s="801">
        <v>303</v>
      </c>
      <c r="C60" s="802" t="s">
        <v>1508</v>
      </c>
      <c r="D60" s="771">
        <v>13</v>
      </c>
      <c r="E60" s="771" t="s">
        <v>1031</v>
      </c>
      <c r="F60" s="782" t="s">
        <v>1031</v>
      </c>
      <c r="G60" s="771" t="s">
        <v>1031</v>
      </c>
      <c r="H60" s="850">
        <v>0</v>
      </c>
      <c r="I60" s="850">
        <v>0</v>
      </c>
      <c r="J60" s="794">
        <f t="shared" si="12"/>
        <v>0</v>
      </c>
      <c r="K60" s="794">
        <f t="shared" si="10"/>
        <v>0</v>
      </c>
      <c r="L60" s="806"/>
      <c r="N60" s="795"/>
      <c r="O60" s="786"/>
    </row>
    <row r="61" spans="1:15" ht="15" customHeight="1">
      <c r="A61" s="748">
        <f t="shared" si="13"/>
        <v>18</v>
      </c>
      <c r="B61" s="801">
        <v>303</v>
      </c>
      <c r="C61" s="802" t="s">
        <v>1509</v>
      </c>
      <c r="D61" s="771">
        <v>15</v>
      </c>
      <c r="E61" s="771" t="s">
        <v>1031</v>
      </c>
      <c r="F61" s="782" t="s">
        <v>1031</v>
      </c>
      <c r="G61" s="771" t="s">
        <v>1031</v>
      </c>
      <c r="H61" s="850">
        <v>0</v>
      </c>
      <c r="I61" s="850">
        <v>0</v>
      </c>
      <c r="J61" s="794">
        <f t="shared" si="12"/>
        <v>0</v>
      </c>
      <c r="K61" s="794">
        <f t="shared" si="10"/>
        <v>0</v>
      </c>
      <c r="L61" s="806"/>
      <c r="N61" s="795"/>
      <c r="O61" s="786"/>
    </row>
    <row r="62" spans="1:15" ht="15" customHeight="1" thickBot="1">
      <c r="A62" s="748">
        <f t="shared" si="13"/>
        <v>19</v>
      </c>
      <c r="B62" s="801"/>
      <c r="C62" s="802"/>
      <c r="D62" s="771"/>
      <c r="E62" s="771"/>
      <c r="F62" s="782"/>
      <c r="G62" s="803"/>
      <c r="H62" s="799">
        <f>SUM(H54:H61)</f>
        <v>17718316</v>
      </c>
      <c r="I62" s="799">
        <f t="shared" ref="I62:K62" si="14">SUM(I54:I61)</f>
        <v>9817212</v>
      </c>
      <c r="J62" s="799">
        <f t="shared" si="14"/>
        <v>7901104</v>
      </c>
      <c r="K62" s="799">
        <f t="shared" si="14"/>
        <v>2676289.91304</v>
      </c>
      <c r="L62" s="808"/>
      <c r="N62" s="800"/>
      <c r="O62" s="791"/>
    </row>
    <row r="63" spans="1:15" ht="15" customHeight="1" thickTop="1">
      <c r="B63" s="801"/>
      <c r="C63" s="802"/>
      <c r="D63" s="771"/>
      <c r="E63" s="771"/>
      <c r="F63" s="782"/>
      <c r="G63" s="803"/>
      <c r="H63" s="794"/>
      <c r="I63" s="794"/>
      <c r="J63" s="794"/>
      <c r="K63" s="794"/>
      <c r="L63" s="808"/>
      <c r="N63" s="795"/>
    </row>
    <row r="64" spans="1:15" ht="15" customHeight="1">
      <c r="A64" s="748">
        <f>A62+1</f>
        <v>20</v>
      </c>
      <c r="B64" s="801">
        <v>303</v>
      </c>
      <c r="C64" s="802" t="s">
        <v>1521</v>
      </c>
      <c r="D64" s="771" t="s">
        <v>1031</v>
      </c>
      <c r="E64" s="771" t="s">
        <v>1031</v>
      </c>
      <c r="F64" s="782" t="s">
        <v>1031</v>
      </c>
      <c r="G64" s="771" t="s">
        <v>1031</v>
      </c>
      <c r="H64" s="850">
        <v>128162185</v>
      </c>
      <c r="I64" s="850">
        <v>96978841</v>
      </c>
      <c r="J64" s="794">
        <f t="shared" si="8"/>
        <v>31183344</v>
      </c>
      <c r="K64" s="794">
        <f>'4D - Intangible Pnt'!E105</f>
        <v>11053896.984160002</v>
      </c>
      <c r="L64" s="806"/>
      <c r="N64" s="795"/>
    </row>
    <row r="65" spans="1:15" ht="15" customHeight="1">
      <c r="A65" s="748">
        <f t="shared" si="13"/>
        <v>21</v>
      </c>
      <c r="B65" s="801">
        <v>303</v>
      </c>
      <c r="C65" s="802" t="s">
        <v>1032</v>
      </c>
      <c r="D65" s="771" t="s">
        <v>1031</v>
      </c>
      <c r="E65" s="771" t="s">
        <v>1031</v>
      </c>
      <c r="F65" s="782" t="s">
        <v>1031</v>
      </c>
      <c r="G65" s="771" t="s">
        <v>1031</v>
      </c>
      <c r="H65" s="850">
        <v>18781412</v>
      </c>
      <c r="I65" s="850">
        <v>9192331</v>
      </c>
      <c r="J65" s="794">
        <f>H65-I65</f>
        <v>9589081</v>
      </c>
      <c r="K65" s="266" t="s">
        <v>703</v>
      </c>
      <c r="N65" s="809"/>
    </row>
    <row r="66" spans="1:15" ht="15" customHeight="1" thickBot="1">
      <c r="A66" s="748">
        <f t="shared" si="13"/>
        <v>22</v>
      </c>
      <c r="B66" s="801"/>
      <c r="C66" s="802"/>
      <c r="D66" s="771"/>
      <c r="E66" s="771"/>
      <c r="F66" s="771"/>
      <c r="G66" s="803"/>
      <c r="H66" s="799">
        <f>SUM(H64:H65)</f>
        <v>146943597</v>
      </c>
      <c r="I66" s="799">
        <f t="shared" ref="I66:K66" si="15">SUM(I64:I65)</f>
        <v>106171172</v>
      </c>
      <c r="J66" s="799">
        <f t="shared" si="15"/>
        <v>40772425</v>
      </c>
      <c r="K66" s="799">
        <f t="shared" si="15"/>
        <v>11053896.984160002</v>
      </c>
      <c r="M66" s="789"/>
      <c r="N66" s="800"/>
    </row>
    <row r="67" spans="1:15" ht="15" customHeight="1" thickTop="1">
      <c r="B67" s="756"/>
      <c r="C67" s="781"/>
      <c r="D67" s="804"/>
      <c r="E67" s="804"/>
      <c r="F67" s="804"/>
      <c r="G67" s="810"/>
      <c r="H67" s="794"/>
      <c r="I67" s="794"/>
      <c r="J67" s="794"/>
      <c r="K67" s="794"/>
      <c r="N67" s="795"/>
    </row>
    <row r="68" spans="1:15">
      <c r="A68" s="748">
        <f>A66+1</f>
        <v>23</v>
      </c>
      <c r="B68" s="756"/>
      <c r="C68" s="776" t="s">
        <v>1520</v>
      </c>
      <c r="D68" s="95"/>
      <c r="E68" s="95"/>
      <c r="F68" s="95" t="s">
        <v>1659</v>
      </c>
      <c r="G68" s="777"/>
      <c r="H68" s="784"/>
      <c r="I68" s="784"/>
      <c r="J68" s="779"/>
      <c r="K68" s="780"/>
      <c r="N68" s="780"/>
    </row>
    <row r="69" spans="1:15">
      <c r="A69" s="748">
        <f t="shared" ref="A69:A96" si="16">A68+1</f>
        <v>24</v>
      </c>
      <c r="B69" s="770">
        <v>303</v>
      </c>
      <c r="C69" s="802" t="s">
        <v>1486</v>
      </c>
      <c r="D69" s="771">
        <v>2</v>
      </c>
      <c r="E69" s="771" t="s">
        <v>1031</v>
      </c>
      <c r="F69" s="782" t="s">
        <v>1031</v>
      </c>
      <c r="G69" s="771" t="s">
        <v>1031</v>
      </c>
      <c r="H69" s="850">
        <v>0</v>
      </c>
      <c r="I69" s="850">
        <v>0</v>
      </c>
      <c r="J69" s="794">
        <f t="shared" ref="J69:J95" si="17">H69-I69</f>
        <v>0</v>
      </c>
      <c r="K69" s="794">
        <f t="shared" ref="K69:K76" si="18">IF(G69="N/A", 0, G69*H69)</f>
        <v>0</v>
      </c>
      <c r="L69" s="806"/>
      <c r="N69" s="795"/>
      <c r="O69" s="786"/>
    </row>
    <row r="70" spans="1:15">
      <c r="A70" s="748">
        <f t="shared" si="16"/>
        <v>25</v>
      </c>
      <c r="B70" s="770">
        <v>303</v>
      </c>
      <c r="C70" s="802" t="s">
        <v>1487</v>
      </c>
      <c r="D70" s="771">
        <v>3</v>
      </c>
      <c r="E70" s="771" t="s">
        <v>1031</v>
      </c>
      <c r="F70" s="782" t="s">
        <v>1031</v>
      </c>
      <c r="G70" s="771" t="s">
        <v>1031</v>
      </c>
      <c r="H70" s="850">
        <v>332272</v>
      </c>
      <c r="I70" s="850">
        <v>17347</v>
      </c>
      <c r="J70" s="794">
        <f t="shared" si="17"/>
        <v>314925</v>
      </c>
      <c r="K70" s="794">
        <f t="shared" si="18"/>
        <v>0</v>
      </c>
      <c r="L70" s="806"/>
      <c r="N70" s="795"/>
      <c r="O70" s="786"/>
    </row>
    <row r="71" spans="1:15">
      <c r="A71" s="748">
        <f t="shared" si="16"/>
        <v>26</v>
      </c>
      <c r="B71" s="770">
        <v>303</v>
      </c>
      <c r="C71" s="802" t="s">
        <v>1488</v>
      </c>
      <c r="D71" s="771">
        <v>4</v>
      </c>
      <c r="E71" s="771" t="s">
        <v>1031</v>
      </c>
      <c r="F71" s="782" t="s">
        <v>1031</v>
      </c>
      <c r="G71" s="771" t="s">
        <v>1031</v>
      </c>
      <c r="H71" s="850">
        <v>0</v>
      </c>
      <c r="I71" s="850">
        <v>0</v>
      </c>
      <c r="J71" s="794">
        <f t="shared" si="17"/>
        <v>0</v>
      </c>
      <c r="K71" s="794">
        <f t="shared" si="18"/>
        <v>0</v>
      </c>
      <c r="L71" s="806"/>
      <c r="N71" s="795"/>
      <c r="O71" s="786"/>
    </row>
    <row r="72" spans="1:15">
      <c r="A72" s="748">
        <f t="shared" si="16"/>
        <v>27</v>
      </c>
      <c r="B72" s="770">
        <v>303</v>
      </c>
      <c r="C72" s="802" t="s">
        <v>1489</v>
      </c>
      <c r="D72" s="771">
        <v>5</v>
      </c>
      <c r="E72" s="771" t="s">
        <v>1031</v>
      </c>
      <c r="F72" s="782" t="s">
        <v>1031</v>
      </c>
      <c r="G72" s="805">
        <v>7.5644000000000003E-2</v>
      </c>
      <c r="H72" s="850">
        <v>229959380</v>
      </c>
      <c r="I72" s="850">
        <v>161634363</v>
      </c>
      <c r="J72" s="794">
        <f t="shared" si="17"/>
        <v>68325017</v>
      </c>
      <c r="K72" s="794">
        <f t="shared" si="18"/>
        <v>17395047.340720002</v>
      </c>
      <c r="L72" s="806"/>
      <c r="N72" s="795"/>
      <c r="O72" s="786"/>
    </row>
    <row r="73" spans="1:15">
      <c r="A73" s="748">
        <f t="shared" si="16"/>
        <v>28</v>
      </c>
      <c r="B73" s="770">
        <v>303</v>
      </c>
      <c r="C73" s="802" t="s">
        <v>1490</v>
      </c>
      <c r="D73" s="771">
        <v>7</v>
      </c>
      <c r="E73" s="771" t="s">
        <v>1031</v>
      </c>
      <c r="F73" s="782" t="s">
        <v>1031</v>
      </c>
      <c r="G73" s="771" t="s">
        <v>1031</v>
      </c>
      <c r="H73" s="850">
        <v>0</v>
      </c>
      <c r="I73" s="850">
        <v>0</v>
      </c>
      <c r="J73" s="794">
        <f t="shared" si="17"/>
        <v>0</v>
      </c>
      <c r="K73" s="794">
        <f t="shared" si="18"/>
        <v>0</v>
      </c>
      <c r="L73" s="806"/>
      <c r="N73" s="795"/>
      <c r="O73" s="786"/>
    </row>
    <row r="74" spans="1:15">
      <c r="A74" s="748">
        <f t="shared" si="16"/>
        <v>29</v>
      </c>
      <c r="B74" s="770">
        <v>303</v>
      </c>
      <c r="C74" s="802" t="s">
        <v>1491</v>
      </c>
      <c r="D74" s="771">
        <v>10</v>
      </c>
      <c r="E74" s="771" t="s">
        <v>1031</v>
      </c>
      <c r="F74" s="782" t="s">
        <v>1031</v>
      </c>
      <c r="G74" s="771" t="s">
        <v>1031</v>
      </c>
      <c r="H74" s="850">
        <v>0</v>
      </c>
      <c r="I74" s="850">
        <v>0</v>
      </c>
      <c r="J74" s="794">
        <f t="shared" si="17"/>
        <v>0</v>
      </c>
      <c r="K74" s="794">
        <f t="shared" si="18"/>
        <v>0</v>
      </c>
      <c r="L74" s="806"/>
      <c r="N74" s="795"/>
      <c r="O74" s="786"/>
    </row>
    <row r="75" spans="1:15">
      <c r="A75" s="748">
        <f t="shared" si="16"/>
        <v>30</v>
      </c>
      <c r="B75" s="770">
        <v>303</v>
      </c>
      <c r="C75" s="802" t="s">
        <v>1492</v>
      </c>
      <c r="D75" s="771">
        <v>13</v>
      </c>
      <c r="E75" s="771" t="s">
        <v>1031</v>
      </c>
      <c r="F75" s="782" t="s">
        <v>1031</v>
      </c>
      <c r="G75" s="771" t="s">
        <v>1031</v>
      </c>
      <c r="H75" s="850">
        <v>0</v>
      </c>
      <c r="I75" s="850">
        <v>0</v>
      </c>
      <c r="J75" s="794">
        <f t="shared" si="17"/>
        <v>0</v>
      </c>
      <c r="K75" s="794">
        <f t="shared" si="18"/>
        <v>0</v>
      </c>
      <c r="L75" s="806"/>
      <c r="N75" s="795"/>
      <c r="O75" s="786"/>
    </row>
    <row r="76" spans="1:15">
      <c r="A76" s="748">
        <f t="shared" si="16"/>
        <v>31</v>
      </c>
      <c r="B76" s="770">
        <v>303</v>
      </c>
      <c r="C76" s="802" t="s">
        <v>1493</v>
      </c>
      <c r="D76" s="771">
        <v>15</v>
      </c>
      <c r="E76" s="771" t="s">
        <v>1031</v>
      </c>
      <c r="F76" s="782" t="s">
        <v>1031</v>
      </c>
      <c r="G76" s="771" t="s">
        <v>1031</v>
      </c>
      <c r="H76" s="850">
        <v>0</v>
      </c>
      <c r="I76" s="850">
        <v>0</v>
      </c>
      <c r="J76" s="794">
        <f t="shared" si="17"/>
        <v>0</v>
      </c>
      <c r="K76" s="794">
        <f t="shared" si="18"/>
        <v>0</v>
      </c>
      <c r="L76" s="806"/>
      <c r="N76" s="795"/>
      <c r="O76" s="786"/>
    </row>
    <row r="77" spans="1:15">
      <c r="A77" s="748">
        <f t="shared" si="16"/>
        <v>32</v>
      </c>
      <c r="B77" s="770">
        <v>303</v>
      </c>
      <c r="C77" s="802" t="s">
        <v>1032</v>
      </c>
      <c r="D77" s="771" t="s">
        <v>1031</v>
      </c>
      <c r="E77" s="771" t="s">
        <v>1031</v>
      </c>
      <c r="F77" s="782" t="s">
        <v>1031</v>
      </c>
      <c r="G77" s="771" t="s">
        <v>1031</v>
      </c>
      <c r="H77" s="850">
        <v>147738</v>
      </c>
      <c r="I77" s="850">
        <v>147738</v>
      </c>
      <c r="J77" s="794">
        <f t="shared" si="17"/>
        <v>0</v>
      </c>
      <c r="K77" s="811" t="s">
        <v>703</v>
      </c>
      <c r="N77" s="812"/>
      <c r="O77" s="786"/>
    </row>
    <row r="78" spans="1:15">
      <c r="A78" s="748">
        <f t="shared" si="16"/>
        <v>33</v>
      </c>
      <c r="B78" s="770">
        <v>390</v>
      </c>
      <c r="C78" s="781" t="s">
        <v>1006</v>
      </c>
      <c r="D78" s="771">
        <v>50</v>
      </c>
      <c r="E78" s="772" t="s">
        <v>1015</v>
      </c>
      <c r="F78" s="985">
        <v>36.299999999999997</v>
      </c>
      <c r="G78" s="805">
        <v>1.9491000000000001E-2</v>
      </c>
      <c r="H78" s="850">
        <v>226634074</v>
      </c>
      <c r="I78" s="850">
        <v>61764371</v>
      </c>
      <c r="J78" s="794">
        <f t="shared" si="17"/>
        <v>164869703</v>
      </c>
      <c r="K78" s="794">
        <f t="shared" ref="K78:K81" si="19">IF(G78="N/A", 0, G78*H78)</f>
        <v>4417324.7363340007</v>
      </c>
      <c r="N78" s="795"/>
      <c r="O78" s="786"/>
    </row>
    <row r="79" spans="1:15">
      <c r="A79" s="748">
        <f t="shared" si="16"/>
        <v>34</v>
      </c>
      <c r="B79" s="770">
        <v>391.1</v>
      </c>
      <c r="C79" s="781" t="s">
        <v>1016</v>
      </c>
      <c r="D79" s="771">
        <v>10</v>
      </c>
      <c r="E79" s="772" t="s">
        <v>1017</v>
      </c>
      <c r="F79" s="985">
        <v>1.5</v>
      </c>
      <c r="G79" s="805">
        <v>0.247644</v>
      </c>
      <c r="H79" s="850">
        <v>100099</v>
      </c>
      <c r="I79" s="850">
        <v>15811</v>
      </c>
      <c r="J79" s="794">
        <f t="shared" si="17"/>
        <v>84288</v>
      </c>
      <c r="K79" s="794">
        <f t="shared" si="19"/>
        <v>24788.916755999999</v>
      </c>
      <c r="N79" s="795"/>
      <c r="O79" s="786"/>
    </row>
    <row r="80" spans="1:15">
      <c r="A80" s="748">
        <f t="shared" si="16"/>
        <v>35</v>
      </c>
      <c r="B80" s="770">
        <v>391.2</v>
      </c>
      <c r="C80" s="781" t="s">
        <v>1018</v>
      </c>
      <c r="D80" s="771">
        <v>15</v>
      </c>
      <c r="E80" s="772" t="s">
        <v>1017</v>
      </c>
      <c r="F80" s="985">
        <v>10.8</v>
      </c>
      <c r="G80" s="805">
        <v>7.2808999999999999E-2</v>
      </c>
      <c r="H80" s="850">
        <v>16548288</v>
      </c>
      <c r="I80" s="850">
        <v>3061813</v>
      </c>
      <c r="J80" s="794">
        <f t="shared" si="17"/>
        <v>13486475</v>
      </c>
      <c r="K80" s="794">
        <f t="shared" si="19"/>
        <v>1204864.3009919999</v>
      </c>
      <c r="N80" s="795"/>
      <c r="O80" s="786"/>
    </row>
    <row r="81" spans="1:16">
      <c r="A81" s="748">
        <f t="shared" si="16"/>
        <v>36</v>
      </c>
      <c r="B81" s="770">
        <v>391.3</v>
      </c>
      <c r="C81" s="781" t="s">
        <v>1019</v>
      </c>
      <c r="D81" s="771">
        <v>5</v>
      </c>
      <c r="E81" s="772" t="s">
        <v>1017</v>
      </c>
      <c r="F81" s="985">
        <v>2.68</v>
      </c>
      <c r="G81" s="805">
        <v>0.166017</v>
      </c>
      <c r="H81" s="850">
        <v>29150184</v>
      </c>
      <c r="I81" s="850">
        <v>13404514</v>
      </c>
      <c r="J81" s="794">
        <f t="shared" si="17"/>
        <v>15745670</v>
      </c>
      <c r="K81" s="794">
        <f t="shared" si="19"/>
        <v>4839426.0971280001</v>
      </c>
      <c r="N81" s="795"/>
      <c r="O81" s="786"/>
    </row>
    <row r="82" spans="1:16">
      <c r="A82" s="748">
        <f t="shared" si="16"/>
        <v>37</v>
      </c>
      <c r="B82" s="770">
        <v>392.1</v>
      </c>
      <c r="C82" s="781" t="s">
        <v>1033</v>
      </c>
      <c r="D82" s="771">
        <v>6</v>
      </c>
      <c r="E82" s="772" t="s">
        <v>1026</v>
      </c>
      <c r="F82" s="985">
        <v>4.09</v>
      </c>
      <c r="G82" s="803" t="s">
        <v>1031</v>
      </c>
      <c r="H82" s="850">
        <v>72553</v>
      </c>
      <c r="I82" s="850">
        <v>72079</v>
      </c>
      <c r="J82" s="794">
        <f t="shared" si="17"/>
        <v>474</v>
      </c>
      <c r="K82" s="811" t="s">
        <v>703</v>
      </c>
      <c r="M82" s="813"/>
      <c r="N82" s="814"/>
      <c r="O82" s="786"/>
    </row>
    <row r="83" spans="1:16">
      <c r="A83" s="748">
        <f t="shared" si="16"/>
        <v>38</v>
      </c>
      <c r="B83" s="770">
        <v>392.2</v>
      </c>
      <c r="C83" s="781" t="s">
        <v>1034</v>
      </c>
      <c r="D83" s="771">
        <v>12</v>
      </c>
      <c r="E83" s="772" t="s">
        <v>1035</v>
      </c>
      <c r="F83" s="985">
        <v>7.37</v>
      </c>
      <c r="G83" s="803" t="s">
        <v>1031</v>
      </c>
      <c r="H83" s="850">
        <v>26839337</v>
      </c>
      <c r="I83" s="850">
        <v>12378794</v>
      </c>
      <c r="J83" s="794">
        <f t="shared" si="17"/>
        <v>14460543</v>
      </c>
      <c r="K83" s="811" t="s">
        <v>703</v>
      </c>
      <c r="M83" s="813"/>
      <c r="N83" s="814"/>
      <c r="O83" s="786"/>
    </row>
    <row r="84" spans="1:16">
      <c r="A84" s="748">
        <f t="shared" si="16"/>
        <v>39</v>
      </c>
      <c r="B84" s="770">
        <v>392.3</v>
      </c>
      <c r="C84" s="781" t="s">
        <v>1036</v>
      </c>
      <c r="D84" s="771">
        <v>14</v>
      </c>
      <c r="E84" s="772" t="s">
        <v>1009</v>
      </c>
      <c r="F84" s="985">
        <v>8.27</v>
      </c>
      <c r="G84" s="803" t="s">
        <v>1031</v>
      </c>
      <c r="H84" s="850">
        <v>68038889</v>
      </c>
      <c r="I84" s="850">
        <v>28792657</v>
      </c>
      <c r="J84" s="794">
        <f t="shared" si="17"/>
        <v>39246232</v>
      </c>
      <c r="K84" s="811" t="s">
        <v>703</v>
      </c>
      <c r="M84" s="813"/>
      <c r="N84" s="814"/>
      <c r="O84" s="786"/>
    </row>
    <row r="85" spans="1:16">
      <c r="A85" s="748">
        <f t="shared" si="16"/>
        <v>40</v>
      </c>
      <c r="B85" s="770">
        <v>392.4</v>
      </c>
      <c r="C85" s="781" t="s">
        <v>1037</v>
      </c>
      <c r="D85" s="771">
        <v>11</v>
      </c>
      <c r="E85" s="772" t="s">
        <v>1038</v>
      </c>
      <c r="F85" s="985">
        <v>2.36</v>
      </c>
      <c r="G85" s="803" t="s">
        <v>1031</v>
      </c>
      <c r="H85" s="850">
        <v>216441</v>
      </c>
      <c r="I85" s="850">
        <v>217544</v>
      </c>
      <c r="J85" s="794">
        <f t="shared" si="17"/>
        <v>-1103</v>
      </c>
      <c r="K85" s="811" t="s">
        <v>703</v>
      </c>
      <c r="M85" s="813"/>
      <c r="N85" s="814"/>
      <c r="O85" s="786"/>
    </row>
    <row r="86" spans="1:16">
      <c r="A86" s="748">
        <f t="shared" si="16"/>
        <v>41</v>
      </c>
      <c r="B86" s="770">
        <v>392.5</v>
      </c>
      <c r="C86" s="781" t="s">
        <v>1039</v>
      </c>
      <c r="D86" s="771">
        <v>15</v>
      </c>
      <c r="E86" s="772" t="s">
        <v>1040</v>
      </c>
      <c r="F86" s="985">
        <v>9.36</v>
      </c>
      <c r="G86" s="803" t="s">
        <v>1031</v>
      </c>
      <c r="H86" s="850">
        <v>3616256</v>
      </c>
      <c r="I86" s="850">
        <v>1864725</v>
      </c>
      <c r="J86" s="794">
        <f t="shared" si="17"/>
        <v>1751531</v>
      </c>
      <c r="K86" s="811" t="s">
        <v>703</v>
      </c>
      <c r="M86" s="813"/>
      <c r="N86" s="814"/>
      <c r="O86" s="786"/>
    </row>
    <row r="87" spans="1:16">
      <c r="A87" s="748">
        <f t="shared" si="16"/>
        <v>42</v>
      </c>
      <c r="B87" s="770">
        <v>392.6</v>
      </c>
      <c r="C87" s="781" t="s">
        <v>1041</v>
      </c>
      <c r="D87" s="771">
        <v>15</v>
      </c>
      <c r="E87" s="772" t="s">
        <v>1040</v>
      </c>
      <c r="F87" s="985">
        <v>6.24</v>
      </c>
      <c r="G87" s="803" t="s">
        <v>1031</v>
      </c>
      <c r="H87" s="850">
        <v>3942297</v>
      </c>
      <c r="I87" s="850">
        <v>3114232</v>
      </c>
      <c r="J87" s="794">
        <f t="shared" si="17"/>
        <v>828065</v>
      </c>
      <c r="K87" s="811" t="s">
        <v>703</v>
      </c>
      <c r="M87" s="813"/>
      <c r="N87" s="814"/>
      <c r="O87" s="786"/>
    </row>
    <row r="88" spans="1:16">
      <c r="A88" s="748">
        <f t="shared" si="16"/>
        <v>43</v>
      </c>
      <c r="B88" s="770">
        <v>392.7</v>
      </c>
      <c r="C88" s="781" t="s">
        <v>1259</v>
      </c>
      <c r="D88" s="771" t="s">
        <v>1031</v>
      </c>
      <c r="E88" s="771" t="s">
        <v>1031</v>
      </c>
      <c r="F88" s="985">
        <v>7.28</v>
      </c>
      <c r="G88" s="803" t="s">
        <v>1031</v>
      </c>
      <c r="H88" s="850">
        <v>13310723</v>
      </c>
      <c r="I88" s="850">
        <v>1876790</v>
      </c>
      <c r="J88" s="794">
        <f t="shared" si="17"/>
        <v>11433933</v>
      </c>
      <c r="K88" s="811" t="s">
        <v>703</v>
      </c>
      <c r="N88" s="814"/>
      <c r="O88" s="786"/>
    </row>
    <row r="89" spans="1:16">
      <c r="A89" s="748">
        <f t="shared" si="16"/>
        <v>44</v>
      </c>
      <c r="B89" s="770">
        <v>393</v>
      </c>
      <c r="C89" s="781" t="s">
        <v>1021</v>
      </c>
      <c r="D89" s="771">
        <v>15</v>
      </c>
      <c r="E89" s="772" t="s">
        <v>1017</v>
      </c>
      <c r="F89" s="985">
        <v>8.91</v>
      </c>
      <c r="G89" s="805">
        <v>8.5151000000000004E-2</v>
      </c>
      <c r="H89" s="850">
        <v>1111086</v>
      </c>
      <c r="I89" s="850">
        <v>314348</v>
      </c>
      <c r="J89" s="794">
        <f t="shared" si="17"/>
        <v>796738</v>
      </c>
      <c r="K89" s="794">
        <f t="shared" ref="K89:K91" si="20">IF(G89="N/A", 0, G89*H89)</f>
        <v>94610.083985999998</v>
      </c>
      <c r="N89" s="815"/>
      <c r="O89" s="786"/>
    </row>
    <row r="90" spans="1:16">
      <c r="A90" s="748">
        <f t="shared" si="16"/>
        <v>45</v>
      </c>
      <c r="B90" s="770">
        <v>394.1</v>
      </c>
      <c r="C90" s="781" t="s">
        <v>1042</v>
      </c>
      <c r="D90" s="771">
        <v>15</v>
      </c>
      <c r="E90" s="772" t="s">
        <v>1017</v>
      </c>
      <c r="F90" s="985">
        <v>3.5</v>
      </c>
      <c r="G90" s="805">
        <v>0.94172299999999998</v>
      </c>
      <c r="H90" s="850">
        <v>9001</v>
      </c>
      <c r="I90" s="850">
        <v>-16243</v>
      </c>
      <c r="J90" s="794">
        <f t="shared" si="17"/>
        <v>25244</v>
      </c>
      <c r="K90" s="794">
        <f t="shared" si="20"/>
        <v>8476.4487229999995</v>
      </c>
      <c r="N90" s="815"/>
      <c r="O90" s="786"/>
    </row>
    <row r="91" spans="1:16">
      <c r="A91" s="748">
        <f t="shared" si="16"/>
        <v>46</v>
      </c>
      <c r="B91" s="770">
        <v>394.2</v>
      </c>
      <c r="C91" s="781" t="s">
        <v>1043</v>
      </c>
      <c r="D91" s="771">
        <v>15</v>
      </c>
      <c r="E91" s="772" t="s">
        <v>1017</v>
      </c>
      <c r="F91" s="985">
        <v>14.02</v>
      </c>
      <c r="G91" s="805">
        <v>2.5767999999999999E-2</v>
      </c>
      <c r="H91" s="850">
        <v>799169</v>
      </c>
      <c r="I91" s="850">
        <v>94114</v>
      </c>
      <c r="J91" s="794">
        <f t="shared" si="17"/>
        <v>705055</v>
      </c>
      <c r="K91" s="794">
        <f t="shared" si="20"/>
        <v>20592.986792</v>
      </c>
      <c r="M91" s="813"/>
      <c r="N91" s="815"/>
      <c r="O91" s="786"/>
    </row>
    <row r="92" spans="1:16">
      <c r="A92" s="748">
        <f t="shared" si="16"/>
        <v>47</v>
      </c>
      <c r="B92" s="770">
        <v>394.3</v>
      </c>
      <c r="C92" s="781" t="s">
        <v>1044</v>
      </c>
      <c r="D92" s="771">
        <v>20</v>
      </c>
      <c r="E92" s="772" t="s">
        <v>1017</v>
      </c>
      <c r="F92" s="985">
        <v>8.33</v>
      </c>
      <c r="G92" s="803" t="s">
        <v>1031</v>
      </c>
      <c r="H92" s="850">
        <v>1377337</v>
      </c>
      <c r="I92" s="850">
        <v>647008</v>
      </c>
      <c r="J92" s="794">
        <f t="shared" si="17"/>
        <v>730329</v>
      </c>
      <c r="K92" s="811" t="s">
        <v>703</v>
      </c>
      <c r="M92" s="813"/>
      <c r="N92" s="814"/>
      <c r="O92" s="786"/>
    </row>
    <row r="93" spans="1:16">
      <c r="A93" s="748">
        <f t="shared" si="16"/>
        <v>48</v>
      </c>
      <c r="B93" s="770">
        <v>396</v>
      </c>
      <c r="C93" s="781" t="s">
        <v>1045</v>
      </c>
      <c r="D93" s="771">
        <v>11</v>
      </c>
      <c r="E93" s="772" t="s">
        <v>1038</v>
      </c>
      <c r="F93" s="985">
        <v>2.7</v>
      </c>
      <c r="G93" s="803" t="s">
        <v>1031</v>
      </c>
      <c r="H93" s="850">
        <v>143389</v>
      </c>
      <c r="I93" s="850">
        <v>141445</v>
      </c>
      <c r="J93" s="794">
        <f t="shared" si="17"/>
        <v>1944</v>
      </c>
      <c r="K93" s="811" t="s">
        <v>703</v>
      </c>
      <c r="M93" s="813"/>
      <c r="N93" s="814"/>
      <c r="O93" s="786"/>
    </row>
    <row r="94" spans="1:16">
      <c r="A94" s="748">
        <f t="shared" si="16"/>
        <v>49</v>
      </c>
      <c r="B94" s="770">
        <v>397</v>
      </c>
      <c r="C94" s="781" t="s">
        <v>1025</v>
      </c>
      <c r="D94" s="771">
        <v>20</v>
      </c>
      <c r="E94" s="772" t="s">
        <v>1026</v>
      </c>
      <c r="F94" s="985">
        <v>12.74</v>
      </c>
      <c r="G94" s="805">
        <v>4.5162000000000001E-2</v>
      </c>
      <c r="H94" s="850">
        <v>52249327</v>
      </c>
      <c r="I94" s="850">
        <v>15816564</v>
      </c>
      <c r="J94" s="794">
        <f t="shared" si="17"/>
        <v>36432763</v>
      </c>
      <c r="K94" s="811">
        <f t="shared" ref="K94:K95" si="21">IF(G94="N/A", 0, G94*H94)</f>
        <v>2359684.1059739999</v>
      </c>
      <c r="N94" s="814"/>
      <c r="O94" s="786"/>
    </row>
    <row r="95" spans="1:16">
      <c r="A95" s="748">
        <f t="shared" si="16"/>
        <v>50</v>
      </c>
      <c r="B95" s="770">
        <v>398</v>
      </c>
      <c r="C95" s="781" t="s">
        <v>1029</v>
      </c>
      <c r="D95" s="771">
        <v>15</v>
      </c>
      <c r="E95" s="772" t="s">
        <v>1017</v>
      </c>
      <c r="F95" s="985">
        <v>8.18</v>
      </c>
      <c r="G95" s="805">
        <v>9.5527000000000001E-2</v>
      </c>
      <c r="H95" s="850">
        <v>929083</v>
      </c>
      <c r="I95" s="850">
        <v>426874</v>
      </c>
      <c r="J95" s="794">
        <f t="shared" si="17"/>
        <v>502209</v>
      </c>
      <c r="K95" s="794">
        <f t="shared" si="21"/>
        <v>88752.511740999995</v>
      </c>
      <c r="N95" s="815"/>
      <c r="O95" s="786"/>
    </row>
    <row r="96" spans="1:16" ht="16.5" thickBot="1">
      <c r="A96" s="748">
        <f t="shared" si="16"/>
        <v>51</v>
      </c>
      <c r="B96" s="756"/>
      <c r="C96" s="776"/>
      <c r="D96" s="95"/>
      <c r="E96" s="95"/>
      <c r="F96" s="95"/>
      <c r="G96" s="95"/>
      <c r="H96" s="816">
        <f>SUM(H69:H95)</f>
        <v>675526923</v>
      </c>
      <c r="I96" s="816">
        <f>SUM(I69:I95)</f>
        <v>305786888</v>
      </c>
      <c r="J96" s="816">
        <f>SUM(J69:J95)</f>
        <v>369740035</v>
      </c>
      <c r="K96" s="816">
        <f>SUM(K69:K95)</f>
        <v>30453567.529146001</v>
      </c>
      <c r="N96" s="817"/>
      <c r="O96" s="791"/>
      <c r="P96" s="818"/>
    </row>
    <row r="97" spans="1:13" ht="15" customHeight="1" thickTop="1">
      <c r="B97" s="801"/>
      <c r="C97" s="802"/>
      <c r="D97" s="771"/>
      <c r="E97" s="771"/>
      <c r="F97" s="771"/>
      <c r="G97" s="803"/>
      <c r="H97" s="800"/>
      <c r="I97" s="800"/>
      <c r="J97" s="800"/>
      <c r="K97" s="800"/>
      <c r="L97" s="233" t="s">
        <v>1533</v>
      </c>
      <c r="M97" s="789"/>
    </row>
    <row r="98" spans="1:13" ht="15" customHeight="1">
      <c r="B98" s="1071" t="s">
        <v>681</v>
      </c>
      <c r="C98" s="1071"/>
      <c r="D98" s="1071"/>
      <c r="E98" s="1071"/>
      <c r="F98" s="1071"/>
      <c r="G98" s="1071"/>
      <c r="H98" s="1071"/>
      <c r="I98" s="1071"/>
      <c r="J98" s="1071"/>
      <c r="K98" s="1071"/>
      <c r="L98" s="1071"/>
      <c r="M98" s="789"/>
    </row>
    <row r="99" spans="1:13" ht="15" customHeight="1">
      <c r="B99" s="1071" t="s">
        <v>1559</v>
      </c>
      <c r="C99" s="1071"/>
      <c r="D99" s="1071"/>
      <c r="E99" s="1071"/>
      <c r="F99" s="1071"/>
      <c r="G99" s="1071"/>
      <c r="H99" s="1071"/>
      <c r="I99" s="1071"/>
      <c r="J99" s="1071"/>
      <c r="K99" s="1071"/>
      <c r="L99" s="1071"/>
      <c r="M99" s="789"/>
    </row>
    <row r="100" spans="1:13" ht="20.45" customHeight="1">
      <c r="B100" s="819"/>
      <c r="C100" s="820"/>
      <c r="D100" s="820"/>
      <c r="E100" s="820"/>
      <c r="F100" s="820"/>
      <c r="G100" s="820"/>
      <c r="H100" s="820"/>
      <c r="I100" s="820"/>
      <c r="J100" s="820"/>
      <c r="K100" s="820"/>
      <c r="L100" s="820"/>
    </row>
    <row r="101" spans="1:13" ht="20.45" customHeight="1">
      <c r="B101" s="819"/>
      <c r="C101" s="820"/>
      <c r="D101" s="821" t="s">
        <v>1524</v>
      </c>
      <c r="E101" s="821" t="s">
        <v>1524</v>
      </c>
      <c r="F101" s="821" t="str">
        <f>+E101</f>
        <v>Current Year</v>
      </c>
      <c r="G101" s="821" t="s">
        <v>1526</v>
      </c>
      <c r="H101" s="821" t="s">
        <v>1524</v>
      </c>
      <c r="I101" s="243" t="s">
        <v>1536</v>
      </c>
      <c r="J101" s="243" t="s">
        <v>1536</v>
      </c>
      <c r="K101" s="243" t="s">
        <v>1524</v>
      </c>
      <c r="L101" s="243" t="s">
        <v>1524</v>
      </c>
    </row>
    <row r="102" spans="1:13" ht="19.149999999999999" customHeight="1">
      <c r="B102" s="733"/>
      <c r="D102" s="821" t="s">
        <v>1569</v>
      </c>
      <c r="E102" s="821" t="s">
        <v>1570</v>
      </c>
      <c r="F102" s="821" t="s">
        <v>1523</v>
      </c>
      <c r="G102" s="821" t="s">
        <v>1527</v>
      </c>
      <c r="H102" s="821" t="s">
        <v>1535</v>
      </c>
      <c r="I102" s="243" t="s">
        <v>1537</v>
      </c>
      <c r="J102" s="243" t="s">
        <v>1537</v>
      </c>
      <c r="K102" s="243" t="s">
        <v>1537</v>
      </c>
      <c r="L102" s="243" t="s">
        <v>1537</v>
      </c>
      <c r="M102" s="822"/>
    </row>
    <row r="103" spans="1:13" ht="19.149999999999999" customHeight="1">
      <c r="B103" s="16"/>
      <c r="C103" s="16"/>
      <c r="D103" s="821" t="s">
        <v>1525</v>
      </c>
      <c r="E103" s="821" t="s">
        <v>1578</v>
      </c>
      <c r="F103" s="17" t="s">
        <v>1538</v>
      </c>
      <c r="G103" s="821"/>
      <c r="H103" s="821" t="s">
        <v>1527</v>
      </c>
      <c r="I103" s="243" t="s">
        <v>1523</v>
      </c>
      <c r="J103" s="243" t="s">
        <v>1523</v>
      </c>
      <c r="K103" s="243" t="s">
        <v>1523</v>
      </c>
      <c r="L103" s="243" t="s">
        <v>1523</v>
      </c>
      <c r="M103" s="822"/>
    </row>
    <row r="104" spans="1:13" ht="19.149999999999999" customHeight="1">
      <c r="B104" s="16"/>
      <c r="C104" s="16"/>
      <c r="D104" s="17" t="s">
        <v>1538</v>
      </c>
      <c r="E104" s="17" t="s">
        <v>1538</v>
      </c>
      <c r="G104" s="16"/>
      <c r="H104" s="823"/>
      <c r="I104" s="17" t="s">
        <v>1538</v>
      </c>
      <c r="J104" s="17" t="s">
        <v>17</v>
      </c>
      <c r="K104" s="17" t="s">
        <v>1538</v>
      </c>
      <c r="L104" s="17" t="s">
        <v>17</v>
      </c>
      <c r="M104" s="822"/>
    </row>
    <row r="105" spans="1:13" ht="19.149999999999999" customHeight="1">
      <c r="B105" s="753"/>
      <c r="D105" s="753" t="s">
        <v>985</v>
      </c>
      <c r="E105" s="753" t="s">
        <v>986</v>
      </c>
      <c r="F105" s="824" t="s">
        <v>1539</v>
      </c>
      <c r="G105" s="243" t="s">
        <v>988</v>
      </c>
      <c r="H105" s="825" t="s">
        <v>1540</v>
      </c>
      <c r="I105" s="755" t="s">
        <v>990</v>
      </c>
      <c r="J105" s="243" t="s">
        <v>991</v>
      </c>
      <c r="K105" s="243" t="s">
        <v>1541</v>
      </c>
      <c r="L105" s="243" t="s">
        <v>1542</v>
      </c>
      <c r="M105" s="822"/>
    </row>
    <row r="106" spans="1:13" ht="19.149999999999999" customHeight="1">
      <c r="B106" s="16"/>
      <c r="C106" s="16"/>
      <c r="E106" s="16"/>
      <c r="F106" s="16"/>
      <c r="G106" s="16"/>
      <c r="H106" s="823"/>
      <c r="L106" s="822"/>
      <c r="M106" s="822"/>
    </row>
    <row r="107" spans="1:13" ht="19.149999999999999" customHeight="1">
      <c r="B107" s="16"/>
      <c r="C107" s="16"/>
      <c r="E107" s="16"/>
      <c r="F107" s="16"/>
      <c r="G107" s="16"/>
      <c r="H107" s="823"/>
      <c r="L107" s="822"/>
      <c r="M107" s="822"/>
    </row>
    <row r="108" spans="1:13" ht="19.149999999999999" customHeight="1">
      <c r="A108" s="748">
        <f>A106+1</f>
        <v>1</v>
      </c>
      <c r="B108" s="826" t="s">
        <v>17</v>
      </c>
      <c r="C108" s="16"/>
      <c r="D108" s="823">
        <f>'8 - Depreciation Rates'!K23</f>
        <v>26614067.004447006</v>
      </c>
      <c r="E108" s="850">
        <v>26802058</v>
      </c>
      <c r="F108" s="750">
        <f>D108-E108</f>
        <v>-187990.99555299431</v>
      </c>
      <c r="G108" s="827">
        <v>1</v>
      </c>
      <c r="H108" s="233">
        <f>F108*G108</f>
        <v>-187990.99555299431</v>
      </c>
      <c r="I108" s="987">
        <v>-1079.9756799228489</v>
      </c>
      <c r="J108" s="987">
        <v>-1079.9756799228489</v>
      </c>
      <c r="K108" s="750">
        <f>I108+F108</f>
        <v>-189070.97123291716</v>
      </c>
      <c r="L108" s="828">
        <f>H108+J108</f>
        <v>-189070.97123291716</v>
      </c>
      <c r="M108" s="822"/>
    </row>
    <row r="109" spans="1:13" ht="19.149999999999999" customHeight="1">
      <c r="A109" s="748">
        <f>A108+1</f>
        <v>2</v>
      </c>
      <c r="B109" s="826" t="s">
        <v>902</v>
      </c>
      <c r="D109" s="823">
        <f>'8 - Depreciation Rates'!K38</f>
        <v>18063842.926704001</v>
      </c>
      <c r="E109" s="850">
        <v>18971748</v>
      </c>
      <c r="F109" s="750">
        <f>D109-E109</f>
        <v>-907905.07329599932</v>
      </c>
      <c r="G109" s="827">
        <f>'Attachment H-7'!I197</f>
        <v>9.4490855863003556E-2</v>
      </c>
      <c r="H109" s="233">
        <f>F109*G109</f>
        <v>-85788.727418101946</v>
      </c>
      <c r="I109" s="987">
        <v>53.938422372564673</v>
      </c>
      <c r="J109" s="987">
        <v>5.1757629037741388</v>
      </c>
      <c r="K109" s="750">
        <f t="shared" ref="K109:K113" si="22">I109+F109</f>
        <v>-907851.13487362675</v>
      </c>
      <c r="L109" s="828">
        <f t="shared" ref="L109:L113" si="23">H109+J109</f>
        <v>-85783.551655198171</v>
      </c>
      <c r="M109" s="822"/>
    </row>
    <row r="110" spans="1:13" ht="19.149999999999999" customHeight="1">
      <c r="A110" s="748">
        <f>A109+1</f>
        <v>3</v>
      </c>
      <c r="B110" s="826" t="s">
        <v>1510</v>
      </c>
      <c r="D110" s="823">
        <f>'8 - Depreciation Rates'!K96</f>
        <v>30453567.529146001</v>
      </c>
      <c r="E110" s="850">
        <v>32943908</v>
      </c>
      <c r="F110" s="750">
        <f>D110-E110</f>
        <v>-2490340.4708539993</v>
      </c>
      <c r="G110" s="827">
        <f>G109</f>
        <v>9.4490855863003556E-2</v>
      </c>
      <c r="H110" s="233">
        <f>F110*G110</f>
        <v>-235314.40248126964</v>
      </c>
      <c r="I110" s="987">
        <v>-218.62728599086404</v>
      </c>
      <c r="J110" s="987">
        <v>-20.954977351006853</v>
      </c>
      <c r="K110" s="750">
        <f t="shared" si="22"/>
        <v>-2490559.0981399901</v>
      </c>
      <c r="L110" s="828">
        <f t="shared" si="23"/>
        <v>-235335.35745862065</v>
      </c>
      <c r="M110" s="822"/>
    </row>
    <row r="111" spans="1:13" ht="19.149999999999999" customHeight="1">
      <c r="A111" s="748">
        <f>A110+1</f>
        <v>4</v>
      </c>
      <c r="B111" s="826" t="s">
        <v>1528</v>
      </c>
      <c r="D111" s="823">
        <f>'8 - Depreciation Rates'!K52</f>
        <v>3510302.1184150004</v>
      </c>
      <c r="E111" s="823">
        <f>'4D - Intangible Pnt'!D105</f>
        <v>5120737.3558400003</v>
      </c>
      <c r="F111" s="750">
        <f t="shared" ref="F111:F113" si="24">D111-E111</f>
        <v>-1610435.2374249999</v>
      </c>
      <c r="G111" s="827">
        <f>G108</f>
        <v>1</v>
      </c>
      <c r="H111" s="233">
        <f t="shared" ref="H111:H113" si="25">F111*G111</f>
        <v>-1610435.2374249999</v>
      </c>
      <c r="I111" s="987">
        <v>10.238174519967288</v>
      </c>
      <c r="J111" s="987">
        <v>10.238174519967288</v>
      </c>
      <c r="K111" s="750">
        <f t="shared" si="22"/>
        <v>-1610424.99925048</v>
      </c>
      <c r="L111" s="828">
        <f t="shared" si="23"/>
        <v>-1610424.99925048</v>
      </c>
      <c r="M111" s="822"/>
    </row>
    <row r="112" spans="1:13" ht="19.149999999999999" customHeight="1">
      <c r="A112" s="748">
        <f t="shared" ref="A112:A114" si="26">A111+1</f>
        <v>5</v>
      </c>
      <c r="B112" s="826" t="s">
        <v>1529</v>
      </c>
      <c r="D112" s="823">
        <f>+'8 - Depreciation Rates'!K62</f>
        <v>2676289.91304</v>
      </c>
      <c r="E112" s="823">
        <f>'4D - Intangible Pnt'!F105</f>
        <v>4026332.32</v>
      </c>
      <c r="F112" s="750">
        <f t="shared" si="24"/>
        <v>-1350042.4069599998</v>
      </c>
      <c r="G112" s="827">
        <f>G110</f>
        <v>9.4490855863003556E-2</v>
      </c>
      <c r="H112" s="233">
        <f t="shared" si="25"/>
        <v>-127566.66248499973</v>
      </c>
      <c r="I112" s="987">
        <v>-6.7984556807205081</v>
      </c>
      <c r="J112" s="987">
        <v>-0.71630147341920725</v>
      </c>
      <c r="K112" s="750">
        <f t="shared" si="22"/>
        <v>-1350049.2054156805</v>
      </c>
      <c r="L112" s="828">
        <f t="shared" si="23"/>
        <v>-127567.37878647316</v>
      </c>
      <c r="M112" s="822"/>
    </row>
    <row r="113" spans="1:13" ht="19.149999999999999" customHeight="1">
      <c r="A113" s="748">
        <f t="shared" si="26"/>
        <v>6</v>
      </c>
      <c r="B113" s="826" t="s">
        <v>1530</v>
      </c>
      <c r="D113" s="823">
        <f>+'8 - Depreciation Rates'!K66</f>
        <v>11053896.984160002</v>
      </c>
      <c r="E113" s="823">
        <f>'4D - Intangible Pnt'!E105</f>
        <v>11053896.984160002</v>
      </c>
      <c r="F113" s="750">
        <f t="shared" si="24"/>
        <v>0</v>
      </c>
      <c r="G113" s="827">
        <v>0</v>
      </c>
      <c r="H113" s="233">
        <f t="shared" si="25"/>
        <v>0</v>
      </c>
      <c r="I113" s="808">
        <v>0</v>
      </c>
      <c r="J113" s="808">
        <v>0</v>
      </c>
      <c r="K113" s="750">
        <f t="shared" si="22"/>
        <v>0</v>
      </c>
      <c r="L113" s="828">
        <f t="shared" si="23"/>
        <v>0</v>
      </c>
      <c r="M113" s="822"/>
    </row>
    <row r="114" spans="1:13" ht="19.149999999999999" customHeight="1">
      <c r="A114" s="748">
        <f t="shared" si="26"/>
        <v>7</v>
      </c>
      <c r="B114" s="829"/>
      <c r="D114" s="541"/>
      <c r="I114" s="827"/>
      <c r="J114" s="823"/>
      <c r="K114" s="823"/>
      <c r="L114" s="822"/>
      <c r="M114" s="822"/>
    </row>
    <row r="115" spans="1:13" ht="19.149999999999999" customHeight="1">
      <c r="A115" s="748">
        <f>A114+1</f>
        <v>8</v>
      </c>
      <c r="B115" s="830" t="s">
        <v>1543</v>
      </c>
      <c r="D115" s="541"/>
      <c r="H115" s="16"/>
      <c r="I115" s="827"/>
      <c r="J115" s="16"/>
      <c r="K115" s="823"/>
      <c r="L115" s="822"/>
      <c r="M115" s="822"/>
    </row>
    <row r="116" spans="1:13" ht="19.149999999999999" customHeight="1">
      <c r="B116" s="830"/>
      <c r="D116" s="541"/>
      <c r="E116" s="749" t="s">
        <v>1544</v>
      </c>
      <c r="F116" s="17" t="s">
        <v>1546</v>
      </c>
      <c r="G116" s="17" t="s">
        <v>1548</v>
      </c>
      <c r="H116" s="821" t="s">
        <v>1526</v>
      </c>
      <c r="I116" s="17" t="s">
        <v>1548</v>
      </c>
      <c r="J116" s="16"/>
      <c r="K116" s="823"/>
      <c r="L116" s="822"/>
      <c r="M116" s="822"/>
    </row>
    <row r="117" spans="1:13" ht="19.149999999999999" customHeight="1">
      <c r="B117" s="830"/>
      <c r="D117" s="541"/>
      <c r="E117" s="749" t="s">
        <v>1571</v>
      </c>
      <c r="F117" s="17" t="s">
        <v>1547</v>
      </c>
      <c r="G117" s="17" t="s">
        <v>1572</v>
      </c>
      <c r="H117" s="821" t="s">
        <v>1527</v>
      </c>
      <c r="I117" s="17" t="s">
        <v>1572</v>
      </c>
      <c r="J117" s="16"/>
      <c r="K117" s="823"/>
      <c r="L117" s="822"/>
      <c r="M117" s="822"/>
    </row>
    <row r="118" spans="1:13" ht="19.149999999999999" customHeight="1">
      <c r="A118" s="748">
        <f>A115+1</f>
        <v>9</v>
      </c>
      <c r="B118" s="831"/>
      <c r="C118" s="831"/>
      <c r="D118" s="831"/>
      <c r="E118" s="832" t="s">
        <v>1538</v>
      </c>
      <c r="F118" s="832" t="s">
        <v>1538</v>
      </c>
      <c r="G118" s="832" t="s">
        <v>1538</v>
      </c>
      <c r="I118" s="832" t="s">
        <v>17</v>
      </c>
      <c r="J118" s="16"/>
      <c r="K118" s="823"/>
      <c r="L118" s="822"/>
      <c r="M118" s="822"/>
    </row>
    <row r="119" spans="1:13" ht="19.149999999999999" customHeight="1">
      <c r="B119" s="831"/>
      <c r="C119" s="831"/>
      <c r="D119" s="831"/>
      <c r="E119" s="832"/>
      <c r="F119" s="832"/>
      <c r="G119" s="833"/>
      <c r="I119" s="833"/>
      <c r="J119" s="16"/>
      <c r="K119" s="823"/>
      <c r="L119" s="822"/>
      <c r="M119" s="822"/>
    </row>
    <row r="120" spans="1:13" ht="19.149999999999999" customHeight="1">
      <c r="B120" s="831"/>
      <c r="C120" s="831"/>
      <c r="D120" s="831"/>
      <c r="E120" s="832"/>
      <c r="F120" s="832"/>
      <c r="G120" s="833"/>
      <c r="I120" s="833"/>
      <c r="J120" s="16"/>
      <c r="K120" s="823"/>
      <c r="L120" s="822"/>
      <c r="M120" s="822"/>
    </row>
    <row r="121" spans="1:13" ht="19.149999999999999" customHeight="1">
      <c r="A121" s="748">
        <f>A118+1</f>
        <v>10</v>
      </c>
      <c r="B121" s="826" t="s">
        <v>17</v>
      </c>
      <c r="D121" s="831"/>
      <c r="E121" s="834">
        <f>'4- Rate Base'!J24</f>
        <v>535111386.82768154</v>
      </c>
      <c r="F121" s="785">
        <f>(I108+K108)/2</f>
        <v>-95075.473456420004</v>
      </c>
      <c r="G121" s="785">
        <f>E121-F121</f>
        <v>535206462.30113798</v>
      </c>
      <c r="H121" s="835">
        <f>G108</f>
        <v>1</v>
      </c>
      <c r="I121" s="785">
        <f>G121*H121</f>
        <v>535206462.30113798</v>
      </c>
      <c r="J121" s="16"/>
      <c r="K121" s="823"/>
      <c r="L121" s="822"/>
      <c r="M121" s="822"/>
    </row>
    <row r="122" spans="1:13" ht="19.149999999999999" customHeight="1">
      <c r="A122" s="748">
        <f t="shared" ref="A122:A135" si="27">A121+1</f>
        <v>11</v>
      </c>
      <c r="B122" s="826" t="s">
        <v>902</v>
      </c>
      <c r="D122" s="831"/>
      <c r="E122" s="836">
        <f>'4- Rate Base'!K24</f>
        <v>92316119.439343467</v>
      </c>
      <c r="F122" s="785">
        <f t="shared" ref="F122:F126" si="28">(I109+K109)/2</f>
        <v>-453898.59822562709</v>
      </c>
      <c r="G122" s="785">
        <f t="shared" ref="G122:G126" si="29">E122-F122</f>
        <v>92770018.037569091</v>
      </c>
      <c r="H122" s="835">
        <f t="shared" ref="H122:H125" si="30">G109</f>
        <v>9.4490855863003556E-2</v>
      </c>
      <c r="I122" s="785">
        <f t="shared" ref="I122:I126" si="31">G122*H122</f>
        <v>8765918.4027961809</v>
      </c>
      <c r="J122" s="823"/>
      <c r="K122" s="823"/>
      <c r="L122" s="820"/>
    </row>
    <row r="123" spans="1:13">
      <c r="A123" s="748">
        <f t="shared" si="27"/>
        <v>12</v>
      </c>
      <c r="B123" s="826" t="s">
        <v>1510</v>
      </c>
      <c r="D123" s="831"/>
      <c r="E123" s="836">
        <f>'4- Rate Base'!L24</f>
        <v>321189338.7590223</v>
      </c>
      <c r="F123" s="785">
        <f t="shared" si="28"/>
        <v>-1245388.8627129905</v>
      </c>
      <c r="G123" s="785">
        <f t="shared" si="29"/>
        <v>322434727.62173527</v>
      </c>
      <c r="H123" s="835">
        <f t="shared" si="30"/>
        <v>9.4490855863003556E-2</v>
      </c>
      <c r="I123" s="785">
        <f t="shared" si="31"/>
        <v>30467133.372932199</v>
      </c>
      <c r="J123" s="823"/>
      <c r="K123" s="823"/>
    </row>
    <row r="124" spans="1:13">
      <c r="A124" s="748">
        <f t="shared" si="27"/>
        <v>13</v>
      </c>
      <c r="B124" s="826" t="s">
        <v>1528</v>
      </c>
      <c r="D124" s="831"/>
      <c r="E124" s="836">
        <f>'4D - Intangible Pnt'!Q52</f>
        <v>14908718.425135486</v>
      </c>
      <c r="F124" s="785">
        <f t="shared" si="28"/>
        <v>-805207.38053798</v>
      </c>
      <c r="G124" s="785">
        <f t="shared" si="29"/>
        <v>15713925.805673465</v>
      </c>
      <c r="H124" s="835">
        <f t="shared" si="30"/>
        <v>1</v>
      </c>
      <c r="I124" s="785">
        <f t="shared" si="31"/>
        <v>15713925.805673465</v>
      </c>
      <c r="J124" s="16"/>
      <c r="K124" s="823"/>
    </row>
    <row r="125" spans="1:13">
      <c r="A125" s="748">
        <f t="shared" si="27"/>
        <v>14</v>
      </c>
      <c r="B125" s="826" t="s">
        <v>1529</v>
      </c>
      <c r="D125" s="541"/>
      <c r="E125" s="836">
        <f>'4D - Intangible Pnt'!S52</f>
        <v>13045516.226901459</v>
      </c>
      <c r="F125" s="785">
        <f t="shared" si="28"/>
        <v>-675028.00193568063</v>
      </c>
      <c r="G125" s="785">
        <f t="shared" si="29"/>
        <v>13720544.22883714</v>
      </c>
      <c r="H125" s="835">
        <f t="shared" si="30"/>
        <v>9.4490855863003556E-2</v>
      </c>
      <c r="I125" s="785">
        <f t="shared" si="31"/>
        <v>1296465.9670890155</v>
      </c>
      <c r="J125" s="16"/>
      <c r="K125" s="823"/>
    </row>
    <row r="126" spans="1:13">
      <c r="A126" s="748">
        <f t="shared" si="27"/>
        <v>15</v>
      </c>
      <c r="B126" s="826" t="s">
        <v>1530</v>
      </c>
      <c r="D126" s="16"/>
      <c r="E126" s="836">
        <f>'4D - Intangible Pnt'!R52</f>
        <v>111269429.0733875</v>
      </c>
      <c r="F126" s="834">
        <f t="shared" si="28"/>
        <v>0</v>
      </c>
      <c r="G126" s="785">
        <f t="shared" si="29"/>
        <v>111269429.0733875</v>
      </c>
      <c r="H126" s="835">
        <v>0</v>
      </c>
      <c r="I126" s="785">
        <f t="shared" si="31"/>
        <v>0</v>
      </c>
      <c r="J126" s="16"/>
      <c r="K126" s="823"/>
    </row>
    <row r="127" spans="1:13">
      <c r="A127" s="748">
        <f t="shared" si="27"/>
        <v>16</v>
      </c>
      <c r="B127" s="826" t="s">
        <v>1545</v>
      </c>
      <c r="D127" s="16"/>
      <c r="E127" s="836">
        <f>SUM(E124:E126)</f>
        <v>139223663.72542444</v>
      </c>
      <c r="F127" s="836">
        <f>SUM(F124:F126)</f>
        <v>-1480235.3824736606</v>
      </c>
      <c r="G127" s="836">
        <f>SUM(G124:G126)</f>
        <v>140703899.10789812</v>
      </c>
      <c r="I127" s="836">
        <f>SUM(I124:I126)</f>
        <v>17010391.772762481</v>
      </c>
      <c r="J127" s="823"/>
      <c r="K127" s="16"/>
    </row>
    <row r="128" spans="1:13">
      <c r="A128" s="748">
        <f t="shared" si="27"/>
        <v>17</v>
      </c>
      <c r="B128" s="829"/>
      <c r="D128" s="541"/>
      <c r="I128" s="827"/>
      <c r="J128" s="823"/>
      <c r="K128" s="16"/>
    </row>
    <row r="129" spans="1:17">
      <c r="A129" s="748">
        <f t="shared" si="27"/>
        <v>18</v>
      </c>
      <c r="B129" s="829"/>
      <c r="D129" s="541"/>
      <c r="I129" s="837"/>
      <c r="J129" s="823"/>
      <c r="K129" s="16"/>
    </row>
    <row r="130" spans="1:17">
      <c r="A130" s="748">
        <f t="shared" si="27"/>
        <v>19</v>
      </c>
      <c r="B130" s="829"/>
      <c r="D130" s="541"/>
      <c r="H130" s="823"/>
      <c r="I130" s="16"/>
      <c r="J130" s="16"/>
      <c r="K130" s="823"/>
    </row>
    <row r="131" spans="1:17">
      <c r="A131" s="748">
        <f t="shared" si="27"/>
        <v>20</v>
      </c>
      <c r="B131" s="829"/>
      <c r="D131" s="541"/>
      <c r="H131" s="16"/>
      <c r="I131" s="16"/>
      <c r="J131" s="16"/>
      <c r="K131" s="823"/>
    </row>
    <row r="132" spans="1:17">
      <c r="A132" s="748">
        <f t="shared" si="27"/>
        <v>21</v>
      </c>
      <c r="B132" s="16"/>
      <c r="C132" s="16"/>
      <c r="H132" s="16"/>
      <c r="I132" s="16"/>
      <c r="J132" s="16"/>
      <c r="K132" s="823"/>
    </row>
    <row r="133" spans="1:17">
      <c r="A133" s="748">
        <f t="shared" si="27"/>
        <v>22</v>
      </c>
      <c r="B133" s="16"/>
      <c r="C133" s="16"/>
      <c r="H133" s="16"/>
      <c r="I133" s="16"/>
      <c r="J133" s="16"/>
      <c r="K133" s="823"/>
    </row>
    <row r="134" spans="1:17">
      <c r="A134" s="748">
        <f t="shared" si="27"/>
        <v>23</v>
      </c>
      <c r="B134" s="16"/>
      <c r="C134" s="16"/>
      <c r="H134" s="16"/>
      <c r="I134" s="16"/>
      <c r="J134" s="16"/>
      <c r="K134" s="823"/>
    </row>
    <row r="135" spans="1:17">
      <c r="A135" s="748">
        <f t="shared" si="27"/>
        <v>24</v>
      </c>
      <c r="B135" s="16"/>
      <c r="C135" s="16"/>
    </row>
    <row r="137" spans="1:17">
      <c r="B137" s="756"/>
      <c r="C137" s="776"/>
      <c r="D137" s="95"/>
      <c r="E137" s="95"/>
      <c r="F137" s="95"/>
      <c r="G137" s="95"/>
      <c r="H137" s="95"/>
      <c r="I137" s="784"/>
      <c r="J137" s="784"/>
      <c r="K137" s="784"/>
      <c r="L137" s="233" t="s">
        <v>1534</v>
      </c>
      <c r="O137" s="838"/>
      <c r="P137" s="839"/>
      <c r="Q137" s="840"/>
    </row>
    <row r="138" spans="1:17" ht="16.5" thickBot="1">
      <c r="B138" s="841" t="s">
        <v>182</v>
      </c>
      <c r="C138" s="842"/>
      <c r="D138" s="95"/>
      <c r="E138" s="95"/>
      <c r="F138" s="95"/>
      <c r="G138" s="95"/>
      <c r="H138" s="95"/>
      <c r="I138" s="784"/>
      <c r="J138" s="784"/>
      <c r="K138" s="784"/>
      <c r="L138" s="784"/>
      <c r="P138" s="818"/>
      <c r="Q138" s="797"/>
    </row>
    <row r="139" spans="1:17" s="846" customFormat="1" ht="18" customHeight="1">
      <c r="A139" s="843"/>
      <c r="B139" s="844">
        <v>1</v>
      </c>
      <c r="C139" s="845" t="s">
        <v>1573</v>
      </c>
      <c r="I139" s="847"/>
      <c r="J139" s="847"/>
      <c r="K139" s="847"/>
      <c r="L139" s="847"/>
      <c r="N139" s="848"/>
      <c r="O139" s="849"/>
    </row>
    <row r="140" spans="1:17" s="846" customFormat="1" ht="52.15" customHeight="1">
      <c r="A140" s="843"/>
      <c r="B140" s="844">
        <v>2</v>
      </c>
      <c r="C140" s="1074" t="s">
        <v>1268</v>
      </c>
      <c r="D140" s="1074"/>
      <c r="E140" s="1074"/>
      <c r="F140" s="1074"/>
      <c r="G140" s="1074"/>
      <c r="H140" s="1074"/>
      <c r="I140" s="1074"/>
      <c r="J140" s="1074"/>
      <c r="K140" s="1074"/>
      <c r="L140" s="1074"/>
      <c r="N140" s="848"/>
      <c r="O140" s="849"/>
    </row>
    <row r="141" spans="1:17" s="846" customFormat="1" ht="19.149999999999999" customHeight="1">
      <c r="A141" s="843"/>
      <c r="B141" s="844">
        <v>3</v>
      </c>
      <c r="C141" s="1072" t="s">
        <v>1563</v>
      </c>
      <c r="D141" s="1072"/>
      <c r="E141" s="1072"/>
      <c r="F141" s="1072"/>
      <c r="G141" s="1072"/>
      <c r="H141" s="1072"/>
      <c r="I141" s="1072"/>
      <c r="J141" s="1072"/>
      <c r="K141" s="1072"/>
      <c r="L141" s="1072"/>
      <c r="N141" s="848"/>
      <c r="O141" s="849"/>
    </row>
    <row r="142" spans="1:17" s="846" customFormat="1">
      <c r="A142" s="843"/>
      <c r="B142" s="844">
        <v>4</v>
      </c>
      <c r="C142" s="845" t="s">
        <v>1124</v>
      </c>
      <c r="I142" s="847"/>
      <c r="J142" s="847"/>
      <c r="K142" s="847"/>
      <c r="L142" s="847"/>
      <c r="N142" s="848"/>
      <c r="O142" s="849"/>
    </row>
    <row r="143" spans="1:17" s="846" customFormat="1">
      <c r="A143" s="843"/>
      <c r="B143" s="844">
        <v>5</v>
      </c>
      <c r="C143" s="845" t="s">
        <v>1052</v>
      </c>
      <c r="I143" s="847"/>
      <c r="J143" s="847"/>
      <c r="K143" s="847"/>
      <c r="L143" s="847"/>
      <c r="N143" s="848"/>
      <c r="O143" s="849"/>
    </row>
    <row r="144" spans="1:17" s="846" customFormat="1">
      <c r="A144" s="843"/>
      <c r="B144" s="844">
        <v>6</v>
      </c>
      <c r="C144" s="1073" t="s">
        <v>369</v>
      </c>
      <c r="D144" s="1073"/>
      <c r="E144" s="1073"/>
      <c r="F144" s="1073"/>
      <c r="G144" s="1073"/>
      <c r="H144" s="1073"/>
      <c r="I144" s="1073"/>
      <c r="J144" s="1073"/>
      <c r="K144" s="1073"/>
      <c r="L144" s="1073"/>
      <c r="N144" s="848"/>
      <c r="O144" s="849"/>
    </row>
    <row r="145" spans="1:15" s="846" customFormat="1" ht="15.75" customHeight="1">
      <c r="A145" s="843"/>
      <c r="B145" s="844">
        <v>7</v>
      </c>
      <c r="C145" s="1073" t="s">
        <v>369</v>
      </c>
      <c r="D145" s="1073"/>
      <c r="E145" s="1073"/>
      <c r="F145" s="1073"/>
      <c r="G145" s="1073"/>
      <c r="H145" s="1073"/>
      <c r="I145" s="1073"/>
      <c r="J145" s="1073"/>
      <c r="K145" s="1073"/>
      <c r="L145" s="1073"/>
      <c r="N145" s="848"/>
      <c r="O145" s="849"/>
    </row>
    <row r="146" spans="1:15" s="846" customFormat="1">
      <c r="A146" s="843"/>
      <c r="B146" s="844">
        <v>8</v>
      </c>
      <c r="C146" s="845" t="s">
        <v>1046</v>
      </c>
      <c r="I146" s="847"/>
      <c r="J146" s="847"/>
      <c r="K146" s="847"/>
      <c r="L146" s="847"/>
      <c r="N146" s="848"/>
      <c r="O146" s="849"/>
    </row>
    <row r="147" spans="1:15">
      <c r="B147" s="844">
        <v>9</v>
      </c>
      <c r="C147" s="845" t="s">
        <v>1053</v>
      </c>
      <c r="D147" s="846"/>
      <c r="E147" s="846"/>
      <c r="F147" s="846"/>
      <c r="G147" s="846"/>
      <c r="H147" s="846"/>
      <c r="I147" s="847"/>
      <c r="J147" s="847"/>
      <c r="K147" s="847"/>
      <c r="L147" s="847"/>
      <c r="M147" s="846"/>
    </row>
    <row r="148" spans="1:15" ht="48" customHeight="1">
      <c r="B148" s="819">
        <v>10</v>
      </c>
      <c r="C148" s="1078" t="s">
        <v>1575</v>
      </c>
      <c r="D148" s="1078"/>
      <c r="E148" s="1078"/>
      <c r="F148" s="1078"/>
      <c r="G148" s="1078"/>
      <c r="H148" s="1078"/>
      <c r="I148" s="1078"/>
      <c r="J148" s="1078"/>
      <c r="K148" s="1078"/>
      <c r="L148" s="1078"/>
      <c r="M148" s="822"/>
    </row>
    <row r="149" spans="1:15" ht="14.25" customHeight="1">
      <c r="B149" s="819">
        <v>11</v>
      </c>
      <c r="C149" s="1079" t="s">
        <v>1522</v>
      </c>
      <c r="D149" s="1079"/>
      <c r="E149" s="1079"/>
      <c r="F149" s="1079"/>
      <c r="G149" s="1079"/>
      <c r="H149" s="1079"/>
      <c r="I149" s="1079"/>
      <c r="J149" s="1079"/>
      <c r="K149" s="1079"/>
      <c r="L149" s="1079"/>
    </row>
  </sheetData>
  <sheetProtection algorithmName="SHA-512" hashValue="fs0oMNWSJwM6BpFWGQWAigm072JOOR77rf5Y6cWKD/aSXJFf0YvZZhZpEHkG/Pq18ddq8wObJNgmEkP9l8C4TA==" saltValue="vSY6K1j83Y9yXR5E7SleuQ==" spinCount="100000" sheet="1" objects="1" scenarios="1"/>
  <mergeCells count="13">
    <mergeCell ref="C148:L148"/>
    <mergeCell ref="B40:L40"/>
    <mergeCell ref="B41:L41"/>
    <mergeCell ref="C149:L149"/>
    <mergeCell ref="B98:L98"/>
    <mergeCell ref="B99:L99"/>
    <mergeCell ref="B2:L2"/>
    <mergeCell ref="B3:L3"/>
    <mergeCell ref="C141:L141"/>
    <mergeCell ref="C145:L145"/>
    <mergeCell ref="C140:L140"/>
    <mergeCell ref="C144:L144"/>
    <mergeCell ref="H13:J13"/>
  </mergeCells>
  <pageMargins left="0.5" right="0.5" top="0.5" bottom="0.5" header="0.05" footer="0.05"/>
  <pageSetup paperSize="17" scale="66"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P57"/>
  <sheetViews>
    <sheetView view="pageBreakPreview" zoomScale="60" zoomScaleNormal="40" workbookViewId="0">
      <selection activeCell="N47" sqref="N47"/>
    </sheetView>
  </sheetViews>
  <sheetFormatPr defaultColWidth="8.77734375" defaultRowHeight="15.75"/>
  <cols>
    <col min="1" max="1" width="4.5546875" style="748" customWidth="1"/>
    <col min="2" max="2" width="41.77734375" style="16" customWidth="1"/>
    <col min="3" max="3" width="18.109375" style="16" customWidth="1"/>
    <col min="4" max="14" width="11.109375" style="16" bestFit="1" customWidth="1"/>
    <col min="15" max="15" width="12" style="16" bestFit="1" customWidth="1"/>
    <col min="16" max="16" width="14.6640625" style="16" customWidth="1"/>
    <col min="17" max="17" width="11.5546875" style="16" bestFit="1" customWidth="1"/>
    <col min="18" max="16384" width="8.77734375" style="16"/>
  </cols>
  <sheetData>
    <row r="1" spans="1:16" s="749" customFormat="1">
      <c r="A1" s="748"/>
      <c r="B1" s="1071" t="s">
        <v>1212</v>
      </c>
      <c r="C1" s="1071"/>
      <c r="D1" s="1071"/>
      <c r="E1" s="1071"/>
      <c r="F1" s="1071"/>
      <c r="G1" s="1071"/>
      <c r="H1" s="1071"/>
      <c r="I1" s="1071"/>
      <c r="J1" s="1071"/>
      <c r="K1" s="1071"/>
      <c r="L1" s="1071"/>
      <c r="M1" s="1071"/>
      <c r="N1" s="1071"/>
      <c r="O1" s="1071"/>
      <c r="P1" s="1071"/>
    </row>
    <row r="2" spans="1:16" s="749" customFormat="1">
      <c r="A2" s="748"/>
      <c r="B2" s="1071" t="s">
        <v>1467</v>
      </c>
      <c r="C2" s="1071"/>
      <c r="D2" s="1071"/>
      <c r="E2" s="1071"/>
      <c r="F2" s="1071"/>
      <c r="G2" s="1071"/>
      <c r="H2" s="1071"/>
      <c r="I2" s="1071"/>
      <c r="J2" s="1071"/>
      <c r="K2" s="1071"/>
      <c r="L2" s="1071"/>
      <c r="M2" s="1071"/>
      <c r="N2" s="1071"/>
      <c r="O2" s="1071"/>
      <c r="P2" s="1071"/>
    </row>
    <row r="3" spans="1:16" s="749" customFormat="1">
      <c r="A3" s="748"/>
      <c r="B3" s="1071" t="s">
        <v>681</v>
      </c>
      <c r="C3" s="1071"/>
      <c r="D3" s="1071"/>
      <c r="E3" s="1071"/>
      <c r="F3" s="1071"/>
      <c r="G3" s="1071"/>
      <c r="H3" s="1071"/>
      <c r="I3" s="1071"/>
      <c r="J3" s="1071"/>
      <c r="K3" s="1071"/>
      <c r="L3" s="1071"/>
      <c r="M3" s="1071"/>
      <c r="N3" s="1071"/>
      <c r="O3" s="1071"/>
      <c r="P3" s="1071"/>
    </row>
    <row r="4" spans="1:16" s="749" customFormat="1">
      <c r="A4" s="748"/>
      <c r="C4" s="369" t="s">
        <v>198</v>
      </c>
      <c r="D4" s="369" t="s">
        <v>199</v>
      </c>
      <c r="E4" s="851" t="s">
        <v>200</v>
      </c>
      <c r="F4" s="369" t="s">
        <v>201</v>
      </c>
      <c r="G4" s="369" t="s">
        <v>203</v>
      </c>
      <c r="H4" s="369" t="s">
        <v>202</v>
      </c>
      <c r="I4" s="369" t="s">
        <v>204</v>
      </c>
      <c r="J4" s="369" t="s">
        <v>205</v>
      </c>
      <c r="K4" s="369" t="s">
        <v>206</v>
      </c>
      <c r="L4" s="369" t="s">
        <v>244</v>
      </c>
      <c r="M4" s="369" t="s">
        <v>248</v>
      </c>
      <c r="N4" s="369" t="s">
        <v>453</v>
      </c>
      <c r="O4" s="17" t="s">
        <v>779</v>
      </c>
      <c r="P4" s="17" t="s">
        <v>780</v>
      </c>
    </row>
    <row r="5" spans="1:16">
      <c r="B5" s="852" t="s">
        <v>1275</v>
      </c>
    </row>
    <row r="6" spans="1:16">
      <c r="C6" s="853"/>
      <c r="D6" s="853" t="s">
        <v>84</v>
      </c>
      <c r="E6" s="853" t="s">
        <v>83</v>
      </c>
      <c r="F6" s="853" t="s">
        <v>171</v>
      </c>
      <c r="G6" s="853" t="s">
        <v>74</v>
      </c>
      <c r="H6" s="853" t="s">
        <v>73</v>
      </c>
      <c r="I6" s="853" t="s">
        <v>93</v>
      </c>
      <c r="J6" s="853" t="s">
        <v>81</v>
      </c>
      <c r="K6" s="853" t="s">
        <v>172</v>
      </c>
      <c r="L6" s="853" t="s">
        <v>79</v>
      </c>
      <c r="M6" s="853" t="s">
        <v>85</v>
      </c>
      <c r="N6" s="853" t="s">
        <v>78</v>
      </c>
      <c r="O6" s="853" t="s">
        <v>196</v>
      </c>
      <c r="P6" s="17" t="s">
        <v>13</v>
      </c>
    </row>
    <row r="7" spans="1:16">
      <c r="A7" s="748">
        <v>1</v>
      </c>
      <c r="B7" s="852" t="s">
        <v>1221</v>
      </c>
      <c r="D7" s="541"/>
      <c r="E7" s="541"/>
      <c r="F7" s="541"/>
      <c r="G7" s="541"/>
      <c r="H7" s="541"/>
      <c r="I7" s="541"/>
      <c r="J7" s="541"/>
      <c r="K7" s="541"/>
      <c r="L7" s="541"/>
      <c r="M7" s="541"/>
      <c r="N7" s="541"/>
      <c r="O7" s="541"/>
      <c r="P7" s="823"/>
    </row>
    <row r="8" spans="1:16" s="541" customFormat="1">
      <c r="A8" s="854">
        <f>A7+1</f>
        <v>2</v>
      </c>
      <c r="B8" s="855" t="s">
        <v>17</v>
      </c>
      <c r="D8" s="986">
        <v>72177.133333333346</v>
      </c>
      <c r="E8" s="986">
        <v>72177.133333333346</v>
      </c>
      <c r="F8" s="986">
        <v>72177.133333333346</v>
      </c>
      <c r="G8" s="986">
        <v>72177.133333333346</v>
      </c>
      <c r="H8" s="986">
        <v>72177.133333333346</v>
      </c>
      <c r="I8" s="986">
        <v>72177.133333333346</v>
      </c>
      <c r="J8" s="986">
        <v>72177.133333333346</v>
      </c>
      <c r="K8" s="986">
        <v>72177.133333333346</v>
      </c>
      <c r="L8" s="986">
        <v>72177.133333333346</v>
      </c>
      <c r="M8" s="986">
        <v>72177.133333333346</v>
      </c>
      <c r="N8" s="986">
        <v>72177.133333333346</v>
      </c>
      <c r="O8" s="986">
        <v>72177.133333333346</v>
      </c>
      <c r="P8" s="823">
        <f>SUM(D8:O8)</f>
        <v>866125.6</v>
      </c>
    </row>
    <row r="9" spans="1:16" s="541" customFormat="1">
      <c r="A9" s="854"/>
      <c r="P9" s="856"/>
    </row>
    <row r="10" spans="1:16">
      <c r="A10" s="748">
        <f>A8+1</f>
        <v>3</v>
      </c>
      <c r="B10" s="855" t="s">
        <v>1216</v>
      </c>
      <c r="D10" s="986">
        <v>-2832.8333333333335</v>
      </c>
      <c r="E10" s="986">
        <v>-2832.8333333333335</v>
      </c>
      <c r="F10" s="986">
        <v>-2832.8333333333335</v>
      </c>
      <c r="G10" s="986">
        <v>-2832.8333333333335</v>
      </c>
      <c r="H10" s="986">
        <v>-2832.8333333333335</v>
      </c>
      <c r="I10" s="986">
        <v>-2832.8333333333335</v>
      </c>
      <c r="J10" s="986">
        <v>-2832.8333333333335</v>
      </c>
      <c r="K10" s="986">
        <v>-2832.8333333333335</v>
      </c>
      <c r="L10" s="986">
        <v>-2832.8333333333335</v>
      </c>
      <c r="M10" s="986">
        <v>-2832.8333333333335</v>
      </c>
      <c r="N10" s="986">
        <v>-2832.8333333333335</v>
      </c>
      <c r="O10" s="986">
        <v>-2832.8333333333335</v>
      </c>
      <c r="P10" s="823">
        <f>SUM(D10:O10)</f>
        <v>-33993.999999999993</v>
      </c>
    </row>
    <row r="11" spans="1:16">
      <c r="A11" s="854">
        <f t="shared" ref="A11:A12" si="0">A10+1</f>
        <v>4</v>
      </c>
      <c r="B11" s="855" t="s">
        <v>1385</v>
      </c>
      <c r="D11" s="988">
        <v>9.4490855863003556E-2</v>
      </c>
      <c r="E11" s="823"/>
      <c r="F11" s="823"/>
      <c r="G11" s="823"/>
      <c r="H11" s="823"/>
      <c r="I11" s="823"/>
      <c r="J11" s="823"/>
      <c r="K11" s="823"/>
      <c r="L11" s="823"/>
      <c r="M11" s="823"/>
      <c r="N11" s="823"/>
      <c r="O11" s="823"/>
      <c r="P11" s="823"/>
    </row>
    <row r="12" spans="1:16">
      <c r="A12" s="854">
        <f t="shared" si="0"/>
        <v>5</v>
      </c>
      <c r="B12" s="855" t="s">
        <v>1218</v>
      </c>
      <c r="D12" s="856">
        <f>D10*$D$11</f>
        <v>-267.67684618391195</v>
      </c>
      <c r="E12" s="856">
        <f t="shared" ref="E12:O12" si="1">E10*$D$11</f>
        <v>-267.67684618391195</v>
      </c>
      <c r="F12" s="856">
        <f t="shared" si="1"/>
        <v>-267.67684618391195</v>
      </c>
      <c r="G12" s="856">
        <f t="shared" si="1"/>
        <v>-267.67684618391195</v>
      </c>
      <c r="H12" s="856">
        <f t="shared" si="1"/>
        <v>-267.67684618391195</v>
      </c>
      <c r="I12" s="856">
        <f t="shared" si="1"/>
        <v>-267.67684618391195</v>
      </c>
      <c r="J12" s="856">
        <f t="shared" si="1"/>
        <v>-267.67684618391195</v>
      </c>
      <c r="K12" s="856">
        <f t="shared" si="1"/>
        <v>-267.67684618391195</v>
      </c>
      <c r="L12" s="856">
        <f t="shared" si="1"/>
        <v>-267.67684618391195</v>
      </c>
      <c r="M12" s="856">
        <f t="shared" si="1"/>
        <v>-267.67684618391195</v>
      </c>
      <c r="N12" s="856">
        <f t="shared" si="1"/>
        <v>-267.67684618391195</v>
      </c>
      <c r="O12" s="856">
        <f t="shared" si="1"/>
        <v>-267.67684618391195</v>
      </c>
      <c r="P12" s="823">
        <f>SUM(D12:O12)</f>
        <v>-3212.1221542069434</v>
      </c>
    </row>
    <row r="13" spans="1:16">
      <c r="B13" s="541"/>
      <c r="C13" s="541"/>
      <c r="D13" s="541"/>
      <c r="E13" s="541"/>
      <c r="F13" s="541"/>
      <c r="G13" s="541"/>
      <c r="H13" s="541"/>
      <c r="I13" s="541"/>
      <c r="J13" s="541"/>
      <c r="K13" s="541"/>
      <c r="L13" s="541"/>
      <c r="M13" s="541"/>
      <c r="N13" s="541"/>
      <c r="O13" s="541"/>
      <c r="P13" s="856"/>
    </row>
    <row r="14" spans="1:16">
      <c r="A14" s="748">
        <f>A12+1</f>
        <v>6</v>
      </c>
      <c r="B14" s="855" t="s">
        <v>1219</v>
      </c>
      <c r="D14" s="986">
        <v>18961.615000000002</v>
      </c>
      <c r="E14" s="986">
        <v>18961.615000000002</v>
      </c>
      <c r="F14" s="986">
        <v>18961.615000000002</v>
      </c>
      <c r="G14" s="986">
        <v>18961.615000000002</v>
      </c>
      <c r="H14" s="986">
        <v>18961.615000000002</v>
      </c>
      <c r="I14" s="986">
        <v>18961.615000000002</v>
      </c>
      <c r="J14" s="986">
        <v>18961.615000000002</v>
      </c>
      <c r="K14" s="986">
        <v>18961.615000000002</v>
      </c>
      <c r="L14" s="986">
        <v>18961.615000000002</v>
      </c>
      <c r="M14" s="986">
        <v>18961.615000000002</v>
      </c>
      <c r="N14" s="986">
        <v>18961.615000000002</v>
      </c>
      <c r="O14" s="986">
        <v>18961.615000000002</v>
      </c>
      <c r="P14" s="823">
        <f>SUM(D14:O14)</f>
        <v>227539.37999999998</v>
      </c>
    </row>
    <row r="15" spans="1:16">
      <c r="A15" s="854">
        <f t="shared" ref="A15:A16" si="2">A14+1</f>
        <v>7</v>
      </c>
      <c r="B15" s="855" t="s">
        <v>1261</v>
      </c>
      <c r="D15" s="988">
        <v>7.3211515122655155E-2</v>
      </c>
      <c r="E15" s="823"/>
      <c r="F15" s="823"/>
      <c r="G15" s="823"/>
      <c r="H15" s="823"/>
      <c r="I15" s="823"/>
      <c r="J15" s="823"/>
      <c r="K15" s="823"/>
      <c r="L15" s="823"/>
      <c r="M15" s="823"/>
      <c r="N15" s="823"/>
      <c r="O15" s="823"/>
      <c r="P15" s="823"/>
    </row>
    <row r="16" spans="1:16">
      <c r="A16" s="854">
        <f t="shared" si="2"/>
        <v>8</v>
      </c>
      <c r="B16" s="855" t="s">
        <v>1218</v>
      </c>
      <c r="D16" s="856">
        <f>D14*$D$15</f>
        <v>1388.2085633224649</v>
      </c>
      <c r="E16" s="856">
        <f t="shared" ref="E16:O16" si="3">E14*$D$15</f>
        <v>1388.2085633224649</v>
      </c>
      <c r="F16" s="856">
        <f t="shared" si="3"/>
        <v>1388.2085633224649</v>
      </c>
      <c r="G16" s="856">
        <f t="shared" si="3"/>
        <v>1388.2085633224649</v>
      </c>
      <c r="H16" s="856">
        <f t="shared" si="3"/>
        <v>1388.2085633224649</v>
      </c>
      <c r="I16" s="856">
        <f t="shared" si="3"/>
        <v>1388.2085633224649</v>
      </c>
      <c r="J16" s="856">
        <f t="shared" si="3"/>
        <v>1388.2085633224649</v>
      </c>
      <c r="K16" s="856">
        <f t="shared" si="3"/>
        <v>1388.2085633224649</v>
      </c>
      <c r="L16" s="856">
        <f t="shared" si="3"/>
        <v>1388.2085633224649</v>
      </c>
      <c r="M16" s="856">
        <f t="shared" si="3"/>
        <v>1388.2085633224649</v>
      </c>
      <c r="N16" s="856">
        <f t="shared" si="3"/>
        <v>1388.2085633224649</v>
      </c>
      <c r="O16" s="856">
        <f t="shared" si="3"/>
        <v>1388.2085633224649</v>
      </c>
      <c r="P16" s="823">
        <f>SUM(D16:O16)</f>
        <v>16658.502759869578</v>
      </c>
    </row>
    <row r="17" spans="1:16" s="541" customFormat="1">
      <c r="A17" s="854"/>
      <c r="B17" s="855"/>
      <c r="D17" s="856"/>
      <c r="E17" s="856"/>
      <c r="F17" s="856"/>
      <c r="G17" s="856"/>
      <c r="H17" s="856"/>
      <c r="I17" s="856"/>
      <c r="J17" s="856"/>
      <c r="K17" s="856"/>
      <c r="L17" s="856"/>
      <c r="M17" s="856"/>
      <c r="N17" s="856"/>
      <c r="O17" s="856"/>
      <c r="P17" s="856"/>
    </row>
    <row r="18" spans="1:16">
      <c r="A18" s="748">
        <f>A16+1</f>
        <v>9</v>
      </c>
      <c r="B18" s="857" t="s">
        <v>1220</v>
      </c>
      <c r="D18" s="856">
        <f>D8+D12+D16</f>
        <v>73297.6650504719</v>
      </c>
      <c r="E18" s="856">
        <f t="shared" ref="E18:O18" si="4">E8+E12+E16</f>
        <v>73297.6650504719</v>
      </c>
      <c r="F18" s="856">
        <f t="shared" si="4"/>
        <v>73297.6650504719</v>
      </c>
      <c r="G18" s="856">
        <f t="shared" si="4"/>
        <v>73297.6650504719</v>
      </c>
      <c r="H18" s="856">
        <f t="shared" si="4"/>
        <v>73297.6650504719</v>
      </c>
      <c r="I18" s="856">
        <f t="shared" si="4"/>
        <v>73297.6650504719</v>
      </c>
      <c r="J18" s="856">
        <f t="shared" si="4"/>
        <v>73297.6650504719</v>
      </c>
      <c r="K18" s="856">
        <f t="shared" si="4"/>
        <v>73297.6650504719</v>
      </c>
      <c r="L18" s="856">
        <f t="shared" si="4"/>
        <v>73297.6650504719</v>
      </c>
      <c r="M18" s="856">
        <f t="shared" si="4"/>
        <v>73297.6650504719</v>
      </c>
      <c r="N18" s="856">
        <f t="shared" si="4"/>
        <v>73297.6650504719</v>
      </c>
      <c r="O18" s="856">
        <f t="shared" si="4"/>
        <v>73297.6650504719</v>
      </c>
      <c r="P18" s="823">
        <f>SUM(D18:O18)</f>
        <v>879571.9806056628</v>
      </c>
    </row>
    <row r="19" spans="1:16" s="541" customFormat="1">
      <c r="A19" s="854"/>
      <c r="P19" s="856"/>
    </row>
    <row r="20" spans="1:16">
      <c r="A20" s="748">
        <f>A18+1</f>
        <v>10</v>
      </c>
      <c r="B20" s="858" t="s">
        <v>1191</v>
      </c>
      <c r="D20" s="986">
        <v>201938</v>
      </c>
      <c r="E20" s="986">
        <v>201938</v>
      </c>
      <c r="F20" s="986">
        <v>201938</v>
      </c>
      <c r="G20" s="986">
        <v>201938</v>
      </c>
      <c r="H20" s="986">
        <v>201938</v>
      </c>
      <c r="I20" s="986">
        <v>201938</v>
      </c>
      <c r="J20" s="986">
        <v>201938</v>
      </c>
      <c r="K20" s="986">
        <v>201938</v>
      </c>
      <c r="L20" s="986">
        <v>201938</v>
      </c>
      <c r="M20" s="986">
        <v>201938</v>
      </c>
      <c r="N20" s="986">
        <v>201938</v>
      </c>
      <c r="O20" s="986">
        <v>201938</v>
      </c>
      <c r="P20" s="823">
        <f>SUM(D20:O20)</f>
        <v>2423256</v>
      </c>
    </row>
    <row r="21" spans="1:16" s="541" customFormat="1">
      <c r="A21" s="854"/>
      <c r="P21" s="856"/>
    </row>
    <row r="22" spans="1:16">
      <c r="A22" s="748">
        <f>A20+1</f>
        <v>11</v>
      </c>
      <c r="B22" s="858" t="s">
        <v>1192</v>
      </c>
      <c r="D22" s="986">
        <v>74045</v>
      </c>
      <c r="E22" s="986">
        <v>74045</v>
      </c>
      <c r="F22" s="986">
        <v>74045</v>
      </c>
      <c r="G22" s="986">
        <v>74045</v>
      </c>
      <c r="H22" s="986">
        <v>74045</v>
      </c>
      <c r="I22" s="986">
        <v>74045</v>
      </c>
      <c r="J22" s="986">
        <v>74045</v>
      </c>
      <c r="K22" s="986">
        <v>74045</v>
      </c>
      <c r="L22" s="986">
        <v>74045</v>
      </c>
      <c r="M22" s="986">
        <v>74045</v>
      </c>
      <c r="N22" s="986">
        <v>74045</v>
      </c>
      <c r="O22" s="986">
        <v>74045</v>
      </c>
      <c r="P22" s="823">
        <f t="shared" ref="P22:P23" si="5">SUM(D22:O22)</f>
        <v>888540</v>
      </c>
    </row>
    <row r="23" spans="1:16">
      <c r="A23" s="854">
        <f t="shared" ref="A23:A24" si="6">A22+1</f>
        <v>12</v>
      </c>
      <c r="B23" s="858" t="s">
        <v>1193</v>
      </c>
      <c r="D23" s="986">
        <v>-78379</v>
      </c>
      <c r="E23" s="986">
        <v>-78379</v>
      </c>
      <c r="F23" s="986">
        <v>-78379</v>
      </c>
      <c r="G23" s="986">
        <v>-78379</v>
      </c>
      <c r="H23" s="986">
        <v>-78379</v>
      </c>
      <c r="I23" s="986">
        <v>-78379</v>
      </c>
      <c r="J23" s="986">
        <v>-78379</v>
      </c>
      <c r="K23" s="986">
        <v>-78379</v>
      </c>
      <c r="L23" s="986">
        <v>-78379</v>
      </c>
      <c r="M23" s="986">
        <v>-78379</v>
      </c>
      <c r="N23" s="986">
        <v>-78379</v>
      </c>
      <c r="O23" s="986">
        <v>-78379</v>
      </c>
      <c r="P23" s="823">
        <f t="shared" si="5"/>
        <v>-940548</v>
      </c>
    </row>
    <row r="24" spans="1:16">
      <c r="A24" s="854">
        <f t="shared" si="6"/>
        <v>13</v>
      </c>
      <c r="B24" s="858" t="s">
        <v>1194</v>
      </c>
      <c r="D24" s="823">
        <f t="shared" ref="D24:O24" si="7">SUM(D22:D23)</f>
        <v>-4334</v>
      </c>
      <c r="E24" s="823">
        <f t="shared" si="7"/>
        <v>-4334</v>
      </c>
      <c r="F24" s="823">
        <f t="shared" si="7"/>
        <v>-4334</v>
      </c>
      <c r="G24" s="823">
        <f t="shared" si="7"/>
        <v>-4334</v>
      </c>
      <c r="H24" s="823">
        <f t="shared" si="7"/>
        <v>-4334</v>
      </c>
      <c r="I24" s="823">
        <f t="shared" si="7"/>
        <v>-4334</v>
      </c>
      <c r="J24" s="823">
        <f t="shared" si="7"/>
        <v>-4334</v>
      </c>
      <c r="K24" s="823">
        <f t="shared" si="7"/>
        <v>-4334</v>
      </c>
      <c r="L24" s="823">
        <f t="shared" si="7"/>
        <v>-4334</v>
      </c>
      <c r="M24" s="823">
        <f t="shared" si="7"/>
        <v>-4334</v>
      </c>
      <c r="N24" s="823">
        <f t="shared" si="7"/>
        <v>-4334</v>
      </c>
      <c r="O24" s="823">
        <f t="shared" si="7"/>
        <v>-4334</v>
      </c>
      <c r="P24" s="823">
        <f>SUM(P22:P23)</f>
        <v>-52008</v>
      </c>
    </row>
    <row r="25" spans="1:16">
      <c r="B25" s="747"/>
      <c r="D25" s="541"/>
      <c r="E25" s="541"/>
      <c r="F25" s="541"/>
      <c r="G25" s="541"/>
      <c r="H25" s="541"/>
      <c r="I25" s="541"/>
      <c r="J25" s="541"/>
      <c r="K25" s="541"/>
      <c r="L25" s="541"/>
      <c r="M25" s="541"/>
      <c r="N25" s="541"/>
      <c r="O25" s="541"/>
    </row>
    <row r="26" spans="1:16">
      <c r="B26" s="747"/>
      <c r="D26" s="541"/>
      <c r="E26" s="541"/>
      <c r="F26" s="541"/>
      <c r="G26" s="541"/>
      <c r="H26" s="541"/>
      <c r="I26" s="541"/>
      <c r="J26" s="541"/>
      <c r="K26" s="541"/>
      <c r="L26" s="541"/>
      <c r="M26" s="541"/>
      <c r="N26" s="541"/>
      <c r="O26" s="541"/>
    </row>
    <row r="27" spans="1:16">
      <c r="B27" s="852" t="s">
        <v>1276</v>
      </c>
      <c r="D27" s="541"/>
      <c r="E27" s="541"/>
      <c r="F27" s="541"/>
      <c r="G27" s="541"/>
      <c r="H27" s="541"/>
      <c r="I27" s="541"/>
      <c r="J27" s="541"/>
      <c r="K27" s="541"/>
      <c r="L27" s="541"/>
      <c r="M27" s="541"/>
      <c r="N27" s="541"/>
      <c r="O27" s="541"/>
    </row>
    <row r="28" spans="1:16" ht="41.45" customHeight="1">
      <c r="C28" s="853" t="s">
        <v>195</v>
      </c>
      <c r="D28" s="853" t="s">
        <v>84</v>
      </c>
      <c r="E28" s="853" t="s">
        <v>83</v>
      </c>
      <c r="F28" s="853" t="s">
        <v>171</v>
      </c>
      <c r="G28" s="853" t="s">
        <v>74</v>
      </c>
      <c r="H28" s="853" t="s">
        <v>73</v>
      </c>
      <c r="I28" s="853" t="s">
        <v>93</v>
      </c>
      <c r="J28" s="853" t="s">
        <v>81</v>
      </c>
      <c r="K28" s="853" t="s">
        <v>172</v>
      </c>
      <c r="L28" s="853" t="s">
        <v>79</v>
      </c>
      <c r="M28" s="853" t="s">
        <v>85</v>
      </c>
      <c r="N28" s="853" t="s">
        <v>78</v>
      </c>
      <c r="O28" s="853" t="s">
        <v>196</v>
      </c>
      <c r="P28" s="832" t="s">
        <v>1277</v>
      </c>
    </row>
    <row r="29" spans="1:16">
      <c r="A29" s="748">
        <f>A24+1</f>
        <v>14</v>
      </c>
      <c r="B29" s="852" t="s">
        <v>1221</v>
      </c>
    </row>
    <row r="30" spans="1:16">
      <c r="A30" s="854">
        <f>A29+1</f>
        <v>15</v>
      </c>
      <c r="B30" s="855" t="s">
        <v>17</v>
      </c>
      <c r="C30" s="986">
        <v>78972292</v>
      </c>
      <c r="D30" s="240">
        <f t="shared" ref="D30:N30" si="8">C30-D8</f>
        <v>78900114.86666666</v>
      </c>
      <c r="E30" s="240">
        <f t="shared" si="8"/>
        <v>78827937.733333319</v>
      </c>
      <c r="F30" s="240">
        <f t="shared" si="8"/>
        <v>78755760.599999979</v>
      </c>
      <c r="G30" s="240">
        <f t="shared" si="8"/>
        <v>78683583.466666639</v>
      </c>
      <c r="H30" s="240">
        <f t="shared" si="8"/>
        <v>78611406.333333299</v>
      </c>
      <c r="I30" s="240">
        <f t="shared" si="8"/>
        <v>78539229.199999958</v>
      </c>
      <c r="J30" s="240">
        <f t="shared" si="8"/>
        <v>78467052.066666618</v>
      </c>
      <c r="K30" s="240">
        <f t="shared" si="8"/>
        <v>78394874.933333278</v>
      </c>
      <c r="L30" s="240">
        <f t="shared" si="8"/>
        <v>78322697.799999937</v>
      </c>
      <c r="M30" s="240">
        <f t="shared" si="8"/>
        <v>78250520.666666597</v>
      </c>
      <c r="N30" s="240">
        <f t="shared" si="8"/>
        <v>78178343.533333257</v>
      </c>
      <c r="O30" s="240">
        <f>N30-O8</f>
        <v>78106166.399999917</v>
      </c>
      <c r="P30" s="859">
        <f>AVERAGE(C30,O30)</f>
        <v>78539229.199999958</v>
      </c>
    </row>
    <row r="31" spans="1:16">
      <c r="A31" s="854"/>
      <c r="B31" s="541"/>
      <c r="C31" s="856"/>
      <c r="D31" s="240"/>
      <c r="E31" s="240"/>
      <c r="F31" s="240"/>
      <c r="G31" s="240"/>
      <c r="H31" s="240"/>
      <c r="I31" s="240"/>
      <c r="J31" s="240"/>
      <c r="K31" s="240"/>
      <c r="L31" s="240"/>
      <c r="M31" s="240"/>
      <c r="N31" s="240"/>
      <c r="O31" s="240"/>
      <c r="P31" s="860"/>
    </row>
    <row r="32" spans="1:16">
      <c r="A32" s="748">
        <f>A30+1</f>
        <v>16</v>
      </c>
      <c r="B32" s="855" t="s">
        <v>1216</v>
      </c>
      <c r="C32" s="986">
        <v>1463764.0000000009</v>
      </c>
      <c r="D32" s="240">
        <f>C32-D10</f>
        <v>1466596.8333333342</v>
      </c>
      <c r="E32" s="240">
        <f t="shared" ref="E32:O32" si="9">D32-E10</f>
        <v>1469429.6666666674</v>
      </c>
      <c r="F32" s="240">
        <f t="shared" si="9"/>
        <v>1472262.5000000007</v>
      </c>
      <c r="G32" s="240">
        <f t="shared" si="9"/>
        <v>1475095.333333334</v>
      </c>
      <c r="H32" s="240">
        <f t="shared" si="9"/>
        <v>1477928.1666666672</v>
      </c>
      <c r="I32" s="240">
        <f t="shared" si="9"/>
        <v>1480761.0000000005</v>
      </c>
      <c r="J32" s="240">
        <f t="shared" si="9"/>
        <v>1483593.8333333337</v>
      </c>
      <c r="K32" s="240">
        <f t="shared" si="9"/>
        <v>1486426.666666667</v>
      </c>
      <c r="L32" s="240">
        <f t="shared" si="9"/>
        <v>1489259.5000000002</v>
      </c>
      <c r="M32" s="240">
        <f t="shared" si="9"/>
        <v>1492092.3333333335</v>
      </c>
      <c r="N32" s="240">
        <f t="shared" si="9"/>
        <v>1494925.1666666667</v>
      </c>
      <c r="O32" s="240">
        <f t="shared" si="9"/>
        <v>1497758</v>
      </c>
      <c r="P32" s="859">
        <f>AVERAGE(C32,O32)</f>
        <v>1480761.0000000005</v>
      </c>
    </row>
    <row r="33" spans="1:16">
      <c r="A33" s="854">
        <f t="shared" ref="A33:A34" si="10">A32+1</f>
        <v>17</v>
      </c>
      <c r="B33" s="855" t="s">
        <v>1217</v>
      </c>
      <c r="C33" s="988">
        <v>9.4490855863003556E-2</v>
      </c>
      <c r="D33" s="240"/>
      <c r="E33" s="240"/>
      <c r="F33" s="240"/>
      <c r="G33" s="240"/>
      <c r="H33" s="240"/>
      <c r="I33" s="240"/>
      <c r="J33" s="240"/>
      <c r="K33" s="240"/>
      <c r="L33" s="240"/>
      <c r="M33" s="240"/>
      <c r="N33" s="240"/>
      <c r="O33" s="240"/>
      <c r="P33" s="859"/>
    </row>
    <row r="34" spans="1:16">
      <c r="A34" s="854">
        <f t="shared" si="10"/>
        <v>18</v>
      </c>
      <c r="B34" s="855" t="s">
        <v>1218</v>
      </c>
      <c r="C34" s="856">
        <f>C32*$C$33</f>
        <v>138312.31314145363</v>
      </c>
      <c r="D34" s="859">
        <f t="shared" ref="D34:O34" si="11">D32*$C$33</f>
        <v>138579.98998763753</v>
      </c>
      <c r="E34" s="859">
        <f t="shared" si="11"/>
        <v>138847.66683382142</v>
      </c>
      <c r="F34" s="859">
        <f t="shared" si="11"/>
        <v>139115.34368000535</v>
      </c>
      <c r="G34" s="859">
        <f t="shared" si="11"/>
        <v>139383.02052618924</v>
      </c>
      <c r="H34" s="859">
        <f t="shared" si="11"/>
        <v>139650.69737237314</v>
      </c>
      <c r="I34" s="859">
        <f t="shared" si="11"/>
        <v>139918.37421855706</v>
      </c>
      <c r="J34" s="859">
        <f t="shared" si="11"/>
        <v>140186.05106474095</v>
      </c>
      <c r="K34" s="859">
        <f t="shared" si="11"/>
        <v>140453.72791092485</v>
      </c>
      <c r="L34" s="859">
        <f t="shared" si="11"/>
        <v>140721.40475710877</v>
      </c>
      <c r="M34" s="859">
        <f t="shared" si="11"/>
        <v>140989.08160329267</v>
      </c>
      <c r="N34" s="859">
        <f t="shared" si="11"/>
        <v>141256.75844947656</v>
      </c>
      <c r="O34" s="859">
        <f t="shared" si="11"/>
        <v>141524.43529566049</v>
      </c>
      <c r="P34" s="859">
        <f>AVERAGE(C34,O34)</f>
        <v>139918.37421855706</v>
      </c>
    </row>
    <row r="35" spans="1:16">
      <c r="B35" s="541"/>
      <c r="C35" s="856"/>
      <c r="D35" s="240"/>
      <c r="E35" s="240"/>
      <c r="F35" s="240"/>
      <c r="G35" s="240"/>
      <c r="H35" s="240"/>
      <c r="I35" s="240"/>
      <c r="J35" s="240"/>
      <c r="K35" s="240"/>
      <c r="L35" s="240"/>
      <c r="M35" s="240"/>
      <c r="N35" s="240"/>
      <c r="O35" s="240"/>
      <c r="P35" s="860"/>
    </row>
    <row r="36" spans="1:16">
      <c r="A36" s="748">
        <f>A34+1</f>
        <v>19</v>
      </c>
      <c r="B36" s="855" t="s">
        <v>1219</v>
      </c>
      <c r="C36" s="986">
        <v>11360123</v>
      </c>
      <c r="D36" s="240">
        <f>C36-D14</f>
        <v>11341161.385</v>
      </c>
      <c r="E36" s="240">
        <f t="shared" ref="E36:O36" si="12">D36-E14</f>
        <v>11322199.77</v>
      </c>
      <c r="F36" s="240">
        <f t="shared" si="12"/>
        <v>11303238.154999999</v>
      </c>
      <c r="G36" s="240">
        <f t="shared" si="12"/>
        <v>11284276.539999999</v>
      </c>
      <c r="H36" s="240">
        <f t="shared" si="12"/>
        <v>11265314.924999999</v>
      </c>
      <c r="I36" s="240">
        <f t="shared" si="12"/>
        <v>11246353.309999999</v>
      </c>
      <c r="J36" s="240">
        <f t="shared" si="12"/>
        <v>11227391.694999998</v>
      </c>
      <c r="K36" s="240">
        <f t="shared" si="12"/>
        <v>11208430.079999998</v>
      </c>
      <c r="L36" s="240">
        <f t="shared" si="12"/>
        <v>11189468.464999998</v>
      </c>
      <c r="M36" s="240">
        <f t="shared" si="12"/>
        <v>11170506.849999998</v>
      </c>
      <c r="N36" s="240">
        <f t="shared" si="12"/>
        <v>11151545.234999998</v>
      </c>
      <c r="O36" s="240">
        <f t="shared" si="12"/>
        <v>11132583.619999997</v>
      </c>
      <c r="P36" s="859">
        <f>AVERAGE(C36,O36)</f>
        <v>11246353.309999999</v>
      </c>
    </row>
    <row r="37" spans="1:16">
      <c r="A37" s="854">
        <f t="shared" ref="A37:A38" si="13">A36+1</f>
        <v>20</v>
      </c>
      <c r="B37" s="855" t="s">
        <v>1217</v>
      </c>
      <c r="C37" s="988">
        <v>7.3211515122655155E-2</v>
      </c>
      <c r="D37" s="240"/>
      <c r="E37" s="240"/>
      <c r="F37" s="240"/>
      <c r="G37" s="240"/>
      <c r="H37" s="240"/>
      <c r="I37" s="240"/>
      <c r="J37" s="240"/>
      <c r="K37" s="240"/>
      <c r="L37" s="240"/>
      <c r="M37" s="240"/>
      <c r="N37" s="240"/>
      <c r="O37" s="240"/>
      <c r="P37" s="859"/>
    </row>
    <row r="38" spans="1:16">
      <c r="A38" s="854">
        <f t="shared" si="13"/>
        <v>21</v>
      </c>
      <c r="B38" s="855" t="s">
        <v>1218</v>
      </c>
      <c r="C38" s="856">
        <f>C36*$C$37</f>
        <v>831691.81680972269</v>
      </c>
      <c r="D38" s="859">
        <f t="shared" ref="D38:O38" si="14">D36*$C$37</f>
        <v>830303.60824640014</v>
      </c>
      <c r="E38" s="859">
        <f t="shared" si="14"/>
        <v>828915.3996830777</v>
      </c>
      <c r="F38" s="859">
        <f t="shared" si="14"/>
        <v>827527.19111975515</v>
      </c>
      <c r="G38" s="859">
        <f t="shared" si="14"/>
        <v>826138.98255643272</v>
      </c>
      <c r="H38" s="859">
        <f t="shared" si="14"/>
        <v>824750.77399311028</v>
      </c>
      <c r="I38" s="859">
        <f t="shared" si="14"/>
        <v>823362.56542978773</v>
      </c>
      <c r="J38" s="859">
        <f t="shared" si="14"/>
        <v>821974.3568664653</v>
      </c>
      <c r="K38" s="859">
        <f t="shared" si="14"/>
        <v>820586.14830314275</v>
      </c>
      <c r="L38" s="859">
        <f t="shared" si="14"/>
        <v>819197.93973982031</v>
      </c>
      <c r="M38" s="859">
        <f t="shared" si="14"/>
        <v>817809.73117649788</v>
      </c>
      <c r="N38" s="859">
        <f t="shared" si="14"/>
        <v>816421.52261317533</v>
      </c>
      <c r="O38" s="859">
        <f t="shared" si="14"/>
        <v>815033.3140498529</v>
      </c>
      <c r="P38" s="859">
        <f>AVERAGE(C38,O38)</f>
        <v>823362.56542978785</v>
      </c>
    </row>
    <row r="39" spans="1:16">
      <c r="A39" s="854"/>
      <c r="B39" s="852"/>
      <c r="C39" s="856"/>
      <c r="D39" s="240"/>
      <c r="E39" s="240"/>
      <c r="F39" s="240"/>
      <c r="G39" s="240"/>
      <c r="H39" s="240"/>
      <c r="I39" s="240"/>
      <c r="J39" s="240"/>
      <c r="K39" s="240"/>
      <c r="L39" s="240"/>
      <c r="M39" s="240"/>
      <c r="N39" s="240"/>
      <c r="O39" s="240"/>
      <c r="P39" s="860"/>
    </row>
    <row r="40" spans="1:16">
      <c r="A40" s="748">
        <f>A38+1</f>
        <v>22</v>
      </c>
      <c r="B40" s="857" t="s">
        <v>1220</v>
      </c>
      <c r="C40" s="856">
        <f>C30+C34+C38</f>
        <v>79942296.129951179</v>
      </c>
      <c r="D40" s="859">
        <f t="shared" ref="D40:O40" si="15">D30+D34+D38</f>
        <v>79868998.464900702</v>
      </c>
      <c r="E40" s="859">
        <f t="shared" si="15"/>
        <v>79795700.799850211</v>
      </c>
      <c r="F40" s="859">
        <f t="shared" si="15"/>
        <v>79722403.134799749</v>
      </c>
      <c r="G40" s="859">
        <f t="shared" si="15"/>
        <v>79649105.469749257</v>
      </c>
      <c r="H40" s="859">
        <f t="shared" si="15"/>
        <v>79575807.80469878</v>
      </c>
      <c r="I40" s="859">
        <f t="shared" si="15"/>
        <v>79502510.139648303</v>
      </c>
      <c r="J40" s="859">
        <f t="shared" si="15"/>
        <v>79429212.474597827</v>
      </c>
      <c r="K40" s="859">
        <f t="shared" si="15"/>
        <v>79355914.809547335</v>
      </c>
      <c r="L40" s="859">
        <f t="shared" si="15"/>
        <v>79282617.144496873</v>
      </c>
      <c r="M40" s="859">
        <f t="shared" si="15"/>
        <v>79209319.479446381</v>
      </c>
      <c r="N40" s="859">
        <f t="shared" si="15"/>
        <v>79136021.814395919</v>
      </c>
      <c r="O40" s="859">
        <f t="shared" si="15"/>
        <v>79062724.149345428</v>
      </c>
      <c r="P40" s="859">
        <f>AVERAGE(C40,O40)</f>
        <v>79502510.139648303</v>
      </c>
    </row>
    <row r="41" spans="1:16" s="541" customFormat="1">
      <c r="A41" s="854"/>
      <c r="C41" s="861"/>
      <c r="D41" s="862"/>
      <c r="E41" s="862"/>
      <c r="F41" s="862"/>
      <c r="G41" s="862"/>
      <c r="H41" s="862"/>
      <c r="I41" s="862"/>
      <c r="J41" s="862"/>
      <c r="K41" s="862"/>
      <c r="L41" s="862"/>
      <c r="M41" s="862"/>
      <c r="N41" s="862"/>
      <c r="O41" s="862"/>
      <c r="P41" s="862"/>
    </row>
    <row r="42" spans="1:16">
      <c r="A42" s="748">
        <f>A40+1</f>
        <v>23</v>
      </c>
      <c r="B42" s="858" t="s">
        <v>1191</v>
      </c>
      <c r="C42" s="986">
        <v>14539561</v>
      </c>
      <c r="D42" s="240">
        <f t="shared" ref="D42:O42" si="16">C42-D20</f>
        <v>14337623</v>
      </c>
      <c r="E42" s="240">
        <f t="shared" si="16"/>
        <v>14135685</v>
      </c>
      <c r="F42" s="240">
        <f t="shared" si="16"/>
        <v>13933747</v>
      </c>
      <c r="G42" s="240">
        <f t="shared" si="16"/>
        <v>13731809</v>
      </c>
      <c r="H42" s="240">
        <f t="shared" si="16"/>
        <v>13529871</v>
      </c>
      <c r="I42" s="240">
        <f t="shared" si="16"/>
        <v>13327933</v>
      </c>
      <c r="J42" s="240">
        <f t="shared" si="16"/>
        <v>13125995</v>
      </c>
      <c r="K42" s="240">
        <f t="shared" si="16"/>
        <v>12924057</v>
      </c>
      <c r="L42" s="240">
        <f t="shared" si="16"/>
        <v>12722119</v>
      </c>
      <c r="M42" s="240">
        <f t="shared" si="16"/>
        <v>12520181</v>
      </c>
      <c r="N42" s="240">
        <f t="shared" si="16"/>
        <v>12318243</v>
      </c>
      <c r="O42" s="240">
        <f t="shared" si="16"/>
        <v>12116305</v>
      </c>
      <c r="P42" s="859">
        <f>AVERAGE(C42,O42)</f>
        <v>13327933</v>
      </c>
    </row>
    <row r="43" spans="1:16" s="541" customFormat="1">
      <c r="A43" s="854"/>
      <c r="C43" s="861"/>
      <c r="D43" s="862"/>
      <c r="E43" s="862"/>
      <c r="F43" s="862"/>
      <c r="G43" s="862"/>
      <c r="H43" s="862"/>
      <c r="I43" s="862"/>
      <c r="J43" s="862"/>
      <c r="K43" s="862"/>
      <c r="L43" s="862"/>
      <c r="M43" s="862"/>
      <c r="N43" s="862"/>
      <c r="O43" s="862"/>
      <c r="P43" s="862"/>
    </row>
    <row r="44" spans="1:16">
      <c r="A44" s="748">
        <f>A42+1</f>
        <v>24</v>
      </c>
      <c r="B44" s="858" t="s">
        <v>1192</v>
      </c>
      <c r="C44" s="986">
        <v>3554162</v>
      </c>
      <c r="D44" s="240">
        <f t="shared" ref="D44:O44" si="17">C44-D22</f>
        <v>3480117</v>
      </c>
      <c r="E44" s="240">
        <f t="shared" si="17"/>
        <v>3406072</v>
      </c>
      <c r="F44" s="240">
        <f t="shared" si="17"/>
        <v>3332027</v>
      </c>
      <c r="G44" s="240">
        <f t="shared" si="17"/>
        <v>3257982</v>
      </c>
      <c r="H44" s="240">
        <f t="shared" si="17"/>
        <v>3183937</v>
      </c>
      <c r="I44" s="240">
        <f t="shared" si="17"/>
        <v>3109892</v>
      </c>
      <c r="J44" s="240">
        <f t="shared" si="17"/>
        <v>3035847</v>
      </c>
      <c r="K44" s="240">
        <f t="shared" si="17"/>
        <v>2961802</v>
      </c>
      <c r="L44" s="240">
        <f t="shared" si="17"/>
        <v>2887757</v>
      </c>
      <c r="M44" s="240">
        <f t="shared" si="17"/>
        <v>2813712</v>
      </c>
      <c r="N44" s="240">
        <f t="shared" si="17"/>
        <v>2739667</v>
      </c>
      <c r="O44" s="240">
        <f t="shared" si="17"/>
        <v>2665622</v>
      </c>
      <c r="P44" s="859">
        <f>AVERAGE(C44,O44)</f>
        <v>3109892</v>
      </c>
    </row>
    <row r="45" spans="1:16">
      <c r="A45" s="854">
        <f t="shared" ref="A45:A46" si="18">A44+1</f>
        <v>25</v>
      </c>
      <c r="B45" s="858" t="s">
        <v>1193</v>
      </c>
      <c r="C45" s="986">
        <v>-3762179</v>
      </c>
      <c r="D45" s="240">
        <f t="shared" ref="D45:O45" si="19">C45-D23</f>
        <v>-3683800</v>
      </c>
      <c r="E45" s="240">
        <f t="shared" si="19"/>
        <v>-3605421</v>
      </c>
      <c r="F45" s="240">
        <f t="shared" si="19"/>
        <v>-3527042</v>
      </c>
      <c r="G45" s="240">
        <f t="shared" si="19"/>
        <v>-3448663</v>
      </c>
      <c r="H45" s="240">
        <f t="shared" si="19"/>
        <v>-3370284</v>
      </c>
      <c r="I45" s="240">
        <f t="shared" si="19"/>
        <v>-3291905</v>
      </c>
      <c r="J45" s="240">
        <f t="shared" si="19"/>
        <v>-3213526</v>
      </c>
      <c r="K45" s="240">
        <f t="shared" si="19"/>
        <v>-3135147</v>
      </c>
      <c r="L45" s="240">
        <f t="shared" si="19"/>
        <v>-3056768</v>
      </c>
      <c r="M45" s="240">
        <f t="shared" si="19"/>
        <v>-2978389</v>
      </c>
      <c r="N45" s="240">
        <f t="shared" si="19"/>
        <v>-2900010</v>
      </c>
      <c r="O45" s="240">
        <f t="shared" si="19"/>
        <v>-2821631</v>
      </c>
      <c r="P45" s="859">
        <f>AVERAGE(C45,O45)</f>
        <v>-3291905</v>
      </c>
    </row>
    <row r="46" spans="1:16">
      <c r="A46" s="854">
        <f t="shared" si="18"/>
        <v>26</v>
      </c>
      <c r="B46" s="858" t="s">
        <v>1194</v>
      </c>
      <c r="C46" s="823">
        <f t="shared" ref="C46" si="20">SUM(C44:C45)</f>
        <v>-208017</v>
      </c>
      <c r="D46" s="860">
        <f t="shared" ref="D46" si="21">SUM(D44:D45)</f>
        <v>-203683</v>
      </c>
      <c r="E46" s="860">
        <f t="shared" ref="E46" si="22">SUM(E44:E45)</f>
        <v>-199349</v>
      </c>
      <c r="F46" s="860">
        <f t="shared" ref="F46" si="23">SUM(F44:F45)</f>
        <v>-195015</v>
      </c>
      <c r="G46" s="860">
        <f t="shared" ref="G46" si="24">SUM(G44:G45)</f>
        <v>-190681</v>
      </c>
      <c r="H46" s="860">
        <f t="shared" ref="H46" si="25">SUM(H44:H45)</f>
        <v>-186347</v>
      </c>
      <c r="I46" s="860">
        <f t="shared" ref="I46" si="26">SUM(I44:I45)</f>
        <v>-182013</v>
      </c>
      <c r="J46" s="860">
        <f t="shared" ref="J46" si="27">SUM(J44:J45)</f>
        <v>-177679</v>
      </c>
      <c r="K46" s="860">
        <f t="shared" ref="K46" si="28">SUM(K44:K45)</f>
        <v>-173345</v>
      </c>
      <c r="L46" s="860">
        <f t="shared" ref="L46" si="29">SUM(L44:L45)</f>
        <v>-169011</v>
      </c>
      <c r="M46" s="860">
        <f t="shared" ref="M46" si="30">SUM(M44:M45)</f>
        <v>-164677</v>
      </c>
      <c r="N46" s="860">
        <f t="shared" ref="N46" si="31">SUM(N44:N45)</f>
        <v>-160343</v>
      </c>
      <c r="O46" s="860">
        <f t="shared" ref="O46:P46" si="32">SUM(O44:O45)</f>
        <v>-156009</v>
      </c>
      <c r="P46" s="860">
        <f t="shared" si="32"/>
        <v>-182013</v>
      </c>
    </row>
    <row r="47" spans="1:16">
      <c r="D47" s="861"/>
      <c r="E47" s="861"/>
      <c r="F47" s="861"/>
      <c r="G47" s="861"/>
      <c r="H47" s="861"/>
      <c r="I47" s="861"/>
      <c r="J47" s="861"/>
      <c r="K47" s="861"/>
      <c r="L47" s="861"/>
      <c r="M47" s="861"/>
      <c r="N47" s="861"/>
      <c r="O47" s="861"/>
    </row>
    <row r="48" spans="1:16">
      <c r="D48" s="861"/>
      <c r="E48" s="861"/>
      <c r="F48" s="861"/>
      <c r="G48" s="861"/>
      <c r="H48" s="861"/>
      <c r="I48" s="861"/>
      <c r="J48" s="861"/>
      <c r="K48" s="861"/>
      <c r="L48" s="861"/>
      <c r="M48" s="861"/>
      <c r="N48" s="861"/>
      <c r="O48" s="861"/>
    </row>
    <row r="49" spans="1:16" ht="16.5" thickBot="1">
      <c r="A49" s="863" t="s">
        <v>182</v>
      </c>
    </row>
    <row r="50" spans="1:16" ht="45" customHeight="1">
      <c r="A50" s="747" t="s">
        <v>58</v>
      </c>
      <c r="B50" s="1080" t="s">
        <v>1562</v>
      </c>
      <c r="C50" s="1080"/>
      <c r="D50" s="1080"/>
      <c r="E50" s="1080"/>
      <c r="F50" s="1080"/>
      <c r="G50" s="1080"/>
      <c r="H50" s="1080"/>
      <c r="I50" s="1080"/>
      <c r="J50" s="1080"/>
      <c r="K50" s="1080"/>
      <c r="L50" s="1080"/>
      <c r="M50" s="1080"/>
      <c r="N50" s="1080"/>
      <c r="O50" s="1080"/>
      <c r="P50" s="1080"/>
    </row>
    <row r="51" spans="1:16">
      <c r="A51" s="16" t="s">
        <v>59</v>
      </c>
      <c r="B51" s="16" t="s">
        <v>1274</v>
      </c>
    </row>
    <row r="52" spans="1:16">
      <c r="A52" s="864"/>
      <c r="B52" s="865" t="s">
        <v>1198</v>
      </c>
      <c r="C52" s="747" t="s">
        <v>1195</v>
      </c>
      <c r="F52" s="866"/>
    </row>
    <row r="53" spans="1:16">
      <c r="A53" s="864"/>
      <c r="B53" s="865" t="s">
        <v>1190</v>
      </c>
      <c r="C53" s="747" t="s">
        <v>1189</v>
      </c>
      <c r="D53" s="866"/>
    </row>
    <row r="54" spans="1:16">
      <c r="A54" s="864"/>
      <c r="B54" s="865" t="s">
        <v>1196</v>
      </c>
      <c r="C54" s="747" t="s">
        <v>1197</v>
      </c>
    </row>
    <row r="55" spans="1:16">
      <c r="A55" s="16"/>
      <c r="B55" s="16" t="s">
        <v>1397</v>
      </c>
    </row>
    <row r="56" spans="1:16">
      <c r="A56" s="541" t="s">
        <v>60</v>
      </c>
      <c r="B56" s="541" t="s">
        <v>1273</v>
      </c>
      <c r="C56" s="541"/>
      <c r="D56" s="541"/>
      <c r="E56" s="541"/>
      <c r="F56" s="541"/>
      <c r="G56" s="541"/>
      <c r="H56" s="541"/>
      <c r="I56" s="541"/>
      <c r="J56" s="541"/>
      <c r="K56" s="541"/>
      <c r="L56" s="541"/>
    </row>
    <row r="57" spans="1:16">
      <c r="A57" s="867" t="s">
        <v>61</v>
      </c>
      <c r="B57" s="541" t="s">
        <v>1393</v>
      </c>
    </row>
  </sheetData>
  <sheetProtection algorithmName="SHA-512" hashValue="Bv6wdtzCkNAsxRkTt5h2AhFIc2Fp9vpqu9yPWOesNB0GoIuZb7yknhl48FcquDAkAOjyIP0uz/q8arLVQPxehA==" saltValue="PAeMQ1BDDB7uWL59SpVPWQ==" spinCount="100000" sheet="1" objects="1" scenarios="1"/>
  <mergeCells count="4">
    <mergeCell ref="B3:P3"/>
    <mergeCell ref="B1:P1"/>
    <mergeCell ref="B2:P2"/>
    <mergeCell ref="B50:P50"/>
  </mergeCells>
  <pageMargins left="0.7" right="0.7" top="0.75" bottom="0.75" header="0.3" footer="0.3"/>
  <pageSetup scale="47" orientation="landscape" r:id="rId1"/>
  <ignoredErrors>
    <ignoredError sqref="C34:C35 D16:O19 E15:O15 D21:O21 D24:O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55"/>
  <sheetViews>
    <sheetView view="pageBreakPreview" topLeftCell="A189" zoomScale="50" zoomScaleNormal="80" zoomScaleSheetLayoutView="50" workbookViewId="0">
      <selection activeCell="B237" sqref="B237:K237"/>
    </sheetView>
  </sheetViews>
  <sheetFormatPr defaultColWidth="8.88671875" defaultRowHeight="12.75"/>
  <cols>
    <col min="1" max="1" width="5.77734375" style="21" customWidth="1"/>
    <col min="2" max="2" width="63.21875" style="21" customWidth="1"/>
    <col min="3" max="3" width="47.44140625" style="21" bestFit="1" customWidth="1"/>
    <col min="4" max="4" width="16.33203125" style="21" customWidth="1"/>
    <col min="5" max="5" width="5.77734375" style="21" customWidth="1"/>
    <col min="6" max="6" width="8.33203125" style="21" customWidth="1"/>
    <col min="7" max="7" width="16.77734375" style="21" customWidth="1"/>
    <col min="8" max="8" width="4.88671875" style="21" customWidth="1"/>
    <col min="9" max="9" width="18.6640625" style="21" customWidth="1"/>
    <col min="10" max="10" width="2.6640625" style="21" customWidth="1"/>
    <col min="11" max="11" width="13.21875" style="21" customWidth="1"/>
    <col min="12" max="16384" width="8.88671875" style="21"/>
  </cols>
  <sheetData>
    <row r="1" spans="1:11">
      <c r="A1" s="18"/>
      <c r="B1" s="18"/>
      <c r="C1" s="19"/>
      <c r="D1" s="18"/>
      <c r="E1" s="18"/>
      <c r="F1" s="18"/>
      <c r="G1" s="18"/>
      <c r="H1" s="18"/>
      <c r="I1" s="18"/>
      <c r="J1" s="18"/>
      <c r="K1" s="20" t="s">
        <v>102</v>
      </c>
    </row>
    <row r="2" spans="1:11">
      <c r="A2" s="18"/>
      <c r="B2" s="18" t="s">
        <v>969</v>
      </c>
      <c r="C2" s="18"/>
      <c r="D2" s="18"/>
      <c r="E2" s="18"/>
      <c r="F2" s="18"/>
      <c r="G2" s="18"/>
      <c r="H2" s="18"/>
      <c r="I2" s="18"/>
      <c r="J2" s="18"/>
      <c r="K2" s="18"/>
    </row>
    <row r="3" spans="1:11">
      <c r="A3" s="3"/>
      <c r="B3" s="22" t="s">
        <v>1</v>
      </c>
      <c r="C3" s="23"/>
      <c r="D3" s="24" t="s">
        <v>72</v>
      </c>
      <c r="E3" s="22"/>
      <c r="F3" s="22"/>
      <c r="G3" s="22"/>
      <c r="H3" s="25"/>
      <c r="I3" s="18"/>
      <c r="J3" s="25"/>
      <c r="K3" s="26" t="s">
        <v>1650</v>
      </c>
    </row>
    <row r="4" spans="1:11">
      <c r="A4" s="3"/>
      <c r="C4" s="4"/>
      <c r="D4" s="27" t="s">
        <v>98</v>
      </c>
      <c r="E4" s="4"/>
      <c r="F4" s="4"/>
      <c r="G4" s="4"/>
      <c r="H4" s="25"/>
      <c r="I4" s="25"/>
      <c r="J4" s="25"/>
      <c r="K4" s="25"/>
    </row>
    <row r="5" spans="1:11" ht="15.75">
      <c r="A5" s="3"/>
      <c r="B5" s="28"/>
      <c r="C5" s="25"/>
      <c r="D5" s="29" t="s">
        <v>681</v>
      </c>
      <c r="E5" s="25"/>
      <c r="F5" s="25"/>
      <c r="G5" s="25"/>
      <c r="H5" s="25"/>
      <c r="I5" s="25"/>
      <c r="J5" s="25"/>
      <c r="K5" s="25"/>
    </row>
    <row r="6" spans="1:11" ht="13.5">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"&amp;A170&amp;")"</f>
        <v>(page 3, line 48)</v>
      </c>
      <c r="D11" s="37"/>
      <c r="E11" s="25"/>
      <c r="F11" s="25"/>
      <c r="G11" s="25"/>
      <c r="H11" s="25"/>
      <c r="I11" s="32">
        <f>+I170</f>
        <v>196474424.23811662</v>
      </c>
      <c r="J11" s="25"/>
      <c r="K11" s="38"/>
    </row>
    <row r="12" spans="1:11">
      <c r="A12" s="24" t="s">
        <v>1263</v>
      </c>
      <c r="B12" s="21" t="s">
        <v>1264</v>
      </c>
      <c r="C12" s="25" t="s">
        <v>1265</v>
      </c>
      <c r="D12" s="25"/>
      <c r="E12" s="25"/>
      <c r="F12" s="25"/>
      <c r="G12" s="25"/>
      <c r="H12" s="25"/>
      <c r="I12" s="39">
        <f>-'1-Project Rev Req'!S64</f>
        <v>850000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10105184.6159498</v>
      </c>
      <c r="E14" s="4"/>
      <c r="F14" s="4" t="s">
        <v>15</v>
      </c>
      <c r="G14" s="42">
        <f>I189</f>
        <v>1</v>
      </c>
      <c r="H14" s="43"/>
      <c r="I14" s="39">
        <f>+'5A - Revenue Credits'!D24</f>
        <v>10105184.6159498</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1269</v>
      </c>
      <c r="D16" s="47" t="s">
        <v>2</v>
      </c>
      <c r="E16" s="4"/>
      <c r="F16" s="4"/>
      <c r="G16" s="4"/>
      <c r="H16" s="4"/>
      <c r="I16" s="48">
        <f>+I11-I14-I12</f>
        <v>185519239.62216681</v>
      </c>
      <c r="J16" s="25"/>
      <c r="K16" s="49"/>
    </row>
    <row r="17" spans="1:11" ht="13.5" thickTop="1">
      <c r="A17" s="24"/>
      <c r="B17" s="3"/>
      <c r="C17" s="25"/>
      <c r="D17" s="47"/>
      <c r="E17" s="4"/>
      <c r="F17" s="4"/>
      <c r="G17" s="4"/>
      <c r="H17" s="4"/>
      <c r="I17" s="39"/>
      <c r="J17" s="25"/>
      <c r="K17" s="25"/>
    </row>
    <row r="18" spans="1:11">
      <c r="A18" s="24">
        <f>+A16+1</f>
        <v>4</v>
      </c>
      <c r="B18" s="3" t="s">
        <v>439</v>
      </c>
      <c r="C18" s="50" t="s">
        <v>1063</v>
      </c>
      <c r="D18" s="51"/>
      <c r="E18" s="52"/>
      <c r="F18" s="52"/>
      <c r="G18" s="52"/>
      <c r="H18" s="52"/>
      <c r="I18" s="53">
        <f>+'1-Project Rev Req'!Q95-'1-Project Rev Req'!Q66++'1-Project Rev Req'!S95-'1-Project Rev Req'!S66</f>
        <v>30151891.419219628</v>
      </c>
      <c r="J18" s="54"/>
      <c r="K18" s="54"/>
    </row>
    <row r="19" spans="1:11">
      <c r="A19" s="24">
        <f>+A18+1</f>
        <v>5</v>
      </c>
      <c r="B19" s="55" t="s">
        <v>441</v>
      </c>
      <c r="C19" s="50" t="s">
        <v>1064</v>
      </c>
      <c r="D19" s="51"/>
      <c r="E19" s="52"/>
      <c r="F19" s="52"/>
      <c r="G19" s="52"/>
      <c r="H19" s="52"/>
      <c r="I19" s="53">
        <f>+'1-Project Rev Req'!R95-'1-Project Rev Req'!R66</f>
        <v>-5014608.6102592461</v>
      </c>
      <c r="J19" s="54"/>
      <c r="K19" s="54"/>
    </row>
    <row r="20" spans="1:11">
      <c r="A20" s="24">
        <f>+A19+1</f>
        <v>6</v>
      </c>
      <c r="B20" s="3" t="s">
        <v>442</v>
      </c>
      <c r="C20" s="50" t="s">
        <v>1065</v>
      </c>
      <c r="D20" s="51"/>
      <c r="E20" s="52"/>
      <c r="F20" s="52"/>
      <c r="G20" s="52"/>
      <c r="H20" s="52"/>
      <c r="I20" s="56">
        <f>+I18+I19</f>
        <v>25137282.808960382</v>
      </c>
      <c r="J20" s="54"/>
      <c r="K20" s="54"/>
    </row>
    <row r="21" spans="1:11">
      <c r="A21" s="57"/>
      <c r="C21" s="58"/>
      <c r="D21" s="59"/>
      <c r="E21" s="50"/>
      <c r="F21" s="60"/>
      <c r="G21" s="61"/>
      <c r="H21" s="50"/>
      <c r="I21" s="53"/>
      <c r="J21" s="62"/>
      <c r="K21" s="54"/>
    </row>
    <row r="22" spans="1:11">
      <c r="A22" s="57">
        <f>+A20+1</f>
        <v>7</v>
      </c>
      <c r="B22" s="3" t="s">
        <v>440</v>
      </c>
      <c r="C22" s="50" t="s">
        <v>1123</v>
      </c>
      <c r="D22" s="63"/>
      <c r="E22" s="63"/>
      <c r="F22" s="63"/>
      <c r="G22" s="63"/>
      <c r="H22" s="63"/>
      <c r="I22" s="53">
        <f>+'1-Project Rev Req'!Q66++'1-Project Rev Req'!S66-I14</f>
        <v>155367348.20294714</v>
      </c>
      <c r="J22" s="62"/>
      <c r="K22" s="64"/>
    </row>
    <row r="23" spans="1:11">
      <c r="A23" s="57">
        <f>+A22+1</f>
        <v>8</v>
      </c>
      <c r="B23" s="55" t="s">
        <v>444</v>
      </c>
      <c r="C23" s="50" t="s">
        <v>756</v>
      </c>
      <c r="D23" s="63"/>
      <c r="E23" s="65"/>
      <c r="F23" s="65"/>
      <c r="G23" s="65"/>
      <c r="H23" s="65"/>
      <c r="I23" s="66">
        <f>+'1-Project Rev Req'!R66</f>
        <v>-24614868.11237083</v>
      </c>
      <c r="J23" s="62"/>
      <c r="K23" s="54"/>
    </row>
    <row r="24" spans="1:11">
      <c r="A24" s="57">
        <f>+A23+1</f>
        <v>9</v>
      </c>
      <c r="B24" s="3" t="s">
        <v>443</v>
      </c>
      <c r="C24" s="50" t="s">
        <v>1134</v>
      </c>
      <c r="D24" s="54"/>
      <c r="E24" s="54"/>
      <c r="F24" s="67"/>
      <c r="G24" s="54"/>
      <c r="H24" s="54"/>
      <c r="I24" s="56">
        <f>+I22+I23</f>
        <v>130752480.09057631</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1125</v>
      </c>
      <c r="C28" s="54" t="s">
        <v>1126</v>
      </c>
      <c r="D28" s="70"/>
      <c r="E28" s="70"/>
      <c r="F28" s="70"/>
      <c r="G28" s="70"/>
      <c r="H28" s="70"/>
      <c r="I28" s="878">
        <v>8428.3160000000007</v>
      </c>
      <c r="J28" s="70"/>
      <c r="K28" s="54"/>
    </row>
    <row r="29" spans="1:11">
      <c r="A29" s="24"/>
      <c r="B29" s="22"/>
      <c r="C29" s="25"/>
      <c r="D29" s="71"/>
      <c r="E29" s="71"/>
      <c r="F29" s="71"/>
      <c r="G29" s="71"/>
      <c r="H29" s="71"/>
      <c r="I29" s="71"/>
      <c r="J29" s="71"/>
      <c r="K29" s="25"/>
    </row>
    <row r="30" spans="1:11">
      <c r="A30" s="24">
        <v>12</v>
      </c>
      <c r="B30" s="22" t="s">
        <v>1127</v>
      </c>
      <c r="C30" s="25" t="s">
        <v>1128</v>
      </c>
      <c r="D30" s="71"/>
      <c r="E30" s="71"/>
      <c r="F30" s="71"/>
      <c r="G30" s="71"/>
      <c r="H30" s="71"/>
      <c r="I30" s="72">
        <f>+I24/I28</f>
        <v>15513.476249653702</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12/31/2020</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027"/>
      <c r="B40" s="1027"/>
      <c r="C40" s="1027"/>
      <c r="D40" s="1027"/>
      <c r="E40" s="1027"/>
      <c r="F40" s="1027"/>
      <c r="G40" s="1027"/>
      <c r="H40" s="1027"/>
      <c r="I40" s="1027"/>
      <c r="J40" s="1027"/>
      <c r="K40" s="1027"/>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9">
        <v>0</v>
      </c>
      <c r="E46" s="4"/>
      <c r="F46" s="4" t="s">
        <v>22</v>
      </c>
      <c r="G46" s="81" t="s">
        <v>2</v>
      </c>
      <c r="H46" s="4"/>
      <c r="I46" s="39">
        <v>0</v>
      </c>
      <c r="J46" s="4"/>
      <c r="K46" s="4"/>
    </row>
    <row r="47" spans="1:11">
      <c r="A47" s="24">
        <f>+A46+1</f>
        <v>2</v>
      </c>
      <c r="B47" s="22" t="s">
        <v>23</v>
      </c>
      <c r="C47" s="43" t="s">
        <v>266</v>
      </c>
      <c r="D47" s="39">
        <f>'4- Rate Base'!C24</f>
        <v>1723143700.8466916</v>
      </c>
      <c r="E47" s="4"/>
      <c r="F47" s="4" t="s">
        <v>15</v>
      </c>
      <c r="G47" s="42">
        <f>I189</f>
        <v>1</v>
      </c>
      <c r="H47" s="43"/>
      <c r="I47" s="39">
        <f>+G47*D47</f>
        <v>1723143700.8466916</v>
      </c>
      <c r="J47" s="4"/>
      <c r="K47" s="4"/>
    </row>
    <row r="48" spans="1:11">
      <c r="A48" s="24">
        <f>+A47+1</f>
        <v>3</v>
      </c>
      <c r="B48" s="22" t="s">
        <v>265</v>
      </c>
      <c r="C48" s="43" t="s">
        <v>268</v>
      </c>
      <c r="D48" s="879">
        <v>7008706131.8787889</v>
      </c>
      <c r="E48" s="4"/>
      <c r="F48" s="4" t="s">
        <v>22</v>
      </c>
      <c r="G48" s="42">
        <v>0</v>
      </c>
      <c r="H48" s="43"/>
      <c r="I48" s="39">
        <f>+G48*D48</f>
        <v>0</v>
      </c>
      <c r="J48" s="4"/>
      <c r="K48" s="4"/>
    </row>
    <row r="49" spans="1:11">
      <c r="A49" s="24">
        <f>+A48+1</f>
        <v>4</v>
      </c>
      <c r="B49" s="22" t="s">
        <v>714</v>
      </c>
      <c r="C49" s="43" t="s">
        <v>267</v>
      </c>
      <c r="D49" s="39">
        <f>'4- Rate Base'!D24</f>
        <v>286311835.59076923</v>
      </c>
      <c r="E49" s="4"/>
      <c r="F49" s="4" t="s">
        <v>24</v>
      </c>
      <c r="G49" s="42">
        <f>I197</f>
        <v>9.4490855863003556E-2</v>
      </c>
      <c r="H49" s="43"/>
      <c r="I49" s="39">
        <f>+G49*D49</f>
        <v>27053850.388679348</v>
      </c>
      <c r="J49" s="4"/>
      <c r="K49" s="4"/>
    </row>
    <row r="50" spans="1:11">
      <c r="A50" s="24">
        <f t="shared" ref="A50:A51" si="0">+A49+1</f>
        <v>5</v>
      </c>
      <c r="B50" s="22" t="s">
        <v>715</v>
      </c>
      <c r="C50" s="43" t="s">
        <v>1066</v>
      </c>
      <c r="D50" s="39">
        <f>+'4D - Intangible Pnt'!T27</f>
        <v>194590044.93860167</v>
      </c>
      <c r="E50" s="4"/>
      <c r="F50" s="4" t="s">
        <v>76</v>
      </c>
      <c r="G50" s="42"/>
      <c r="H50" s="43"/>
      <c r="I50" s="53">
        <f>'4D - Intangible Pnt'!T29</f>
        <v>20263800.486216083</v>
      </c>
      <c r="J50" s="4"/>
      <c r="K50" s="4"/>
    </row>
    <row r="51" spans="1:11">
      <c r="A51" s="24">
        <f t="shared" si="0"/>
        <v>6</v>
      </c>
      <c r="B51" s="22" t="s">
        <v>1120</v>
      </c>
      <c r="C51" s="43" t="s">
        <v>1067</v>
      </c>
      <c r="D51" s="53">
        <f>'4- Rate Base'!E24</f>
        <v>723522758.40973258</v>
      </c>
      <c r="E51" s="4"/>
      <c r="F51" s="4" t="str">
        <f>F49</f>
        <v>W/S</v>
      </c>
      <c r="G51" s="42">
        <f>G49</f>
        <v>9.4490855863003556E-2</v>
      </c>
      <c r="H51" s="43"/>
      <c r="I51" s="53">
        <f>+G51*D51</f>
        <v>68366284.678496778</v>
      </c>
      <c r="J51" s="4"/>
      <c r="K51" s="4"/>
    </row>
    <row r="52" spans="1:11" ht="13.5" thickBot="1">
      <c r="A52" s="24">
        <f t="shared" ref="A52:A53" si="1">+A51+1</f>
        <v>7</v>
      </c>
      <c r="B52" s="22" t="s">
        <v>1122</v>
      </c>
      <c r="C52" s="4" t="s">
        <v>1068</v>
      </c>
      <c r="D52" s="46">
        <f>-'4E COA'!H34</f>
        <v>-3185567.8444800004</v>
      </c>
      <c r="E52" s="4"/>
      <c r="F52" s="4" t="str">
        <f>F51</f>
        <v>W/S</v>
      </c>
      <c r="G52" s="42">
        <f>G51</f>
        <v>9.4490855863003556E-2</v>
      </c>
      <c r="H52" s="43"/>
      <c r="I52" s="46">
        <f>D52*G52</f>
        <v>-301007.03203457867</v>
      </c>
      <c r="J52" s="4"/>
      <c r="K52" s="4"/>
    </row>
    <row r="53" spans="1:11">
      <c r="A53" s="24">
        <f t="shared" si="1"/>
        <v>8</v>
      </c>
      <c r="B53" s="22" t="s">
        <v>219</v>
      </c>
      <c r="C53" s="4" t="s">
        <v>1069</v>
      </c>
      <c r="D53" s="39">
        <f>SUM(D46:D52)</f>
        <v>9933088903.8201046</v>
      </c>
      <c r="E53" s="4"/>
      <c r="F53" s="4" t="s">
        <v>25</v>
      </c>
      <c r="G53" s="82">
        <f>IF(I53&gt;0,I53/D53,0)</f>
        <v>0.18509112796332486</v>
      </c>
      <c r="H53" s="43"/>
      <c r="I53" s="39">
        <f>SUM(I46:I52)</f>
        <v>1838526629.3680491</v>
      </c>
      <c r="J53" s="4"/>
      <c r="K53" s="83"/>
    </row>
    <row r="54" spans="1:11">
      <c r="A54" s="24"/>
      <c r="B54" s="22"/>
      <c r="C54" s="4"/>
      <c r="D54" s="39"/>
      <c r="E54" s="4"/>
      <c r="F54" s="4"/>
      <c r="G54" s="82"/>
      <c r="H54" s="4"/>
      <c r="I54" s="39"/>
      <c r="J54" s="4"/>
      <c r="K54" s="83"/>
    </row>
    <row r="55" spans="1:11">
      <c r="A55" s="24">
        <f>+A53+1</f>
        <v>9</v>
      </c>
      <c r="B55" s="22" t="s">
        <v>362</v>
      </c>
      <c r="C55" s="4"/>
      <c r="D55" s="39"/>
      <c r="E55" s="4"/>
      <c r="F55" s="4"/>
      <c r="G55" s="42"/>
      <c r="H55" s="4"/>
      <c r="I55" s="39"/>
      <c r="J55" s="4"/>
      <c r="K55" s="4"/>
    </row>
    <row r="56" spans="1:11">
      <c r="A56" s="24">
        <f>+A55+1</f>
        <v>10</v>
      </c>
      <c r="B56" s="22" t="s">
        <v>264</v>
      </c>
      <c r="C56" s="4" t="s">
        <v>269</v>
      </c>
      <c r="D56" s="879">
        <v>0</v>
      </c>
      <c r="E56" s="4"/>
      <c r="F56" s="4" t="s">
        <v>22</v>
      </c>
      <c r="G56" s="42" t="s">
        <v>2</v>
      </c>
      <c r="H56" s="4"/>
      <c r="I56" s="39">
        <v>0</v>
      </c>
      <c r="J56" s="4"/>
      <c r="K56" s="4"/>
    </row>
    <row r="57" spans="1:11">
      <c r="A57" s="24">
        <f>+A56+1</f>
        <v>11</v>
      </c>
      <c r="B57" s="22" t="s">
        <v>23</v>
      </c>
      <c r="C57" s="4" t="s">
        <v>1549</v>
      </c>
      <c r="D57" s="39">
        <f>'8 - Depreciation Rates'!G121</f>
        <v>535206462.30113798</v>
      </c>
      <c r="E57" s="4"/>
      <c r="F57" s="4" t="s">
        <v>15</v>
      </c>
      <c r="G57" s="42">
        <f>+G47</f>
        <v>1</v>
      </c>
      <c r="H57" s="43"/>
      <c r="I57" s="39">
        <f>+G57*D57</f>
        <v>535206462.30113798</v>
      </c>
      <c r="J57" s="4"/>
      <c r="K57" s="4"/>
    </row>
    <row r="58" spans="1:11">
      <c r="A58" s="24">
        <f>+A57+1</f>
        <v>12</v>
      </c>
      <c r="B58" s="22" t="s">
        <v>265</v>
      </c>
      <c r="C58" s="4" t="s">
        <v>270</v>
      </c>
      <c r="D58" s="879">
        <v>1859694491.3998244</v>
      </c>
      <c r="E58" s="4"/>
      <c r="F58" s="4" t="s">
        <v>22</v>
      </c>
      <c r="G58" s="42">
        <f>+G48</f>
        <v>0</v>
      </c>
      <c r="H58" s="43"/>
      <c r="I58" s="39">
        <f>+G58*D58</f>
        <v>0</v>
      </c>
      <c r="J58" s="4"/>
      <c r="K58" s="4"/>
    </row>
    <row r="59" spans="1:11">
      <c r="A59" s="24">
        <f>+A58+1</f>
        <v>13</v>
      </c>
      <c r="B59" s="22" t="s">
        <v>714</v>
      </c>
      <c r="C59" s="4" t="s">
        <v>1550</v>
      </c>
      <c r="D59" s="39">
        <f>'8 - Depreciation Rates'!G122</f>
        <v>92770018.037569091</v>
      </c>
      <c r="E59" s="4"/>
      <c r="F59" s="4" t="s">
        <v>24</v>
      </c>
      <c r="G59" s="42">
        <f>+G49</f>
        <v>9.4490855863003556E-2</v>
      </c>
      <c r="H59" s="43"/>
      <c r="I59" s="39">
        <f>+G59*D59</f>
        <v>8765918.4027961809</v>
      </c>
      <c r="J59" s="4"/>
      <c r="K59" s="4"/>
    </row>
    <row r="60" spans="1:11">
      <c r="A60" s="24">
        <f t="shared" ref="A60:A61" si="2">+A59+1</f>
        <v>14</v>
      </c>
      <c r="B60" s="22" t="s">
        <v>715</v>
      </c>
      <c r="C60" s="4" t="s">
        <v>1551</v>
      </c>
      <c r="D60" s="39">
        <f>'8 - Depreciation Rates'!G127</f>
        <v>140703899.10789812</v>
      </c>
      <c r="E60" s="4"/>
      <c r="F60" s="4" t="s">
        <v>76</v>
      </c>
      <c r="G60" s="42"/>
      <c r="H60" s="43"/>
      <c r="I60" s="53">
        <f>'8 - Depreciation Rates'!I127</f>
        <v>17010391.772762481</v>
      </c>
      <c r="J60" s="4"/>
      <c r="K60" s="4"/>
    </row>
    <row r="61" spans="1:11">
      <c r="A61" s="24">
        <f t="shared" si="2"/>
        <v>15</v>
      </c>
      <c r="B61" s="22" t="s">
        <v>1120</v>
      </c>
      <c r="C61" s="4" t="s">
        <v>1552</v>
      </c>
      <c r="D61" s="53">
        <f>'8 - Depreciation Rates'!G123</f>
        <v>322434727.62173527</v>
      </c>
      <c r="E61" s="4"/>
      <c r="F61" s="4" t="str">
        <f>F52</f>
        <v>W/S</v>
      </c>
      <c r="G61" s="42">
        <f>+G51</f>
        <v>9.4490855863003556E-2</v>
      </c>
      <c r="H61" s="43"/>
      <c r="I61" s="53">
        <f>+G61*D61</f>
        <v>30467133.372932199</v>
      </c>
      <c r="J61" s="4"/>
      <c r="K61" s="4"/>
    </row>
    <row r="62" spans="1:11" ht="13.5" thickBot="1">
      <c r="A62" s="24">
        <f t="shared" ref="A62:A63" si="3">+A61+1</f>
        <v>16</v>
      </c>
      <c r="B62" s="22" t="s">
        <v>1122</v>
      </c>
      <c r="C62" s="4" t="s">
        <v>1070</v>
      </c>
      <c r="D62" s="46">
        <f>-'4E COA'!H51</f>
        <v>-1681930.7957209148</v>
      </c>
      <c r="E62" s="4"/>
      <c r="F62" s="4" t="str">
        <f>F61</f>
        <v>W/S</v>
      </c>
      <c r="G62" s="42">
        <f>G61</f>
        <v>9.4490855863003556E-2</v>
      </c>
      <c r="H62" s="43"/>
      <c r="I62" s="46">
        <f>+G62*D62</f>
        <v>-158927.08039001183</v>
      </c>
      <c r="J62" s="4"/>
      <c r="K62" s="4"/>
    </row>
    <row r="63" spans="1:11">
      <c r="A63" s="24">
        <f t="shared" si="3"/>
        <v>17</v>
      </c>
      <c r="B63" s="22" t="s">
        <v>220</v>
      </c>
      <c r="C63" s="4" t="s">
        <v>1071</v>
      </c>
      <c r="D63" s="39">
        <f>SUM(D56:D62)</f>
        <v>2949127667.6724439</v>
      </c>
      <c r="E63" s="4"/>
      <c r="F63" s="4"/>
      <c r="G63" s="82"/>
      <c r="H63" s="43"/>
      <c r="I63" s="39">
        <f>SUM(I56:I62)</f>
        <v>591290978.76923895</v>
      </c>
      <c r="J63" s="4"/>
      <c r="K63" s="4"/>
    </row>
    <row r="64" spans="1:11">
      <c r="A64" s="24"/>
      <c r="B64" s="3"/>
      <c r="C64" s="4" t="s">
        <v>2</v>
      </c>
      <c r="D64" s="39"/>
      <c r="E64" s="4"/>
      <c r="F64" s="4"/>
      <c r="G64" s="82"/>
      <c r="H64" s="4"/>
      <c r="I64" s="39"/>
      <c r="J64" s="4"/>
      <c r="K64" s="83"/>
    </row>
    <row r="65" spans="1:11">
      <c r="A65" s="24">
        <f>+A63+1</f>
        <v>18</v>
      </c>
      <c r="B65" s="22" t="s">
        <v>26</v>
      </c>
      <c r="C65" s="4"/>
      <c r="D65" s="39"/>
      <c r="E65" s="4"/>
      <c r="F65" s="4"/>
      <c r="G65" s="42"/>
      <c r="H65" s="4"/>
      <c r="I65" s="39"/>
      <c r="J65" s="4"/>
      <c r="K65" s="4"/>
    </row>
    <row r="66" spans="1:11">
      <c r="A66" s="24">
        <f>+A65+1</f>
        <v>19</v>
      </c>
      <c r="B66" s="22" t="s">
        <v>264</v>
      </c>
      <c r="C66" s="4" t="str">
        <f>"(line "&amp;A46&amp;" minus line "&amp;A56&amp;")"</f>
        <v>(line 1 minus line 10)</v>
      </c>
      <c r="D66" s="39">
        <f t="shared" ref="D66:D72" si="4">D46-D56</f>
        <v>0</v>
      </c>
      <c r="E66" s="43"/>
      <c r="F66" s="43"/>
      <c r="G66" s="82"/>
      <c r="H66" s="43"/>
      <c r="I66" s="39">
        <f t="shared" ref="I66:I72" si="5">I46-I56</f>
        <v>0</v>
      </c>
      <c r="J66" s="4"/>
      <c r="K66" s="83"/>
    </row>
    <row r="67" spans="1:11">
      <c r="A67" s="24">
        <f>+A66+1</f>
        <v>20</v>
      </c>
      <c r="B67" s="22" t="s">
        <v>23</v>
      </c>
      <c r="C67" s="4" t="str">
        <f t="shared" ref="C67:C72" si="6">"(line "&amp;A47&amp;" minus line "&amp;A57&amp;")"</f>
        <v>(line 2 minus line 11)</v>
      </c>
      <c r="D67" s="39">
        <f t="shared" si="4"/>
        <v>1187937238.5455537</v>
      </c>
      <c r="E67" s="43"/>
      <c r="F67" s="43"/>
      <c r="G67" s="42"/>
      <c r="H67" s="43"/>
      <c r="I67" s="39">
        <f t="shared" si="5"/>
        <v>1187937238.5455537</v>
      </c>
      <c r="J67" s="4"/>
      <c r="K67" s="83"/>
    </row>
    <row r="68" spans="1:11">
      <c r="A68" s="24">
        <f>+A67+1</f>
        <v>21</v>
      </c>
      <c r="B68" s="22" t="s">
        <v>265</v>
      </c>
      <c r="C68" s="4" t="str">
        <f t="shared" si="6"/>
        <v>(line 3 minus line 12)</v>
      </c>
      <c r="D68" s="39">
        <f t="shared" si="4"/>
        <v>5149011640.4789648</v>
      </c>
      <c r="E68" s="43"/>
      <c r="F68" s="43"/>
      <c r="G68" s="82"/>
      <c r="H68" s="43"/>
      <c r="I68" s="39">
        <f t="shared" si="5"/>
        <v>0</v>
      </c>
      <c r="J68" s="4"/>
      <c r="K68" s="83"/>
    </row>
    <row r="69" spans="1:11">
      <c r="A69" s="24">
        <f>+A68+1</f>
        <v>22</v>
      </c>
      <c r="B69" s="22" t="s">
        <v>714</v>
      </c>
      <c r="C69" s="4" t="str">
        <f t="shared" si="6"/>
        <v>(line 4 minus line 13)</v>
      </c>
      <c r="D69" s="39">
        <f t="shared" si="4"/>
        <v>193541817.55320013</v>
      </c>
      <c r="E69" s="43"/>
      <c r="F69" s="43"/>
      <c r="G69" s="82"/>
      <c r="H69" s="43"/>
      <c r="I69" s="39">
        <f t="shared" si="5"/>
        <v>18287931.985883169</v>
      </c>
      <c r="J69" s="4"/>
      <c r="K69" s="83"/>
    </row>
    <row r="70" spans="1:11">
      <c r="A70" s="24">
        <f t="shared" ref="A70:A71" si="7">+A69+1</f>
        <v>23</v>
      </c>
      <c r="B70" s="22" t="s">
        <v>715</v>
      </c>
      <c r="C70" s="4" t="str">
        <f t="shared" si="6"/>
        <v>(line 5 minus line 14)</v>
      </c>
      <c r="D70" s="39">
        <f t="shared" si="4"/>
        <v>53886145.830703557</v>
      </c>
      <c r="E70" s="43"/>
      <c r="F70" s="43"/>
      <c r="G70" s="82"/>
      <c r="H70" s="43"/>
      <c r="I70" s="39">
        <f t="shared" si="5"/>
        <v>3253408.713453602</v>
      </c>
      <c r="J70" s="4"/>
      <c r="K70" s="83"/>
    </row>
    <row r="71" spans="1:11">
      <c r="A71" s="24">
        <f t="shared" si="7"/>
        <v>24</v>
      </c>
      <c r="B71" s="22" t="s">
        <v>1120</v>
      </c>
      <c r="C71" s="4" t="str">
        <f t="shared" si="6"/>
        <v>(line 6 minus line 15)</v>
      </c>
      <c r="D71" s="53">
        <f t="shared" si="4"/>
        <v>401088030.78799731</v>
      </c>
      <c r="E71" s="4"/>
      <c r="F71" s="43"/>
      <c r="G71" s="82"/>
      <c r="H71" s="43"/>
      <c r="I71" s="53">
        <f t="shared" si="5"/>
        <v>37899151.305564582</v>
      </c>
      <c r="J71" s="4"/>
      <c r="K71" s="83"/>
    </row>
    <row r="72" spans="1:11" ht="13.5" thickBot="1">
      <c r="A72" s="24">
        <f t="shared" ref="A72:A73" si="8">+A71+1</f>
        <v>25</v>
      </c>
      <c r="B72" s="22" t="s">
        <v>1122</v>
      </c>
      <c r="C72" s="4" t="str">
        <f t="shared" si="6"/>
        <v>(line 7 minus line 16)</v>
      </c>
      <c r="D72" s="46">
        <f t="shared" si="4"/>
        <v>-1503637.0487590856</v>
      </c>
      <c r="E72" s="4"/>
      <c r="F72" s="43"/>
      <c r="G72" s="82"/>
      <c r="H72" s="43"/>
      <c r="I72" s="46">
        <f t="shared" si="5"/>
        <v>-142079.95164456684</v>
      </c>
      <c r="J72" s="4"/>
      <c r="K72" s="83"/>
    </row>
    <row r="73" spans="1:11">
      <c r="A73" s="24">
        <f t="shared" si="8"/>
        <v>26</v>
      </c>
      <c r="B73" s="22" t="s">
        <v>222</v>
      </c>
      <c r="C73" s="4" t="s">
        <v>1072</v>
      </c>
      <c r="D73" s="39">
        <f>SUM(D66:D72)</f>
        <v>6983961236.1476603</v>
      </c>
      <c r="E73" s="4"/>
      <c r="F73" s="4" t="s">
        <v>27</v>
      </c>
      <c r="G73" s="82">
        <f>IF(I73&gt;0,I73/D73,0)</f>
        <v>0.17858570636723398</v>
      </c>
      <c r="H73" s="43"/>
      <c r="I73" s="39">
        <f>SUM(I66:I72)</f>
        <v>1247235650.5988104</v>
      </c>
      <c r="J73" s="4"/>
      <c r="K73" s="4"/>
    </row>
    <row r="74" spans="1:11">
      <c r="A74" s="24"/>
      <c r="B74" s="3"/>
      <c r="C74" s="4"/>
      <c r="D74" s="39"/>
      <c r="E74" s="4"/>
      <c r="F74" s="3"/>
      <c r="G74" s="42"/>
      <c r="H74" s="4"/>
      <c r="I74" s="39"/>
      <c r="J74" s="4"/>
      <c r="K74" s="83"/>
    </row>
    <row r="75" spans="1:11">
      <c r="A75" s="24">
        <f>+A73+1</f>
        <v>27</v>
      </c>
      <c r="B75" s="22" t="s">
        <v>363</v>
      </c>
      <c r="C75" s="4"/>
      <c r="D75" s="39"/>
      <c r="E75" s="4"/>
      <c r="F75" s="4"/>
      <c r="G75" s="42"/>
      <c r="H75" s="4"/>
      <c r="I75" s="39"/>
      <c r="J75" s="4"/>
      <c r="K75" s="4"/>
    </row>
    <row r="76" spans="1:11">
      <c r="A76" s="24">
        <f>+A75+1</f>
        <v>28</v>
      </c>
      <c r="B76" s="22" t="s">
        <v>87</v>
      </c>
      <c r="C76" s="4" t="s">
        <v>1073</v>
      </c>
      <c r="D76" s="39" t="str">
        <f>+'4- Rate Base'!E44</f>
        <v>Zero</v>
      </c>
      <c r="E76" s="4"/>
      <c r="F76" s="4" t="s">
        <v>22</v>
      </c>
      <c r="G76" s="84" t="s">
        <v>106</v>
      </c>
      <c r="H76" s="43"/>
      <c r="I76" s="39">
        <v>0</v>
      </c>
      <c r="J76" s="4"/>
      <c r="K76" s="83"/>
    </row>
    <row r="77" spans="1:11">
      <c r="A77" s="24">
        <f>+A76+1</f>
        <v>29</v>
      </c>
      <c r="B77" s="22" t="s">
        <v>88</v>
      </c>
      <c r="C77" s="4" t="s">
        <v>1135</v>
      </c>
      <c r="D77" s="53">
        <f>'4- Rate Base'!F44</f>
        <v>-211876798.40933394</v>
      </c>
      <c r="E77" s="4"/>
      <c r="F77" s="4" t="s">
        <v>15</v>
      </c>
      <c r="G77" s="42">
        <f>G84</f>
        <v>1</v>
      </c>
      <c r="H77" s="43"/>
      <c r="I77" s="39">
        <f>D77*G77</f>
        <v>-211876798.40933394</v>
      </c>
      <c r="J77" s="4"/>
      <c r="K77" s="83"/>
    </row>
    <row r="78" spans="1:11">
      <c r="A78" s="24">
        <f>+A77+1</f>
        <v>30</v>
      </c>
      <c r="B78" s="22" t="s">
        <v>89</v>
      </c>
      <c r="C78" s="4" t="s">
        <v>1136</v>
      </c>
      <c r="D78" s="53">
        <f>'4- Rate Base'!G44</f>
        <v>-10877541.139514307</v>
      </c>
      <c r="E78" s="4"/>
      <c r="F78" s="4" t="s">
        <v>15</v>
      </c>
      <c r="G78" s="42">
        <f>+G77</f>
        <v>1</v>
      </c>
      <c r="H78" s="43"/>
      <c r="I78" s="39">
        <f>D78*G78</f>
        <v>-10877541.139514307</v>
      </c>
      <c r="J78" s="4"/>
      <c r="K78" s="83"/>
    </row>
    <row r="79" spans="1:11">
      <c r="A79" s="24">
        <f>+A78+1</f>
        <v>31</v>
      </c>
      <c r="B79" s="22" t="s">
        <v>94</v>
      </c>
      <c r="C79" s="4" t="s">
        <v>1137</v>
      </c>
      <c r="D79" s="53">
        <f>'4- Rate Base'!H44</f>
        <v>14605420.952301415</v>
      </c>
      <c r="E79" s="4"/>
      <c r="F79" s="4" t="s">
        <v>15</v>
      </c>
      <c r="G79" s="42">
        <f>+G78</f>
        <v>1</v>
      </c>
      <c r="H79" s="43"/>
      <c r="I79" s="39">
        <f>D79*G79</f>
        <v>14605420.952301415</v>
      </c>
      <c r="J79" s="4"/>
      <c r="K79" s="83"/>
    </row>
    <row r="80" spans="1:11">
      <c r="A80" s="24" t="s">
        <v>1403</v>
      </c>
      <c r="B80" s="22" t="s">
        <v>1406</v>
      </c>
      <c r="C80" s="4" t="s">
        <v>1407</v>
      </c>
      <c r="D80" s="53">
        <f>-'9 - EDIT'!P40</f>
        <v>-79502510.139648303</v>
      </c>
      <c r="E80" s="4"/>
      <c r="F80" s="4" t="s">
        <v>15</v>
      </c>
      <c r="G80" s="42">
        <f t="shared" ref="G80:G82" si="9">+G79</f>
        <v>1</v>
      </c>
      <c r="H80" s="43"/>
      <c r="I80" s="39">
        <f>D80*G80</f>
        <v>-79502510.139648303</v>
      </c>
      <c r="J80" s="4"/>
      <c r="K80" s="83"/>
    </row>
    <row r="81" spans="1:11">
      <c r="A81" s="24" t="s">
        <v>1404</v>
      </c>
      <c r="B81" s="22" t="s">
        <v>1408</v>
      </c>
      <c r="C81" s="4" t="s">
        <v>1410</v>
      </c>
      <c r="D81" s="53">
        <f>-'9 - EDIT'!P42</f>
        <v>-13327933</v>
      </c>
      <c r="E81" s="4"/>
      <c r="F81" s="4" t="s">
        <v>15</v>
      </c>
      <c r="G81" s="42">
        <f t="shared" si="9"/>
        <v>1</v>
      </c>
      <c r="H81" s="43"/>
      <c r="I81" s="39">
        <f>D81*G81</f>
        <v>-13327933</v>
      </c>
      <c r="J81" s="4"/>
      <c r="K81" s="83"/>
    </row>
    <row r="82" spans="1:11">
      <c r="A82" s="24" t="s">
        <v>1405</v>
      </c>
      <c r="B82" s="22" t="s">
        <v>1409</v>
      </c>
      <c r="C82" s="4" t="s">
        <v>1411</v>
      </c>
      <c r="D82" s="53">
        <f>-'9 - EDIT'!P46</f>
        <v>182013</v>
      </c>
      <c r="E82" s="4"/>
      <c r="F82" s="4" t="s">
        <v>15</v>
      </c>
      <c r="G82" s="42">
        <f t="shared" si="9"/>
        <v>1</v>
      </c>
      <c r="H82" s="43"/>
      <c r="I82" s="39">
        <f t="shared" ref="I82" si="10">D82*G82</f>
        <v>182013</v>
      </c>
      <c r="J82" s="4"/>
      <c r="K82" s="83"/>
    </row>
    <row r="83" spans="1:11">
      <c r="A83" s="24">
        <f>+A79+1</f>
        <v>32</v>
      </c>
      <c r="B83" s="3" t="s">
        <v>90</v>
      </c>
      <c r="C83" s="4" t="s">
        <v>366</v>
      </c>
      <c r="D83" s="53">
        <f>'4- Rate Base'!I44</f>
        <v>0</v>
      </c>
      <c r="E83" s="4"/>
      <c r="F83" s="4" t="s">
        <v>15</v>
      </c>
      <c r="G83" s="42">
        <f>+G78</f>
        <v>1</v>
      </c>
      <c r="H83" s="43"/>
      <c r="I83" s="53">
        <f>D83*G83</f>
        <v>0</v>
      </c>
      <c r="J83" s="4"/>
      <c r="K83" s="83"/>
    </row>
    <row r="84" spans="1:11">
      <c r="A84" s="24">
        <f t="shared" ref="A84:A91" si="11">+A83+1</f>
        <v>33</v>
      </c>
      <c r="B84" s="3" t="s">
        <v>360</v>
      </c>
      <c r="C84" s="3" t="s">
        <v>438</v>
      </c>
      <c r="D84" s="53">
        <f>'4- Rate Base'!I71</f>
        <v>-5754588.5472442936</v>
      </c>
      <c r="E84" s="4"/>
      <c r="F84" s="4" t="s">
        <v>76</v>
      </c>
      <c r="G84" s="42">
        <f>G85</f>
        <v>1</v>
      </c>
      <c r="H84" s="43"/>
      <c r="I84" s="53">
        <f t="shared" ref="I84:I90" si="12">+G84*D84</f>
        <v>-5754588.5472442936</v>
      </c>
      <c r="J84" s="4"/>
      <c r="K84" s="83"/>
    </row>
    <row r="85" spans="1:11">
      <c r="A85" s="24">
        <f t="shared" si="11"/>
        <v>34</v>
      </c>
      <c r="B85" s="85" t="s">
        <v>86</v>
      </c>
      <c r="C85" s="86" t="s">
        <v>709</v>
      </c>
      <c r="D85" s="53">
        <f>'4- Rate Base'!F24</f>
        <v>0</v>
      </c>
      <c r="E85" s="65"/>
      <c r="F85" s="65" t="str">
        <f>+F87</f>
        <v>DA</v>
      </c>
      <c r="G85" s="87">
        <v>1</v>
      </c>
      <c r="H85" s="65"/>
      <c r="I85" s="53">
        <f t="shared" si="12"/>
        <v>0</v>
      </c>
      <c r="K85" s="83"/>
    </row>
    <row r="86" spans="1:11">
      <c r="A86" s="24">
        <f t="shared" si="11"/>
        <v>35</v>
      </c>
      <c r="B86" s="85" t="s">
        <v>791</v>
      </c>
      <c r="C86" s="86" t="s">
        <v>1074</v>
      </c>
      <c r="D86" s="53">
        <f>+'4- Rate Base'!J44</f>
        <v>27745514.100403879</v>
      </c>
      <c r="E86" s="65"/>
      <c r="F86" s="65" t="str">
        <f>+F88</f>
        <v>DA</v>
      </c>
      <c r="G86" s="87">
        <v>1</v>
      </c>
      <c r="H86" s="65"/>
      <c r="I86" s="53">
        <f t="shared" si="12"/>
        <v>27745514.100403879</v>
      </c>
      <c r="K86" s="83"/>
    </row>
    <row r="87" spans="1:11">
      <c r="A87" s="24">
        <f t="shared" si="11"/>
        <v>36</v>
      </c>
      <c r="B87" s="63" t="s">
        <v>100</v>
      </c>
      <c r="C87" s="86" t="s">
        <v>1075</v>
      </c>
      <c r="D87" s="53">
        <f>+'4- Rate Base'!C44</f>
        <v>0</v>
      </c>
      <c r="E87" s="65"/>
      <c r="F87" s="65" t="str">
        <f>+F88</f>
        <v>DA</v>
      </c>
      <c r="G87" s="87">
        <v>1</v>
      </c>
      <c r="H87" s="65"/>
      <c r="I87" s="53">
        <f t="shared" si="12"/>
        <v>0</v>
      </c>
      <c r="K87" s="83"/>
    </row>
    <row r="88" spans="1:11">
      <c r="A88" s="24">
        <f t="shared" si="11"/>
        <v>37</v>
      </c>
      <c r="B88" s="63" t="s">
        <v>101</v>
      </c>
      <c r="C88" s="86" t="s">
        <v>1076</v>
      </c>
      <c r="D88" s="53">
        <f>+'4- Rate Base'!D44</f>
        <v>0</v>
      </c>
      <c r="E88" s="65"/>
      <c r="F88" s="65" t="s">
        <v>76</v>
      </c>
      <c r="G88" s="87">
        <v>1</v>
      </c>
      <c r="H88" s="65"/>
      <c r="I88" s="53">
        <f t="shared" si="12"/>
        <v>0</v>
      </c>
      <c r="K88" s="83"/>
    </row>
    <row r="89" spans="1:11">
      <c r="A89" s="24">
        <f t="shared" si="11"/>
        <v>38</v>
      </c>
      <c r="B89" s="88" t="s">
        <v>656</v>
      </c>
      <c r="C89" s="88" t="s">
        <v>655</v>
      </c>
      <c r="D89" s="880">
        <v>0</v>
      </c>
      <c r="E89" s="65"/>
      <c r="F89" s="65" t="str">
        <f>+F90</f>
        <v>DA</v>
      </c>
      <c r="G89" s="87">
        <v>1</v>
      </c>
      <c r="H89" s="65"/>
      <c r="I89" s="53">
        <f t="shared" si="12"/>
        <v>0</v>
      </c>
      <c r="K89" s="83"/>
    </row>
    <row r="90" spans="1:11" ht="13.5" thickBot="1">
      <c r="A90" s="24">
        <f t="shared" si="11"/>
        <v>39</v>
      </c>
      <c r="B90" s="89" t="s">
        <v>658</v>
      </c>
      <c r="C90" s="88" t="s">
        <v>655</v>
      </c>
      <c r="D90" s="881">
        <v>0</v>
      </c>
      <c r="E90" s="65"/>
      <c r="F90" s="65" t="s">
        <v>76</v>
      </c>
      <c r="G90" s="87">
        <v>1</v>
      </c>
      <c r="H90" s="65"/>
      <c r="I90" s="46">
        <f t="shared" si="12"/>
        <v>0</v>
      </c>
      <c r="K90" s="83"/>
    </row>
    <row r="91" spans="1:11">
      <c r="A91" s="24">
        <f t="shared" si="11"/>
        <v>40</v>
      </c>
      <c r="B91" s="22" t="s">
        <v>221</v>
      </c>
      <c r="C91" s="4" t="s">
        <v>1077</v>
      </c>
      <c r="D91" s="39">
        <f>SUM(D76:D90)</f>
        <v>-278806423.18303555</v>
      </c>
      <c r="E91" s="4"/>
      <c r="F91" s="4"/>
      <c r="G91" s="42"/>
      <c r="H91" s="43"/>
      <c r="I91" s="39">
        <f>SUM(I76:I90)</f>
        <v>-278806423.18303555</v>
      </c>
      <c r="J91" s="4"/>
      <c r="K91" s="4"/>
    </row>
    <row r="92" spans="1:11">
      <c r="A92" s="24"/>
      <c r="B92" s="3"/>
      <c r="C92" s="4"/>
      <c r="D92" s="39"/>
      <c r="E92" s="4"/>
      <c r="F92" s="4"/>
      <c r="G92" s="82"/>
      <c r="H92" s="4"/>
      <c r="I92" s="39"/>
      <c r="J92" s="4"/>
      <c r="K92" s="83"/>
    </row>
    <row r="93" spans="1:11">
      <c r="A93" s="24">
        <f>+A91+1</f>
        <v>41</v>
      </c>
      <c r="B93" s="22" t="s">
        <v>367</v>
      </c>
      <c r="C93" s="90" t="s">
        <v>282</v>
      </c>
      <c r="D93" s="39">
        <f>+'4- Rate Base'!G24</f>
        <v>4782367.0375384623</v>
      </c>
      <c r="E93" s="4"/>
      <c r="F93" s="4" t="s">
        <v>15</v>
      </c>
      <c r="G93" s="42">
        <f>+G57</f>
        <v>1</v>
      </c>
      <c r="H93" s="43"/>
      <c r="I93" s="39">
        <f>+G93*D93</f>
        <v>4782367.0375384623</v>
      </c>
      <c r="J93" s="4"/>
      <c r="K93" s="4"/>
    </row>
    <row r="94" spans="1:11">
      <c r="A94" s="24"/>
      <c r="B94" s="22"/>
      <c r="C94" s="4"/>
      <c r="D94" s="39"/>
      <c r="E94" s="4"/>
      <c r="F94" s="4"/>
      <c r="G94" s="42"/>
      <c r="H94" s="43"/>
      <c r="I94" s="39"/>
      <c r="J94" s="4"/>
      <c r="K94" s="4"/>
    </row>
    <row r="95" spans="1:11">
      <c r="A95" s="24">
        <f>+A93+1</f>
        <v>42</v>
      </c>
      <c r="B95" s="22" t="s">
        <v>224</v>
      </c>
      <c r="C95" s="4" t="s">
        <v>104</v>
      </c>
      <c r="D95" s="39"/>
      <c r="E95" s="4"/>
      <c r="F95" s="4"/>
      <c r="G95" s="42"/>
      <c r="H95" s="43"/>
      <c r="I95" s="39"/>
      <c r="J95" s="4"/>
      <c r="K95" s="4"/>
    </row>
    <row r="96" spans="1:11">
      <c r="A96" s="24">
        <f>+A95+1</f>
        <v>43</v>
      </c>
      <c r="B96" s="22" t="s">
        <v>107</v>
      </c>
      <c r="C96" s="3" t="s">
        <v>1078</v>
      </c>
      <c r="D96" s="39">
        <f>(D125-D120)/8</f>
        <v>27639172.724140283</v>
      </c>
      <c r="E96" s="4"/>
      <c r="F96" s="4"/>
      <c r="G96" s="42"/>
      <c r="H96" s="43"/>
      <c r="I96" s="39">
        <f>(I125-I120)/8</f>
        <v>8270384.4565634038</v>
      </c>
      <c r="J96" s="25"/>
      <c r="K96" s="83"/>
    </row>
    <row r="97" spans="1:11">
      <c r="A97" s="24">
        <f>+A96+1</f>
        <v>44</v>
      </c>
      <c r="B97" s="22" t="s">
        <v>169</v>
      </c>
      <c r="C97" s="90" t="s">
        <v>774</v>
      </c>
      <c r="D97" s="39">
        <f>+'4- Rate Base'!H24</f>
        <v>10128797.044532049</v>
      </c>
      <c r="E97" s="4"/>
      <c r="F97" s="4" t="s">
        <v>15</v>
      </c>
      <c r="G97" s="42">
        <f>+G114</f>
        <v>1</v>
      </c>
      <c r="H97" s="43"/>
      <c r="I97" s="39">
        <f>+G97*D97</f>
        <v>10128797.044532049</v>
      </c>
      <c r="J97" s="4" t="s">
        <v>2</v>
      </c>
      <c r="K97" s="83"/>
    </row>
    <row r="98" spans="1:11" ht="13.5" thickBot="1">
      <c r="A98" s="24">
        <f>+A97+1</f>
        <v>45</v>
      </c>
      <c r="B98" s="22" t="s">
        <v>91</v>
      </c>
      <c r="C98" s="43" t="s">
        <v>271</v>
      </c>
      <c r="D98" s="46">
        <f>+'4- Rate Base'!I24</f>
        <v>1670294.2640225876</v>
      </c>
      <c r="E98" s="4"/>
      <c r="F98" s="4" t="s">
        <v>76</v>
      </c>
      <c r="G98" s="42">
        <v>1</v>
      </c>
      <c r="H98" s="43"/>
      <c r="I98" s="46">
        <f>+G98*D98</f>
        <v>1670294.2640225876</v>
      </c>
      <c r="J98" s="4"/>
      <c r="K98" s="83"/>
    </row>
    <row r="99" spans="1:11">
      <c r="A99" s="24">
        <f>+A98+1</f>
        <v>46</v>
      </c>
      <c r="B99" s="22" t="s">
        <v>223</v>
      </c>
      <c r="C99" s="25" t="s">
        <v>758</v>
      </c>
      <c r="D99" s="39">
        <f>SUM(D96:D98)</f>
        <v>39438264.032694921</v>
      </c>
      <c r="E99" s="25"/>
      <c r="F99" s="25"/>
      <c r="G99" s="91"/>
      <c r="H99" s="91"/>
      <c r="I99" s="39">
        <f>SUM(I96:I98)</f>
        <v>20069475.76511804</v>
      </c>
      <c r="J99" s="25"/>
      <c r="K99" s="25"/>
    </row>
    <row r="100" spans="1:11" ht="13.5" thickBot="1">
      <c r="A100" s="24"/>
      <c r="B100" s="3"/>
      <c r="C100" s="4"/>
      <c r="D100" s="46"/>
      <c r="E100" s="4"/>
      <c r="F100" s="4"/>
      <c r="G100" s="4"/>
      <c r="H100" s="4"/>
      <c r="I100" s="46"/>
      <c r="J100" s="4"/>
      <c r="K100" s="4"/>
    </row>
    <row r="101" spans="1:11" ht="13.5" thickBot="1">
      <c r="A101" s="24">
        <f>+A99+1</f>
        <v>47</v>
      </c>
      <c r="B101" s="22" t="s">
        <v>225</v>
      </c>
      <c r="C101" s="4" t="s">
        <v>759</v>
      </c>
      <c r="D101" s="92">
        <f>+D99+D93+D91+D73</f>
        <v>6749375444.0348577</v>
      </c>
      <c r="E101" s="43"/>
      <c r="F101" s="43"/>
      <c r="G101" s="93"/>
      <c r="H101" s="43"/>
      <c r="I101" s="92">
        <f>+I99+I93+I91+I73</f>
        <v>993281070.21843135</v>
      </c>
      <c r="J101" s="4"/>
      <c r="K101" s="83"/>
    </row>
    <row r="102" spans="1:11" ht="16.5" thickTop="1">
      <c r="A102" s="24"/>
      <c r="B102" s="94"/>
      <c r="C102" s="95"/>
      <c r="D102" s="96"/>
      <c r="E102" s="95"/>
      <c r="F102" s="97"/>
      <c r="G102" s="98"/>
      <c r="H102" s="99"/>
      <c r="I102" s="100"/>
      <c r="J102" s="4"/>
      <c r="K102" s="83"/>
    </row>
    <row r="103" spans="1:11" ht="15.75" hidden="1">
      <c r="A103" s="24"/>
      <c r="B103" s="95"/>
      <c r="D103" s="95"/>
      <c r="E103" s="101"/>
      <c r="G103" s="95"/>
      <c r="I103" s="100"/>
      <c r="J103" s="4"/>
      <c r="K103" s="83"/>
    </row>
    <row r="104" spans="1:11" ht="15.75">
      <c r="A104" s="24"/>
      <c r="B104" s="95"/>
      <c r="D104" s="98"/>
      <c r="E104" s="101"/>
      <c r="F104" s="62"/>
      <c r="G104" s="98"/>
      <c r="I104" s="4"/>
      <c r="J104" s="4"/>
      <c r="K104" s="102" t="s">
        <v>108</v>
      </c>
    </row>
    <row r="105" spans="1:11" ht="15.75">
      <c r="A105" s="24"/>
      <c r="B105" s="95"/>
      <c r="C105" s="95"/>
      <c r="D105" s="95"/>
      <c r="E105" s="103"/>
      <c r="F105" s="97"/>
      <c r="G105" s="95"/>
      <c r="H105" s="95"/>
      <c r="I105" s="4"/>
      <c r="J105" s="4"/>
      <c r="K105" s="102"/>
    </row>
    <row r="106" spans="1:11">
      <c r="A106" s="24"/>
      <c r="B106" s="22" t="s">
        <v>1</v>
      </c>
      <c r="C106" s="4"/>
      <c r="D106" s="27" t="s">
        <v>72</v>
      </c>
      <c r="E106" s="4"/>
      <c r="F106" s="4"/>
      <c r="G106" s="4"/>
      <c r="H106" s="4"/>
      <c r="I106" s="18"/>
      <c r="J106" s="4"/>
      <c r="K106" s="102" t="str">
        <f>K3</f>
        <v>For  the 12 months ended 12/31/2020</v>
      </c>
    </row>
    <row r="107" spans="1:11">
      <c r="A107" s="24"/>
      <c r="B107" s="22"/>
      <c r="C107" s="4"/>
      <c r="D107" s="27" t="s">
        <v>98</v>
      </c>
      <c r="E107" s="4"/>
      <c r="F107" s="4"/>
      <c r="G107" s="4"/>
      <c r="H107" s="4"/>
      <c r="I107" s="4"/>
      <c r="J107" s="4"/>
      <c r="K107" s="4"/>
    </row>
    <row r="108" spans="1:11">
      <c r="A108" s="24"/>
      <c r="B108" s="3"/>
      <c r="C108" s="4"/>
      <c r="D108" s="27" t="str">
        <f>+D39</f>
        <v>PECO Energy Company</v>
      </c>
      <c r="E108" s="4"/>
      <c r="F108" s="4"/>
      <c r="G108" s="4"/>
      <c r="H108" s="4"/>
      <c r="I108" s="4"/>
      <c r="J108" s="4"/>
      <c r="K108" s="4"/>
    </row>
    <row r="109" spans="1:11">
      <c r="A109" s="1028"/>
      <c r="B109" s="1028"/>
      <c r="C109" s="1028"/>
      <c r="D109" s="1028"/>
      <c r="E109" s="1028"/>
      <c r="F109" s="1028"/>
      <c r="G109" s="1028"/>
      <c r="H109" s="1028"/>
      <c r="I109" s="1028"/>
      <c r="J109" s="1028"/>
      <c r="K109" s="1028"/>
    </row>
    <row r="110" spans="1:11">
      <c r="A110" s="24"/>
      <c r="B110" s="24" t="s">
        <v>3</v>
      </c>
      <c r="C110" s="24" t="s">
        <v>4</v>
      </c>
      <c r="D110" s="24" t="s">
        <v>5</v>
      </c>
      <c r="E110" s="4" t="s">
        <v>2</v>
      </c>
      <c r="F110" s="4"/>
      <c r="G110" s="31" t="s">
        <v>6</v>
      </c>
      <c r="H110" s="4"/>
      <c r="I110" s="31" t="s">
        <v>7</v>
      </c>
      <c r="J110" s="4"/>
      <c r="K110" s="4"/>
    </row>
    <row r="111" spans="1:11">
      <c r="A111" s="24" t="s">
        <v>8</v>
      </c>
      <c r="B111" s="22"/>
      <c r="C111" s="76"/>
      <c r="D111" s="4"/>
      <c r="E111" s="4"/>
      <c r="F111" s="4"/>
      <c r="G111" s="24"/>
      <c r="H111" s="4"/>
      <c r="I111" s="77" t="s">
        <v>17</v>
      </c>
      <c r="J111" s="4"/>
      <c r="K111" s="77"/>
    </row>
    <row r="112" spans="1:11" ht="13.5" thickBot="1">
      <c r="A112" s="35" t="s">
        <v>10</v>
      </c>
      <c r="B112" s="22"/>
      <c r="C112" s="78" t="s">
        <v>207</v>
      </c>
      <c r="D112" s="77" t="s">
        <v>19</v>
      </c>
      <c r="E112" s="79"/>
      <c r="F112" s="77" t="s">
        <v>20</v>
      </c>
      <c r="G112" s="3"/>
      <c r="H112" s="79"/>
      <c r="I112" s="24" t="s">
        <v>21</v>
      </c>
      <c r="J112" s="4"/>
      <c r="K112" s="77"/>
    </row>
    <row r="113" spans="1:11">
      <c r="A113" s="24"/>
      <c r="B113" s="22" t="s">
        <v>0</v>
      </c>
      <c r="C113" s="4"/>
      <c r="D113" s="4"/>
      <c r="E113" s="4"/>
      <c r="F113" s="4"/>
      <c r="G113" s="4"/>
      <c r="H113" s="4"/>
      <c r="I113" s="4"/>
      <c r="J113" s="4"/>
      <c r="K113" s="4"/>
    </row>
    <row r="114" spans="1:11">
      <c r="A114" s="24">
        <v>1</v>
      </c>
      <c r="B114" s="22" t="s">
        <v>29</v>
      </c>
      <c r="C114" s="4" t="s">
        <v>1079</v>
      </c>
      <c r="D114" s="39">
        <f>'5-P3 Support'!C12</f>
        <v>116080855</v>
      </c>
      <c r="E114" s="4"/>
      <c r="F114" s="4" t="s">
        <v>15</v>
      </c>
      <c r="G114" s="42">
        <f>+I189</f>
        <v>1</v>
      </c>
      <c r="H114" s="43"/>
      <c r="I114" s="39">
        <f>+G114*D114</f>
        <v>116080855</v>
      </c>
      <c r="J114" s="25"/>
      <c r="K114" s="4"/>
    </row>
    <row r="115" spans="1:11">
      <c r="A115" s="57">
        <f>+A114+1</f>
        <v>2</v>
      </c>
      <c r="B115" s="55" t="s">
        <v>1320</v>
      </c>
      <c r="C115" s="4" t="s">
        <v>1080</v>
      </c>
      <c r="D115" s="39">
        <f>-'5-P3 Support'!D12</f>
        <v>-10863927</v>
      </c>
      <c r="E115" s="86"/>
      <c r="F115" s="86" t="str">
        <f>+F114</f>
        <v>TP</v>
      </c>
      <c r="G115" s="42">
        <f>+G114</f>
        <v>1</v>
      </c>
      <c r="H115" s="86"/>
      <c r="I115" s="39">
        <f>+G115*D115</f>
        <v>-10863927</v>
      </c>
      <c r="K115" s="4"/>
    </row>
    <row r="116" spans="1:11">
      <c r="A116" s="57">
        <f t="shared" ref="A116:A164" si="13">+A115+1</f>
        <v>3</v>
      </c>
      <c r="B116" s="22" t="s">
        <v>1321</v>
      </c>
      <c r="C116" s="4" t="s">
        <v>1081</v>
      </c>
      <c r="D116" s="39">
        <f>-'5-P3 Support'!E12</f>
        <v>0</v>
      </c>
      <c r="E116" s="4"/>
      <c r="F116" s="4" t="str">
        <f>+F115</f>
        <v>TP</v>
      </c>
      <c r="G116" s="42">
        <f>+G115</f>
        <v>1</v>
      </c>
      <c r="H116" s="43"/>
      <c r="I116" s="39">
        <f>+G116*D116</f>
        <v>0</v>
      </c>
      <c r="J116" s="25"/>
      <c r="K116" s="4"/>
    </row>
    <row r="117" spans="1:11">
      <c r="A117" s="57">
        <f t="shared" si="13"/>
        <v>4</v>
      </c>
      <c r="B117" s="22" t="s">
        <v>1322</v>
      </c>
      <c r="C117" s="22" t="s">
        <v>1082</v>
      </c>
      <c r="D117" s="39">
        <f>-'5-P3 Support'!F12</f>
        <v>-65204955</v>
      </c>
      <c r="E117" s="4"/>
      <c r="F117" s="22" t="str">
        <f>+F116</f>
        <v>TP</v>
      </c>
      <c r="G117" s="42">
        <v>1</v>
      </c>
      <c r="H117" s="43"/>
      <c r="I117" s="39">
        <f>+D117*G117</f>
        <v>-65204955</v>
      </c>
      <c r="J117" s="25"/>
      <c r="K117" s="4"/>
    </row>
    <row r="118" spans="1:11">
      <c r="A118" s="57">
        <f t="shared" si="13"/>
        <v>5</v>
      </c>
      <c r="B118" s="22" t="s">
        <v>30</v>
      </c>
      <c r="C118" s="104" t="s">
        <v>1138</v>
      </c>
      <c r="D118" s="39">
        <f>+'5B - A&amp;G'!E24</f>
        <v>170353503</v>
      </c>
      <c r="E118" s="4"/>
      <c r="F118" s="4" t="s">
        <v>76</v>
      </c>
      <c r="G118" s="42"/>
      <c r="H118" s="43"/>
      <c r="I118" s="39">
        <f>+'5B - A&amp;G'!J28</f>
        <v>15298138.595643368</v>
      </c>
      <c r="J118" s="4"/>
      <c r="K118" s="4" t="s">
        <v>2</v>
      </c>
    </row>
    <row r="119" spans="1:11">
      <c r="A119" s="57">
        <f>+A118+1</f>
        <v>6</v>
      </c>
      <c r="B119" s="55" t="s">
        <v>716</v>
      </c>
      <c r="C119" s="86"/>
      <c r="D119" s="53"/>
      <c r="E119" s="86"/>
      <c r="F119" s="86"/>
      <c r="G119" s="42"/>
      <c r="H119" s="86"/>
      <c r="I119" s="53"/>
      <c r="K119" s="4"/>
    </row>
    <row r="120" spans="1:11">
      <c r="A120" s="57">
        <f t="shared" si="13"/>
        <v>7</v>
      </c>
      <c r="B120" s="55" t="s">
        <v>97</v>
      </c>
      <c r="C120" s="86" t="s">
        <v>1083</v>
      </c>
      <c r="D120" s="53">
        <f>'5-P3 Support'!G12</f>
        <v>0</v>
      </c>
      <c r="E120" s="65"/>
      <c r="F120" s="65" t="s">
        <v>76</v>
      </c>
      <c r="G120" s="87">
        <v>1</v>
      </c>
      <c r="H120" s="65"/>
      <c r="I120" s="53">
        <f>+G120*D120</f>
        <v>0</v>
      </c>
      <c r="K120" s="4"/>
    </row>
    <row r="121" spans="1:11">
      <c r="A121" s="57">
        <f t="shared" si="13"/>
        <v>8</v>
      </c>
      <c r="B121" s="55" t="s">
        <v>322</v>
      </c>
      <c r="C121" s="4" t="s">
        <v>1084</v>
      </c>
      <c r="D121" s="53">
        <f>'5-P3 Support'!H12</f>
        <v>10863927</v>
      </c>
      <c r="E121" s="65"/>
      <c r="F121" s="65" t="s">
        <v>15</v>
      </c>
      <c r="G121" s="87">
        <f>+G114</f>
        <v>1</v>
      </c>
      <c r="H121" s="65"/>
      <c r="I121" s="53">
        <f>+G121*D121</f>
        <v>10863927</v>
      </c>
      <c r="K121" s="4"/>
    </row>
    <row r="122" spans="1:11">
      <c r="A122" s="57">
        <f>+A121+1</f>
        <v>9</v>
      </c>
      <c r="B122" s="55" t="s">
        <v>96</v>
      </c>
      <c r="C122" s="86" t="s">
        <v>760</v>
      </c>
      <c r="D122" s="53">
        <f>+D120+D121</f>
        <v>10863927</v>
      </c>
      <c r="E122" s="65"/>
      <c r="F122" s="65"/>
      <c r="G122" s="87"/>
      <c r="H122" s="65"/>
      <c r="I122" s="53">
        <f>+I120+I121</f>
        <v>10863927</v>
      </c>
      <c r="K122" s="4"/>
    </row>
    <row r="123" spans="1:11">
      <c r="A123" s="57">
        <f>+A122+1</f>
        <v>10</v>
      </c>
      <c r="B123" s="55" t="s">
        <v>717</v>
      </c>
      <c r="C123" s="86" t="s">
        <v>1089</v>
      </c>
      <c r="D123" s="53">
        <f>+'7 - PBOP'!F12</f>
        <v>-108275.41687774856</v>
      </c>
      <c r="E123" s="65"/>
      <c r="F123" s="52" t="s">
        <v>24</v>
      </c>
      <c r="G123" s="87">
        <f>$I$197</f>
        <v>9.4490855863003556E-2</v>
      </c>
      <c r="H123" s="100"/>
      <c r="I123" s="53">
        <f>+G123*D123</f>
        <v>-10231.036809701962</v>
      </c>
      <c r="K123" s="4"/>
    </row>
    <row r="124" spans="1:11" ht="13.5" thickBot="1">
      <c r="A124" s="57">
        <f>+A123+1</f>
        <v>11</v>
      </c>
      <c r="B124" s="55" t="s">
        <v>1323</v>
      </c>
      <c r="C124" s="4" t="s">
        <v>1180</v>
      </c>
      <c r="D124" s="46">
        <f>-'4E COA'!H17</f>
        <v>-7745.7899999999991</v>
      </c>
      <c r="E124" s="65"/>
      <c r="F124" s="52" t="s">
        <v>24</v>
      </c>
      <c r="G124" s="87">
        <f>$I$197</f>
        <v>9.4490855863003556E-2</v>
      </c>
      <c r="H124" s="100"/>
      <c r="I124" s="46">
        <f>D124*G124</f>
        <v>-731.90632643509423</v>
      </c>
      <c r="K124" s="4"/>
    </row>
    <row r="125" spans="1:11">
      <c r="A125" s="57">
        <f>A124+1</f>
        <v>12</v>
      </c>
      <c r="B125" s="105" t="s">
        <v>226</v>
      </c>
      <c r="C125" s="106" t="s">
        <v>1324</v>
      </c>
      <c r="D125" s="39">
        <f>SUM(D114:D118)+D122+D123+D124</f>
        <v>221113381.79312226</v>
      </c>
      <c r="E125" s="39"/>
      <c r="F125" s="39"/>
      <c r="G125" s="42"/>
      <c r="H125" s="39"/>
      <c r="I125" s="39">
        <f>SUM(I114:I118)+I122+I123+I124</f>
        <v>66163075.652507231</v>
      </c>
      <c r="J125" s="4"/>
      <c r="K125" s="4"/>
    </row>
    <row r="126" spans="1:11">
      <c r="A126" s="57"/>
      <c r="B126" s="3"/>
      <c r="C126" s="4"/>
      <c r="D126" s="39"/>
      <c r="E126" s="39"/>
      <c r="F126" s="39"/>
      <c r="G126" s="42"/>
      <c r="H126" s="39"/>
      <c r="I126" s="39"/>
      <c r="J126" s="4"/>
      <c r="K126" s="4"/>
    </row>
    <row r="127" spans="1:11">
      <c r="A127" s="57">
        <f>+A125+1</f>
        <v>13</v>
      </c>
      <c r="B127" s="22" t="s">
        <v>314</v>
      </c>
      <c r="C127" s="90"/>
      <c r="D127" s="39"/>
      <c r="E127" s="39"/>
      <c r="F127" s="39"/>
      <c r="G127" s="42"/>
      <c r="H127" s="39"/>
      <c r="I127" s="39"/>
      <c r="J127" s="4"/>
      <c r="K127" s="4"/>
    </row>
    <row r="128" spans="1:11">
      <c r="A128" s="57">
        <f t="shared" si="13"/>
        <v>14</v>
      </c>
      <c r="B128" s="22" t="s">
        <v>29</v>
      </c>
      <c r="C128" s="90" t="s">
        <v>1085</v>
      </c>
      <c r="D128" s="39">
        <f>'5-P3 Support'!I12</f>
        <v>26614067.004447006</v>
      </c>
      <c r="E128" s="39"/>
      <c r="F128" s="39" t="s">
        <v>15</v>
      </c>
      <c r="G128" s="42">
        <f>+G93</f>
        <v>1</v>
      </c>
      <c r="H128" s="39"/>
      <c r="I128" s="39">
        <f>+G128*D128</f>
        <v>26614067.004447006</v>
      </c>
      <c r="J128" s="4"/>
      <c r="K128" s="83"/>
    </row>
    <row r="129" spans="1:11">
      <c r="A129" s="57">
        <f t="shared" si="13"/>
        <v>15</v>
      </c>
      <c r="B129" s="107" t="s">
        <v>714</v>
      </c>
      <c r="C129" s="90" t="s">
        <v>1086</v>
      </c>
      <c r="D129" s="39">
        <f>'5-P3 Support'!C21</f>
        <v>18063842.926704001</v>
      </c>
      <c r="E129" s="39"/>
      <c r="F129" s="39" t="s">
        <v>24</v>
      </c>
      <c r="G129" s="87">
        <f>$I$197</f>
        <v>9.4490855863003556E-2</v>
      </c>
      <c r="H129" s="39"/>
      <c r="I129" s="39">
        <f>+G129*D129</f>
        <v>1706867.9783191241</v>
      </c>
      <c r="J129" s="4"/>
      <c r="K129" s="83"/>
    </row>
    <row r="130" spans="1:11">
      <c r="A130" s="57">
        <f t="shared" si="13"/>
        <v>16</v>
      </c>
      <c r="B130" s="107" t="s">
        <v>1516</v>
      </c>
      <c r="C130" s="43" t="s">
        <v>1518</v>
      </c>
      <c r="D130" s="39">
        <f>'5-P3 Support'!K12</f>
        <v>3510302.1184150004</v>
      </c>
      <c r="E130" s="39"/>
      <c r="F130" s="39" t="s">
        <v>15</v>
      </c>
      <c r="G130" s="42">
        <f>G128</f>
        <v>1</v>
      </c>
      <c r="H130" s="39"/>
      <c r="I130" s="39">
        <f>D130*G130</f>
        <v>3510302.1184150004</v>
      </c>
      <c r="J130" s="4"/>
      <c r="K130" s="83"/>
    </row>
    <row r="131" spans="1:11">
      <c r="A131" s="57" t="s">
        <v>792</v>
      </c>
      <c r="B131" s="107" t="s">
        <v>1517</v>
      </c>
      <c r="C131" s="43" t="s">
        <v>1519</v>
      </c>
      <c r="D131" s="39">
        <f>'5-P3 Support'!L12</f>
        <v>2676289.91304</v>
      </c>
      <c r="E131" s="39"/>
      <c r="F131" s="39" t="s">
        <v>24</v>
      </c>
      <c r="G131" s="42">
        <f>G129</f>
        <v>9.4490855863003556E-2</v>
      </c>
      <c r="H131" s="39"/>
      <c r="I131" s="39">
        <f>D131*G131</f>
        <v>252884.92442067296</v>
      </c>
      <c r="J131" s="4"/>
      <c r="K131" s="83"/>
    </row>
    <row r="132" spans="1:11">
      <c r="A132" s="57" t="s">
        <v>793</v>
      </c>
      <c r="B132" s="107" t="s">
        <v>1556</v>
      </c>
      <c r="C132" s="43" t="s">
        <v>1557</v>
      </c>
      <c r="D132" s="39">
        <f>'5-P3 Support'!M12</f>
        <v>11053896.984160002</v>
      </c>
      <c r="E132" s="39"/>
      <c r="F132" s="39" t="s">
        <v>22</v>
      </c>
      <c r="G132" s="84" t="s">
        <v>106</v>
      </c>
      <c r="H132" s="39"/>
      <c r="I132" s="39">
        <v>0</v>
      </c>
      <c r="J132" s="4"/>
      <c r="K132" s="83"/>
    </row>
    <row r="133" spans="1:11">
      <c r="A133" s="57">
        <f>+A130+1</f>
        <v>17</v>
      </c>
      <c r="B133" s="22" t="s">
        <v>924</v>
      </c>
      <c r="C133" s="90" t="s">
        <v>1087</v>
      </c>
      <c r="D133" s="53">
        <f>'5-P3 Support'!J12</f>
        <v>30453567.529146001</v>
      </c>
      <c r="E133" s="53"/>
      <c r="F133" s="39" t="s">
        <v>24</v>
      </c>
      <c r="G133" s="87">
        <f>$I$197</f>
        <v>9.4490855863003556E-2</v>
      </c>
      <c r="H133" s="53"/>
      <c r="I133" s="53">
        <f>+G133*D133</f>
        <v>2877583.6599107799</v>
      </c>
      <c r="J133" s="4"/>
      <c r="K133" s="83"/>
    </row>
    <row r="134" spans="1:11">
      <c r="A134" s="57">
        <f t="shared" si="13"/>
        <v>18</v>
      </c>
      <c r="B134" s="22" t="s">
        <v>1115</v>
      </c>
      <c r="C134" s="4" t="s">
        <v>1090</v>
      </c>
      <c r="D134" s="53">
        <f>-'4E COA'!H86</f>
        <v>-699483.83436491992</v>
      </c>
      <c r="E134" s="53"/>
      <c r="F134" s="39" t="s">
        <v>24</v>
      </c>
      <c r="G134" s="87">
        <f>G61</f>
        <v>9.4490855863003556E-2</v>
      </c>
      <c r="H134" s="53"/>
      <c r="I134" s="53">
        <f>D134*G134</f>
        <v>-66094.8261714767</v>
      </c>
      <c r="J134" s="4"/>
      <c r="K134" s="83"/>
    </row>
    <row r="135" spans="1:11" ht="13.5" thickBot="1">
      <c r="A135" s="57">
        <f t="shared" si="13"/>
        <v>19</v>
      </c>
      <c r="B135" s="55" t="s">
        <v>92</v>
      </c>
      <c r="C135" s="4" t="s">
        <v>1088</v>
      </c>
      <c r="D135" s="46">
        <f>'5-P3 Support'!D21</f>
        <v>0</v>
      </c>
      <c r="E135" s="39"/>
      <c r="F135" s="39" t="s">
        <v>76</v>
      </c>
      <c r="G135" s="42">
        <v>1</v>
      </c>
      <c r="H135" s="39"/>
      <c r="I135" s="46">
        <f>+G135*D135</f>
        <v>0</v>
      </c>
      <c r="J135" s="4"/>
      <c r="K135" s="83"/>
    </row>
    <row r="136" spans="1:11">
      <c r="A136" s="57">
        <f t="shared" si="13"/>
        <v>20</v>
      </c>
      <c r="B136" s="22" t="s">
        <v>216</v>
      </c>
      <c r="C136" s="4" t="str">
        <f>"(Sum of Lines "&amp;A128&amp;" through "&amp;A135&amp;")"</f>
        <v>(Sum of Lines 14 through 19)</v>
      </c>
      <c r="D136" s="39">
        <f>SUM(D128:D135)</f>
        <v>91672482.641547084</v>
      </c>
      <c r="E136" s="39"/>
      <c r="F136" s="39"/>
      <c r="G136" s="42"/>
      <c r="H136" s="39"/>
      <c r="I136" s="39">
        <f>SUM(I128:I135)</f>
        <v>34895610.859341107</v>
      </c>
      <c r="J136" s="4"/>
      <c r="K136" s="4"/>
    </row>
    <row r="137" spans="1:11">
      <c r="A137" s="57"/>
      <c r="B137" s="22"/>
      <c r="C137" s="4"/>
      <c r="D137" s="39"/>
      <c r="E137" s="39"/>
      <c r="F137" s="39"/>
      <c r="G137" s="42"/>
      <c r="H137" s="39"/>
      <c r="I137" s="39"/>
      <c r="J137" s="4"/>
      <c r="K137" s="4"/>
    </row>
    <row r="138" spans="1:11">
      <c r="A138" s="57">
        <f>+A136+1</f>
        <v>21</v>
      </c>
      <c r="B138" s="22" t="s">
        <v>217</v>
      </c>
      <c r="C138" s="3" t="s">
        <v>164</v>
      </c>
      <c r="D138" s="39"/>
      <c r="E138" s="39"/>
      <c r="F138" s="39"/>
      <c r="G138" s="42"/>
      <c r="H138" s="39"/>
      <c r="I138" s="39"/>
      <c r="J138" s="4"/>
      <c r="K138" s="4"/>
    </row>
    <row r="139" spans="1:11">
      <c r="A139" s="57">
        <f t="shared" si="13"/>
        <v>22</v>
      </c>
      <c r="B139" s="22" t="s">
        <v>31</v>
      </c>
      <c r="C139" s="3"/>
      <c r="D139" s="39"/>
      <c r="E139" s="39"/>
      <c r="F139" s="39"/>
      <c r="G139" s="42"/>
      <c r="H139" s="39"/>
      <c r="I139" s="39"/>
      <c r="J139" s="4"/>
      <c r="K139" s="83"/>
    </row>
    <row r="140" spans="1:11">
      <c r="A140" s="57">
        <f t="shared" si="13"/>
        <v>23</v>
      </c>
      <c r="B140" s="22" t="s">
        <v>32</v>
      </c>
      <c r="C140" s="4" t="s">
        <v>1091</v>
      </c>
      <c r="D140" s="39">
        <f>'5-P3 Support'!E21</f>
        <v>12308308</v>
      </c>
      <c r="E140" s="39"/>
      <c r="F140" s="39" t="s">
        <v>24</v>
      </c>
      <c r="G140" s="42">
        <f>+G129</f>
        <v>9.4490855863003556E-2</v>
      </c>
      <c r="H140" s="39"/>
      <c r="I140" s="39">
        <f>+G140*D140</f>
        <v>1163022.5571454535</v>
      </c>
      <c r="J140" s="4"/>
      <c r="K140" s="83"/>
    </row>
    <row r="141" spans="1:11">
      <c r="A141" s="57">
        <f t="shared" si="13"/>
        <v>24</v>
      </c>
      <c r="B141" s="108" t="str">
        <f>'5-P3 Support'!F15</f>
        <v>Labor Related Taxes to be Excluded</v>
      </c>
      <c r="C141" s="4" t="s">
        <v>1092</v>
      </c>
      <c r="D141" s="39">
        <f>'5-P3 Support'!F21</f>
        <v>0</v>
      </c>
      <c r="E141" s="39"/>
      <c r="F141" s="39" t="s">
        <v>24</v>
      </c>
      <c r="G141" s="42">
        <f>+G140</f>
        <v>9.4490855863003556E-2</v>
      </c>
      <c r="H141" s="39"/>
      <c r="I141" s="39">
        <f>+G141*D141</f>
        <v>0</v>
      </c>
      <c r="J141" s="4"/>
      <c r="K141" s="83"/>
    </row>
    <row r="142" spans="1:11">
      <c r="A142" s="57">
        <f t="shared" si="13"/>
        <v>25</v>
      </c>
      <c r="B142" s="22" t="s">
        <v>33</v>
      </c>
      <c r="C142" s="4" t="s">
        <v>2</v>
      </c>
      <c r="D142" s="39"/>
      <c r="E142" s="39"/>
      <c r="F142" s="39"/>
      <c r="G142" s="42"/>
      <c r="H142" s="39"/>
      <c r="I142" s="39"/>
      <c r="J142" s="4"/>
      <c r="K142" s="83"/>
    </row>
    <row r="143" spans="1:11">
      <c r="A143" s="57">
        <f t="shared" si="13"/>
        <v>26</v>
      </c>
      <c r="B143" s="22" t="s">
        <v>34</v>
      </c>
      <c r="C143" s="4" t="s">
        <v>1139</v>
      </c>
      <c r="D143" s="39">
        <f>'5-P3 Support'!G21</f>
        <v>12835970</v>
      </c>
      <c r="E143" s="39"/>
      <c r="F143" s="39" t="s">
        <v>28</v>
      </c>
      <c r="G143" s="42">
        <f>+G53</f>
        <v>0.18509112796332486</v>
      </c>
      <c r="H143" s="39"/>
      <c r="I143" s="39">
        <f>+G143*D143</f>
        <v>2375824.1658033989</v>
      </c>
      <c r="J143" s="4"/>
      <c r="K143" s="83"/>
    </row>
    <row r="144" spans="1:11">
      <c r="A144" s="57">
        <f t="shared" si="13"/>
        <v>27</v>
      </c>
      <c r="B144" s="22" t="s">
        <v>1480</v>
      </c>
      <c r="C144" s="4" t="s">
        <v>1093</v>
      </c>
      <c r="D144" s="39">
        <f>'5-P3 Support'!H21</f>
        <v>132585408</v>
      </c>
      <c r="E144" s="39"/>
      <c r="F144" s="39" t="s">
        <v>22</v>
      </c>
      <c r="G144" s="84" t="s">
        <v>106</v>
      </c>
      <c r="H144" s="39"/>
      <c r="I144" s="39">
        <v>0</v>
      </c>
      <c r="J144" s="4"/>
      <c r="K144" s="83"/>
    </row>
    <row r="145" spans="1:11">
      <c r="A145" s="57">
        <f t="shared" si="13"/>
        <v>28</v>
      </c>
      <c r="B145" s="22" t="s">
        <v>35</v>
      </c>
      <c r="C145" s="4" t="s">
        <v>1094</v>
      </c>
      <c r="D145" s="39">
        <f>'5-P3 Support'!I21</f>
        <v>450022</v>
      </c>
      <c r="E145" s="39"/>
      <c r="F145" s="39" t="s">
        <v>28</v>
      </c>
      <c r="G145" s="42">
        <f>+G143</f>
        <v>0.18509112796332486</v>
      </c>
      <c r="H145" s="39"/>
      <c r="I145" s="39">
        <f>+G145*D145</f>
        <v>83295.079588311375</v>
      </c>
      <c r="J145" s="4"/>
      <c r="K145" s="83"/>
    </row>
    <row r="146" spans="1:11" ht="13.5" thickBot="1">
      <c r="A146" s="57">
        <f t="shared" si="13"/>
        <v>29</v>
      </c>
      <c r="B146" s="22" t="s">
        <v>1459</v>
      </c>
      <c r="C146" s="4" t="s">
        <v>1095</v>
      </c>
      <c r="D146" s="46">
        <f>'5-P3 Support'!J21</f>
        <v>0</v>
      </c>
      <c r="E146" s="39"/>
      <c r="F146" s="39" t="s">
        <v>28</v>
      </c>
      <c r="G146" s="42">
        <f>+G143</f>
        <v>0.18509112796332486</v>
      </c>
      <c r="H146" s="39"/>
      <c r="I146" s="46">
        <f>+G146*D146</f>
        <v>0</v>
      </c>
      <c r="J146" s="4"/>
      <c r="K146" s="83"/>
    </row>
    <row r="147" spans="1:11">
      <c r="A147" s="57">
        <f t="shared" si="13"/>
        <v>30</v>
      </c>
      <c r="B147" s="22" t="s">
        <v>218</v>
      </c>
      <c r="C147" s="4" t="str">
        <f>"(Sum of Lines "&amp;A140&amp;" through "&amp;A146&amp;")"</f>
        <v>(Sum of Lines 23 through 29)</v>
      </c>
      <c r="D147" s="39">
        <f>SUM(D140:D146)</f>
        <v>158179708</v>
      </c>
      <c r="E147" s="39"/>
      <c r="F147" s="39"/>
      <c r="G147" s="42"/>
      <c r="H147" s="39"/>
      <c r="I147" s="39">
        <f>SUM(I140:I146)</f>
        <v>3622141.8025371637</v>
      </c>
      <c r="J147" s="4"/>
      <c r="K147" s="83"/>
    </row>
    <row r="148" spans="1:11">
      <c r="A148" s="57"/>
      <c r="B148" s="22"/>
      <c r="C148" s="4"/>
      <c r="D148" s="39"/>
      <c r="E148" s="39"/>
      <c r="F148" s="39"/>
      <c r="G148" s="42"/>
      <c r="H148" s="39"/>
      <c r="I148" s="39"/>
      <c r="J148" s="4"/>
      <c r="K148" s="83"/>
    </row>
    <row r="149" spans="1:11">
      <c r="A149" s="57">
        <f>A147+1</f>
        <v>31</v>
      </c>
      <c r="B149" s="109" t="s">
        <v>657</v>
      </c>
      <c r="C149" s="88" t="s">
        <v>655</v>
      </c>
      <c r="D149" s="880">
        <v>0</v>
      </c>
      <c r="E149" s="65"/>
      <c r="F149" s="65" t="str">
        <f>+F86</f>
        <v>DA</v>
      </c>
      <c r="G149" s="87">
        <v>1</v>
      </c>
      <c r="H149" s="65"/>
      <c r="I149" s="53">
        <f>+G149*D149</f>
        <v>0</v>
      </c>
      <c r="J149" s="4"/>
      <c r="K149" s="83"/>
    </row>
    <row r="150" spans="1:11">
      <c r="A150" s="57"/>
      <c r="B150" s="109"/>
      <c r="C150" s="4"/>
      <c r="D150" s="4"/>
      <c r="E150" s="4"/>
      <c r="F150" s="4"/>
      <c r="G150" s="42"/>
      <c r="H150" s="4"/>
      <c r="I150" s="4"/>
      <c r="J150" s="4"/>
    </row>
    <row r="151" spans="1:11">
      <c r="A151" s="57">
        <f>A149+1</f>
        <v>32</v>
      </c>
      <c r="B151" s="22" t="s">
        <v>36</v>
      </c>
      <c r="C151" s="4" t="str">
        <f>"(Note "&amp;A$231&amp;")"</f>
        <v>(Note G)</v>
      </c>
      <c r="D151" s="4"/>
      <c r="E151" s="4"/>
      <c r="F151" s="3"/>
      <c r="G151" s="82"/>
      <c r="H151" s="4"/>
      <c r="I151" s="3"/>
      <c r="J151" s="4"/>
    </row>
    <row r="152" spans="1:11">
      <c r="A152" s="57">
        <f t="shared" si="13"/>
        <v>33</v>
      </c>
      <c r="B152" s="110" t="s">
        <v>421</v>
      </c>
      <c r="C152" s="4" t="s">
        <v>762</v>
      </c>
      <c r="D152" s="111">
        <f>IF(D232&gt;0,1-(((1-D233)*(1-D232))/(1-D233*D232*D234)),0)</f>
        <v>0.28892099999999998</v>
      </c>
      <c r="E152" s="4"/>
      <c r="F152" s="3"/>
      <c r="G152" s="82"/>
      <c r="H152" s="4"/>
      <c r="I152" s="3"/>
      <c r="J152" s="4"/>
    </row>
    <row r="153" spans="1:11">
      <c r="A153" s="57">
        <f t="shared" si="13"/>
        <v>34</v>
      </c>
      <c r="B153" s="3" t="s">
        <v>37</v>
      </c>
      <c r="C153" s="4" t="s">
        <v>1117</v>
      </c>
      <c r="D153" s="111">
        <f>IF(I203&gt;0,(D152/(1-D152))*(1-I203/I206),0)</f>
        <v>0.3064302856681555</v>
      </c>
      <c r="E153" s="4"/>
      <c r="F153" s="3"/>
      <c r="G153" s="82"/>
      <c r="H153" s="4"/>
      <c r="I153" s="3"/>
      <c r="J153" s="4"/>
      <c r="K153" s="3"/>
    </row>
    <row r="154" spans="1:11">
      <c r="A154" s="57">
        <f t="shared" si="13"/>
        <v>35</v>
      </c>
      <c r="B154" s="22" t="s">
        <v>240</v>
      </c>
      <c r="C154" s="4" t="s">
        <v>241</v>
      </c>
      <c r="D154" s="4"/>
      <c r="E154" s="4"/>
      <c r="F154" s="3"/>
      <c r="G154" s="82"/>
      <c r="H154" s="4"/>
      <c r="I154" s="3"/>
      <c r="J154" s="4"/>
      <c r="K154" s="3"/>
    </row>
    <row r="155" spans="1:11">
      <c r="A155" s="57">
        <f t="shared" si="13"/>
        <v>36</v>
      </c>
      <c r="B155" s="22"/>
      <c r="D155" s="4"/>
      <c r="E155" s="4"/>
      <c r="F155" s="3"/>
      <c r="G155" s="82"/>
      <c r="H155" s="4"/>
      <c r="I155" s="3"/>
      <c r="J155" s="4"/>
      <c r="K155" s="3"/>
    </row>
    <row r="156" spans="1:11">
      <c r="A156" s="57">
        <f>+A155+1</f>
        <v>37</v>
      </c>
      <c r="B156" s="110" t="str">
        <f>"      1 / (1 - T)  =  (T from line "&amp;A152&amp;")"</f>
        <v xml:space="preserve">      1 / (1 - T)  =  (T from line 33)</v>
      </c>
      <c r="C156" s="4"/>
      <c r="D156" s="111">
        <f>IF(D121=0,0,1/(1-D152))</f>
        <v>1.4063135038441579</v>
      </c>
      <c r="E156" s="4"/>
      <c r="F156" s="3"/>
      <c r="G156" s="82"/>
      <c r="H156" s="4"/>
      <c r="I156" s="39"/>
      <c r="J156" s="4"/>
      <c r="K156" s="3"/>
    </row>
    <row r="157" spans="1:11">
      <c r="A157" s="57">
        <f t="shared" si="13"/>
        <v>38</v>
      </c>
      <c r="B157" s="22" t="s">
        <v>1326</v>
      </c>
      <c r="C157" s="4" t="s">
        <v>1327</v>
      </c>
      <c r="D157" s="39">
        <f>-'5-P3 Support'!K21</f>
        <v>-2976.3507628454327</v>
      </c>
      <c r="E157" s="4"/>
      <c r="F157" s="3"/>
      <c r="G157" s="82"/>
      <c r="H157" s="4"/>
      <c r="I157" s="39"/>
      <c r="J157" s="4"/>
      <c r="K157" s="3"/>
    </row>
    <row r="158" spans="1:11">
      <c r="A158" s="57">
        <f t="shared" si="13"/>
        <v>39</v>
      </c>
      <c r="B158" s="22" t="s">
        <v>1328</v>
      </c>
      <c r="C158" s="4" t="s">
        <v>1329</v>
      </c>
      <c r="D158" s="39">
        <f>-'5-P3 Support'!L21</f>
        <v>-3250819.9806056628</v>
      </c>
      <c r="E158" s="4"/>
      <c r="F158" s="3"/>
      <c r="G158" s="87"/>
      <c r="H158" s="4"/>
      <c r="I158" s="39"/>
      <c r="J158" s="4"/>
      <c r="K158" s="3"/>
    </row>
    <row r="159" spans="1:11">
      <c r="A159" s="57">
        <f t="shared" si="13"/>
        <v>40</v>
      </c>
      <c r="B159" s="22" t="s">
        <v>281</v>
      </c>
      <c r="C159" s="4" t="s">
        <v>1096</v>
      </c>
      <c r="D159" s="39">
        <f>'5-P3 Support'!M21</f>
        <v>282655.2075020941</v>
      </c>
      <c r="E159" s="4"/>
      <c r="F159" s="3"/>
      <c r="G159" s="82"/>
      <c r="H159" s="4"/>
      <c r="I159" s="39"/>
      <c r="J159" s="4"/>
      <c r="K159" s="3"/>
    </row>
    <row r="160" spans="1:11">
      <c r="A160" s="57">
        <f t="shared" si="13"/>
        <v>41</v>
      </c>
      <c r="B160" s="110" t="s">
        <v>236</v>
      </c>
      <c r="C160" s="112" t="str">
        <f>"(Line "&amp;A153&amp;" times Line "&amp;A167&amp;")"</f>
        <v>(Line 34 times Line 47)</v>
      </c>
      <c r="D160" s="113">
        <f>+D153*D167</f>
        <v>154434265.55214426</v>
      </c>
      <c r="E160" s="43"/>
      <c r="F160" s="43" t="s">
        <v>22</v>
      </c>
      <c r="G160" s="42"/>
      <c r="H160" s="43"/>
      <c r="I160" s="113">
        <f>+D153*I167</f>
        <v>22727529.952657212</v>
      </c>
      <c r="J160" s="4"/>
      <c r="K160" s="45" t="s">
        <v>2</v>
      </c>
    </row>
    <row r="161" spans="1:11">
      <c r="A161" s="57">
        <f t="shared" si="13"/>
        <v>42</v>
      </c>
      <c r="B161" s="3" t="s">
        <v>237</v>
      </c>
      <c r="C161" s="112" t="str">
        <f>"(Line "&amp;A156&amp;" times Line "&amp;A157&amp;")"</f>
        <v>(Line 37 times Line 38)</v>
      </c>
      <c r="D161" s="113">
        <f>+D$156*D157</f>
        <v>-4185.6822699663926</v>
      </c>
      <c r="E161" s="43"/>
      <c r="F161" s="114" t="s">
        <v>15</v>
      </c>
      <c r="G161" s="42">
        <v>1</v>
      </c>
      <c r="H161" s="43"/>
      <c r="I161" s="113">
        <f>+G161*D161</f>
        <v>-4185.6822699663926</v>
      </c>
      <c r="J161" s="4"/>
      <c r="K161" s="45"/>
    </row>
    <row r="162" spans="1:11">
      <c r="A162" s="57">
        <f t="shared" si="13"/>
        <v>43</v>
      </c>
      <c r="B162" s="3" t="s">
        <v>238</v>
      </c>
      <c r="C162" s="112" t="str">
        <f>"(Line "&amp;A156&amp;" times Line "&amp;A158&amp;")"</f>
        <v>(Line 37 times Line 39)</v>
      </c>
      <c r="D162" s="113">
        <f>+D$156*D158</f>
        <v>-4571672.0372921471</v>
      </c>
      <c r="E162" s="43"/>
      <c r="F162" s="114" t="s">
        <v>15</v>
      </c>
      <c r="G162" s="42">
        <v>1</v>
      </c>
      <c r="H162" s="43"/>
      <c r="I162" s="113">
        <f>+G162*D162</f>
        <v>-4571672.0372921471</v>
      </c>
      <c r="J162" s="4"/>
      <c r="K162" s="45"/>
    </row>
    <row r="163" spans="1:11" ht="13.5" thickBot="1">
      <c r="A163" s="57">
        <f t="shared" si="13"/>
        <v>44</v>
      </c>
      <c r="B163" s="3" t="s">
        <v>109</v>
      </c>
      <c r="C163" s="112" t="str">
        <f>"(Line "&amp;A156&amp;" times Line "&amp;A159&amp;")"</f>
        <v>(Line 37 times Line 40)</v>
      </c>
      <c r="D163" s="113">
        <f>+D$156*D159</f>
        <v>397501.83524206746</v>
      </c>
      <c r="E163" s="43"/>
      <c r="F163" s="114" t="s">
        <v>15</v>
      </c>
      <c r="G163" s="42">
        <v>1</v>
      </c>
      <c r="H163" s="43"/>
      <c r="I163" s="115">
        <f>+G163*D163</f>
        <v>397501.83524206746</v>
      </c>
      <c r="J163" s="4"/>
      <c r="K163" s="45"/>
    </row>
    <row r="164" spans="1:11">
      <c r="A164" s="57">
        <f t="shared" si="13"/>
        <v>45</v>
      </c>
      <c r="B164" s="110" t="s">
        <v>239</v>
      </c>
      <c r="C164" s="3" t="str">
        <f>"(Sum of Lines "&amp;A160&amp;" through "&amp;A163&amp;")"</f>
        <v>(Sum of Lines 41 through 44)</v>
      </c>
      <c r="D164" s="113">
        <f>SUM(D160:D163)</f>
        <v>150255909.66782421</v>
      </c>
      <c r="E164" s="43"/>
      <c r="F164" s="43" t="s">
        <v>2</v>
      </c>
      <c r="G164" s="116" t="s">
        <v>2</v>
      </c>
      <c r="H164" s="43"/>
      <c r="I164" s="113">
        <f>SUM(I160:I163)</f>
        <v>18549174.068337161</v>
      </c>
      <c r="J164" s="4"/>
      <c r="K164" s="4"/>
    </row>
    <row r="165" spans="1:11">
      <c r="A165" s="57"/>
      <c r="B165" s="3"/>
      <c r="C165" s="117"/>
      <c r="D165" s="39"/>
      <c r="E165" s="4"/>
      <c r="F165" s="4"/>
      <c r="G165" s="118"/>
      <c r="H165" s="4"/>
      <c r="I165" s="39"/>
      <c r="J165" s="4"/>
      <c r="K165" s="4"/>
    </row>
    <row r="166" spans="1:11">
      <c r="A166" s="57">
        <f>+A164+1</f>
        <v>46</v>
      </c>
      <c r="B166" s="22" t="s">
        <v>39</v>
      </c>
      <c r="J166" s="4"/>
      <c r="K166" s="3"/>
    </row>
    <row r="167" spans="1:11">
      <c r="A167" s="57">
        <f>A166+1</f>
        <v>47</v>
      </c>
      <c r="B167" s="110" t="s">
        <v>291</v>
      </c>
      <c r="C167" s="110" t="s">
        <v>1116</v>
      </c>
      <c r="D167" s="39">
        <f>+$I206*D101</f>
        <v>503978466.80006933</v>
      </c>
      <c r="E167" s="43"/>
      <c r="F167" s="43" t="s">
        <v>22</v>
      </c>
      <c r="G167" s="119"/>
      <c r="H167" s="43"/>
      <c r="I167" s="39">
        <f>+$I206*I101</f>
        <v>74168680.498081312</v>
      </c>
      <c r="K167" s="83"/>
    </row>
    <row r="168" spans="1:11">
      <c r="A168" s="57"/>
      <c r="B168" s="110"/>
      <c r="C168" s="110"/>
      <c r="D168" s="39"/>
      <c r="E168" s="43"/>
      <c r="F168" s="43"/>
      <c r="G168" s="119"/>
      <c r="H168" s="43"/>
      <c r="I168" s="39"/>
      <c r="K168" s="83"/>
    </row>
    <row r="169" spans="1:11">
      <c r="A169" s="57" t="s">
        <v>1210</v>
      </c>
      <c r="B169" s="22" t="s">
        <v>1330</v>
      </c>
      <c r="C169" s="3" t="s">
        <v>1331</v>
      </c>
      <c r="D169" s="53">
        <f>-'10 - Pension Asset Discount'!I20</f>
        <v>-924258.64268731663</v>
      </c>
      <c r="E169" s="43"/>
      <c r="F169" s="43" t="s">
        <v>76</v>
      </c>
      <c r="G169" s="42">
        <v>1</v>
      </c>
      <c r="H169" s="43"/>
      <c r="I169" s="53">
        <f>D169*G169</f>
        <v>-924258.64268731663</v>
      </c>
      <c r="J169" s="4"/>
      <c r="K169" s="83"/>
    </row>
    <row r="170" spans="1:11" ht="13.5" thickBot="1">
      <c r="A170" s="57">
        <f>A167+1</f>
        <v>48</v>
      </c>
      <c r="B170" s="22" t="s">
        <v>1332</v>
      </c>
      <c r="C170" s="4" t="str">
        <f>"(Sum of Lines "&amp;A125&amp;", "&amp;A136&amp;", "&amp;A147&amp;", "&amp;A149&amp;", "&amp;A164&amp;", "&amp;A167&amp;")"</f>
        <v>(Sum of Lines 12, 20, 30, 31, 45, 47)</v>
      </c>
      <c r="D170" s="120">
        <f>+D167+D164+D147+D136+D125+D149+D169</f>
        <v>1124275690.2598755</v>
      </c>
      <c r="E170" s="43"/>
      <c r="F170" s="43"/>
      <c r="G170" s="100"/>
      <c r="H170" s="43"/>
      <c r="I170" s="120">
        <f>+I167+I164+I147+I136+I125+I149+I169</f>
        <v>196474424.23811662</v>
      </c>
      <c r="J170" s="25"/>
      <c r="K170" s="25"/>
    </row>
    <row r="171" spans="1:11" ht="1.1499999999999999" customHeight="1" thickTop="1">
      <c r="A171" s="57"/>
      <c r="B171" s="22"/>
      <c r="C171" s="4"/>
      <c r="D171" s="100"/>
      <c r="E171" s="43"/>
      <c r="F171" s="43"/>
      <c r="G171" s="100"/>
      <c r="H171" s="43"/>
      <c r="I171" s="53"/>
      <c r="J171" s="25"/>
      <c r="K171" s="25"/>
    </row>
    <row r="172" spans="1:11">
      <c r="A172" s="57"/>
      <c r="B172" s="121"/>
      <c r="C172" s="43"/>
      <c r="D172" s="100"/>
      <c r="E172" s="100"/>
      <c r="F172" s="100"/>
      <c r="G172" s="100"/>
      <c r="H172" s="100"/>
      <c r="I172" s="100"/>
      <c r="J172" s="25"/>
      <c r="K172" s="25"/>
    </row>
    <row r="173" spans="1:11">
      <c r="A173" s="24"/>
      <c r="B173" s="3"/>
      <c r="C173" s="3"/>
      <c r="D173" s="3"/>
      <c r="E173" s="3"/>
      <c r="F173" s="3"/>
      <c r="G173" s="3"/>
      <c r="H173" s="3"/>
      <c r="I173" s="3"/>
      <c r="J173" s="4"/>
      <c r="K173" s="102" t="s">
        <v>110</v>
      </c>
    </row>
    <row r="174" spans="1:11">
      <c r="A174" s="24"/>
      <c r="B174" s="3"/>
      <c r="C174" s="3"/>
      <c r="D174" s="3"/>
      <c r="E174" s="3"/>
      <c r="F174" s="3"/>
      <c r="G174" s="3"/>
      <c r="H174" s="3"/>
      <c r="I174" s="3"/>
      <c r="J174" s="4"/>
      <c r="K174" s="4"/>
    </row>
    <row r="175" spans="1:11">
      <c r="A175" s="24"/>
      <c r="B175" s="22" t="s">
        <v>1</v>
      </c>
      <c r="C175" s="3"/>
      <c r="D175" s="122" t="s">
        <v>72</v>
      </c>
      <c r="E175" s="3"/>
      <c r="F175" s="3"/>
      <c r="G175" s="3"/>
      <c r="H175" s="3"/>
      <c r="I175" s="18"/>
      <c r="J175" s="4"/>
      <c r="K175" s="123" t="str">
        <f>K3</f>
        <v>For  the 12 months ended 12/31/2020</v>
      </c>
    </row>
    <row r="176" spans="1:11">
      <c r="A176" s="24"/>
      <c r="B176" s="22"/>
      <c r="C176" s="3"/>
      <c r="D176" s="122" t="s">
        <v>98</v>
      </c>
      <c r="E176" s="3"/>
      <c r="F176" s="3"/>
      <c r="G176" s="3"/>
      <c r="H176" s="3"/>
      <c r="I176" s="3"/>
      <c r="J176" s="4"/>
      <c r="K176" s="4"/>
    </row>
    <row r="177" spans="1:11">
      <c r="A177" s="24"/>
      <c r="B177" s="3"/>
      <c r="C177" s="3"/>
      <c r="D177" s="122" t="str">
        <f>+D108</f>
        <v>PECO Energy Company</v>
      </c>
      <c r="E177" s="3"/>
      <c r="F177" s="3"/>
      <c r="G177" s="3"/>
      <c r="H177" s="3"/>
      <c r="I177" s="3"/>
      <c r="J177" s="4"/>
      <c r="K177" s="4"/>
    </row>
    <row r="178" spans="1:11">
      <c r="A178" s="1028"/>
      <c r="B178" s="1028"/>
      <c r="C178" s="1028"/>
      <c r="D178" s="1028"/>
      <c r="E178" s="1028"/>
      <c r="F178" s="1028"/>
      <c r="G178" s="1028"/>
      <c r="H178" s="1028"/>
      <c r="I178" s="1028"/>
      <c r="J178" s="1028"/>
      <c r="K178" s="1028"/>
    </row>
    <row r="179" spans="1:11" s="126" customFormat="1">
      <c r="A179" s="124"/>
      <c r="B179" s="24" t="s">
        <v>3</v>
      </c>
      <c r="C179" s="24" t="s">
        <v>4</v>
      </c>
      <c r="D179" s="24" t="s">
        <v>5</v>
      </c>
      <c r="E179" s="4" t="s">
        <v>2</v>
      </c>
      <c r="F179" s="4"/>
      <c r="G179" s="31" t="s">
        <v>6</v>
      </c>
      <c r="H179" s="4"/>
      <c r="I179" s="31" t="s">
        <v>7</v>
      </c>
      <c r="J179" s="125"/>
      <c r="K179" s="125"/>
    </row>
    <row r="180" spans="1:11">
      <c r="A180" s="24"/>
      <c r="B180" s="3"/>
      <c r="C180" s="22"/>
      <c r="D180" s="22"/>
      <c r="E180" s="22"/>
      <c r="F180" s="22"/>
      <c r="G180" s="22"/>
      <c r="H180" s="22"/>
      <c r="I180" s="22"/>
      <c r="J180" s="22"/>
      <c r="K180" s="22"/>
    </row>
    <row r="181" spans="1:11">
      <c r="A181" s="24"/>
      <c r="B181" s="3"/>
      <c r="C181" s="80" t="s">
        <v>40</v>
      </c>
      <c r="D181" s="3"/>
      <c r="E181" s="25"/>
      <c r="F181" s="25"/>
      <c r="G181" s="25"/>
      <c r="H181" s="25"/>
      <c r="I181" s="25"/>
      <c r="J181" s="4"/>
      <c r="K181" s="4"/>
    </row>
    <row r="182" spans="1:11">
      <c r="A182" s="24" t="s">
        <v>8</v>
      </c>
      <c r="B182" s="80"/>
      <c r="C182" s="25"/>
      <c r="D182" s="25"/>
      <c r="E182" s="25"/>
      <c r="F182" s="25"/>
      <c r="G182" s="25"/>
      <c r="H182" s="25"/>
      <c r="I182" s="25"/>
      <c r="J182" s="4"/>
      <c r="K182" s="4"/>
    </row>
    <row r="183" spans="1:11" ht="13.5" thickBot="1">
      <c r="A183" s="35" t="s">
        <v>10</v>
      </c>
      <c r="B183" s="22" t="s">
        <v>41</v>
      </c>
      <c r="C183" s="25"/>
      <c r="D183" s="25"/>
      <c r="E183" s="25"/>
      <c r="F183" s="25"/>
      <c r="G183" s="25"/>
      <c r="H183" s="3"/>
      <c r="I183" s="3"/>
      <c r="J183" s="4"/>
      <c r="K183" s="4"/>
    </row>
    <row r="184" spans="1:11">
      <c r="A184" s="24">
        <v>1</v>
      </c>
      <c r="B184" s="25" t="s">
        <v>230</v>
      </c>
      <c r="C184" s="25" t="s">
        <v>299</v>
      </c>
      <c r="D184" s="4"/>
      <c r="E184" s="4"/>
      <c r="F184" s="4"/>
      <c r="G184" s="4"/>
      <c r="H184" s="4"/>
      <c r="I184" s="39">
        <f>D47</f>
        <v>1723143700.8466916</v>
      </c>
      <c r="J184" s="4"/>
      <c r="K184" s="4"/>
    </row>
    <row r="185" spans="1:11">
      <c r="A185" s="24">
        <f>+A184+1</f>
        <v>2</v>
      </c>
      <c r="B185" s="25" t="s">
        <v>710</v>
      </c>
      <c r="C185" s="3" t="s">
        <v>228</v>
      </c>
      <c r="D185" s="3"/>
      <c r="E185" s="3"/>
      <c r="F185" s="3"/>
      <c r="G185" s="3"/>
      <c r="H185" s="3"/>
      <c r="I185" s="879">
        <v>0</v>
      </c>
      <c r="J185" s="4"/>
      <c r="K185" s="4"/>
    </row>
    <row r="186" spans="1:11" ht="13.5" thickBot="1">
      <c r="A186" s="24">
        <f>+A185+1</f>
        <v>3</v>
      </c>
      <c r="B186" s="127" t="s">
        <v>231</v>
      </c>
      <c r="C186" s="127" t="s">
        <v>229</v>
      </c>
      <c r="D186" s="18"/>
      <c r="E186" s="4"/>
      <c r="F186" s="4"/>
      <c r="G186" s="27"/>
      <c r="H186" s="4"/>
      <c r="I186" s="882">
        <v>0</v>
      </c>
      <c r="J186" s="4"/>
      <c r="K186" s="4"/>
    </row>
    <row r="187" spans="1:11">
      <c r="A187" s="24">
        <f t="shared" ref="A187:A197" si="14">+A186+1</f>
        <v>4</v>
      </c>
      <c r="B187" s="25" t="s">
        <v>711</v>
      </c>
      <c r="C187" s="25" t="s">
        <v>232</v>
      </c>
      <c r="D187" s="4"/>
      <c r="E187" s="4"/>
      <c r="F187" s="4"/>
      <c r="G187" s="27"/>
      <c r="H187" s="4"/>
      <c r="I187" s="39">
        <f>I184-I185-I186</f>
        <v>1723143700.8466916</v>
      </c>
      <c r="J187" s="4"/>
      <c r="K187" s="4"/>
    </row>
    <row r="188" spans="1:11">
      <c r="A188" s="24"/>
      <c r="B188" s="3"/>
      <c r="C188" s="25"/>
      <c r="D188" s="4"/>
      <c r="E188" s="4"/>
      <c r="F188" s="4"/>
      <c r="G188" s="27"/>
      <c r="H188" s="4"/>
      <c r="I188" s="39"/>
      <c r="J188" s="4"/>
      <c r="K188" s="4"/>
    </row>
    <row r="189" spans="1:11">
      <c r="A189" s="24">
        <f>+A187+1</f>
        <v>5</v>
      </c>
      <c r="B189" s="25" t="s">
        <v>712</v>
      </c>
      <c r="C189" s="34" t="s">
        <v>233</v>
      </c>
      <c r="D189" s="30"/>
      <c r="E189" s="30"/>
      <c r="F189" s="30"/>
      <c r="G189" s="31"/>
      <c r="H189" s="4" t="s">
        <v>42</v>
      </c>
      <c r="I189" s="84">
        <f>IF(I184&gt;0,I187/I184,0)</f>
        <v>1</v>
      </c>
      <c r="J189" s="4"/>
      <c r="K189" s="4"/>
    </row>
    <row r="190" spans="1:11">
      <c r="A190" s="24"/>
      <c r="B190" s="3"/>
      <c r="C190" s="3"/>
      <c r="D190" s="3"/>
      <c r="E190" s="3"/>
      <c r="F190" s="3"/>
      <c r="G190" s="3"/>
      <c r="H190" s="3"/>
      <c r="I190" s="3"/>
      <c r="J190" s="3"/>
      <c r="K190" s="3"/>
    </row>
    <row r="191" spans="1:11">
      <c r="A191" s="24">
        <f>+A189+1</f>
        <v>6</v>
      </c>
      <c r="B191" s="22" t="s">
        <v>111</v>
      </c>
      <c r="C191" s="4"/>
      <c r="D191" s="4"/>
      <c r="E191" s="4"/>
      <c r="F191" s="4"/>
      <c r="G191" s="4"/>
      <c r="H191" s="4"/>
      <c r="I191" s="4"/>
      <c r="J191" s="4"/>
      <c r="K191" s="4"/>
    </row>
    <row r="192" spans="1:11" ht="13.5" thickBot="1">
      <c r="A192" s="24"/>
      <c r="B192" s="22"/>
      <c r="C192" s="128" t="s">
        <v>43</v>
      </c>
      <c r="D192" s="129" t="s">
        <v>44</v>
      </c>
      <c r="E192" s="129" t="s">
        <v>15</v>
      </c>
      <c r="F192" s="4"/>
      <c r="G192" s="129" t="s">
        <v>45</v>
      </c>
      <c r="H192" s="4"/>
      <c r="I192" s="4"/>
      <c r="J192" s="4"/>
      <c r="K192" s="4"/>
    </row>
    <row r="193" spans="1:11">
      <c r="A193" s="24">
        <f>+A191+1</f>
        <v>7</v>
      </c>
      <c r="B193" s="22" t="s">
        <v>800</v>
      </c>
      <c r="C193" s="4" t="s">
        <v>46</v>
      </c>
      <c r="D193" s="879">
        <v>0</v>
      </c>
      <c r="E193" s="130">
        <v>0</v>
      </c>
      <c r="F193" s="131"/>
      <c r="G193" s="39">
        <f>D193*E193</f>
        <v>0</v>
      </c>
      <c r="H193" s="43"/>
      <c r="I193" s="43"/>
      <c r="J193" s="4"/>
      <c r="K193" s="4"/>
    </row>
    <row r="194" spans="1:11">
      <c r="A194" s="24">
        <f t="shared" si="14"/>
        <v>8</v>
      </c>
      <c r="B194" s="22" t="s">
        <v>797</v>
      </c>
      <c r="C194" s="4" t="s">
        <v>272</v>
      </c>
      <c r="D194" s="879">
        <v>12935717</v>
      </c>
      <c r="E194" s="130">
        <f>+I189</f>
        <v>1</v>
      </c>
      <c r="F194" s="131"/>
      <c r="G194" s="39">
        <f>D194*E194</f>
        <v>12935717</v>
      </c>
      <c r="H194" s="43"/>
      <c r="I194" s="43"/>
      <c r="J194" s="4"/>
      <c r="K194" s="4"/>
    </row>
    <row r="195" spans="1:11">
      <c r="A195" s="24">
        <f t="shared" si="14"/>
        <v>9</v>
      </c>
      <c r="B195" s="22" t="s">
        <v>798</v>
      </c>
      <c r="C195" s="4" t="s">
        <v>95</v>
      </c>
      <c r="D195" s="879">
        <v>91501226</v>
      </c>
      <c r="E195" s="130">
        <v>0</v>
      </c>
      <c r="F195" s="131"/>
      <c r="G195" s="39">
        <f>D195*E195</f>
        <v>0</v>
      </c>
      <c r="H195" s="43"/>
      <c r="I195" s="132" t="s">
        <v>47</v>
      </c>
      <c r="J195" s="4"/>
      <c r="K195" s="4"/>
    </row>
    <row r="196" spans="1:11" ht="13.5" thickBot="1">
      <c r="A196" s="24">
        <f t="shared" si="14"/>
        <v>10</v>
      </c>
      <c r="B196" s="22" t="s">
        <v>799</v>
      </c>
      <c r="C196" s="4" t="s">
        <v>273</v>
      </c>
      <c r="D196" s="882">
        <v>32462198</v>
      </c>
      <c r="E196" s="130">
        <v>0</v>
      </c>
      <c r="F196" s="131"/>
      <c r="G196" s="46">
        <f>D196*E196</f>
        <v>0</v>
      </c>
      <c r="H196" s="43"/>
      <c r="I196" s="133" t="s">
        <v>48</v>
      </c>
      <c r="J196" s="4"/>
      <c r="K196" s="4"/>
    </row>
    <row r="197" spans="1:11">
      <c r="A197" s="24">
        <f t="shared" si="14"/>
        <v>11</v>
      </c>
      <c r="B197" s="22" t="s">
        <v>368</v>
      </c>
      <c r="C197" s="4" t="s">
        <v>234</v>
      </c>
      <c r="D197" s="39">
        <f>SUM(D193:D196)</f>
        <v>136899141</v>
      </c>
      <c r="E197" s="4"/>
      <c r="F197" s="4"/>
      <c r="G197" s="39">
        <f>SUM(G193:G196)</f>
        <v>12935717</v>
      </c>
      <c r="H197" s="134" t="s">
        <v>49</v>
      </c>
      <c r="I197" s="42">
        <f>IF(G197&gt;0,G197/D197,0)</f>
        <v>9.4490855863003556E-2</v>
      </c>
      <c r="J197" s="27" t="s">
        <v>49</v>
      </c>
      <c r="K197" s="4" t="s">
        <v>50</v>
      </c>
    </row>
    <row r="198" spans="1:11">
      <c r="A198" s="24"/>
      <c r="B198" s="22" t="s">
        <v>2</v>
      </c>
      <c r="C198" s="4" t="s">
        <v>2</v>
      </c>
      <c r="D198" s="3"/>
      <c r="E198" s="4"/>
      <c r="F198" s="4"/>
      <c r="G198" s="3"/>
      <c r="H198" s="3"/>
      <c r="I198" s="3"/>
      <c r="J198" s="3"/>
      <c r="K198" s="4"/>
    </row>
    <row r="200" spans="1:11" ht="13.5" thickBot="1">
      <c r="A200" s="24">
        <f>A197+1</f>
        <v>12</v>
      </c>
      <c r="B200" s="22" t="s">
        <v>51</v>
      </c>
      <c r="C200" s="4" t="s">
        <v>250</v>
      </c>
      <c r="D200" s="4"/>
      <c r="E200" s="4"/>
      <c r="F200" s="4"/>
      <c r="G200" s="4"/>
      <c r="H200" s="4"/>
      <c r="I200" s="129" t="s">
        <v>44</v>
      </c>
      <c r="J200" s="4"/>
      <c r="K200" s="4"/>
    </row>
    <row r="201" spans="1:11">
      <c r="A201" s="24">
        <f t="shared" ref="A201:A206" si="15">+A200+1</f>
        <v>13</v>
      </c>
      <c r="B201" s="22"/>
      <c r="C201" s="4"/>
      <c r="D201" s="4"/>
      <c r="E201" s="4"/>
      <c r="F201" s="4"/>
      <c r="G201" s="27" t="s">
        <v>52</v>
      </c>
      <c r="H201" s="4"/>
      <c r="I201" s="4"/>
      <c r="J201" s="4"/>
      <c r="K201" s="4"/>
    </row>
    <row r="202" spans="1:11" ht="13.5" thickBot="1">
      <c r="A202" s="24">
        <f t="shared" si="15"/>
        <v>14</v>
      </c>
      <c r="B202" s="22"/>
      <c r="C202" s="4"/>
      <c r="D202" s="35" t="s">
        <v>44</v>
      </c>
      <c r="E202" s="35" t="s">
        <v>53</v>
      </c>
      <c r="F202" s="4"/>
      <c r="G202" s="122" t="str">
        <f>"(Notes "&amp;A239&amp;", "&amp;A245&amp;", &amp; "&amp;A246&amp;")"</f>
        <v>(Notes K, Q, &amp; R)</v>
      </c>
      <c r="H202" s="4"/>
      <c r="I202" s="35" t="s">
        <v>54</v>
      </c>
      <c r="J202" s="4"/>
      <c r="K202" s="4"/>
    </row>
    <row r="203" spans="1:11">
      <c r="A203" s="24">
        <f t="shared" si="15"/>
        <v>15</v>
      </c>
      <c r="B203" s="22" t="s">
        <v>235</v>
      </c>
      <c r="C203" s="3" t="s">
        <v>763</v>
      </c>
      <c r="D203" s="33">
        <f>+'5-P3 Support'!F42</f>
        <v>3409418609</v>
      </c>
      <c r="E203" s="82">
        <f>+'5-P3 Support'!G42</f>
        <v>0.45590031584441404</v>
      </c>
      <c r="F203" s="41"/>
      <c r="G203" s="84">
        <f>+'5-P3 Support'!I42</f>
        <v>4.0263337461005806E-2</v>
      </c>
      <c r="H203" s="42"/>
      <c r="I203" s="82">
        <f>+'5-P3 Support'!K42</f>
        <v>1.8356068265422774E-2</v>
      </c>
      <c r="J203" s="104" t="s">
        <v>55</v>
      </c>
      <c r="K203" s="3"/>
    </row>
    <row r="204" spans="1:11">
      <c r="A204" s="24">
        <f t="shared" si="15"/>
        <v>16</v>
      </c>
      <c r="B204" s="22" t="s">
        <v>112</v>
      </c>
      <c r="C204" s="3" t="s">
        <v>764</v>
      </c>
      <c r="D204" s="33">
        <f>+'5-P3 Support'!F43</f>
        <v>0</v>
      </c>
      <c r="E204" s="82">
        <f>+'5-P3 Support'!G43</f>
        <v>0</v>
      </c>
      <c r="F204" s="41"/>
      <c r="G204" s="84">
        <f>+'5-P3 Support'!I43</f>
        <v>0</v>
      </c>
      <c r="H204" s="42"/>
      <c r="I204" s="82">
        <f>+'5-P3 Support'!K43</f>
        <v>0</v>
      </c>
      <c r="J204" s="4"/>
      <c r="K204" s="3"/>
    </row>
    <row r="205" spans="1:11" ht="13.5" thickBot="1">
      <c r="A205" s="24">
        <f t="shared" si="15"/>
        <v>17</v>
      </c>
      <c r="B205" s="22" t="s">
        <v>279</v>
      </c>
      <c r="C205" s="3" t="s">
        <v>765</v>
      </c>
      <c r="D205" s="36">
        <f>+'5-P3 Support'!F44</f>
        <v>4069011412.8900013</v>
      </c>
      <c r="E205" s="135">
        <f>+'5-P3 Support'!G44</f>
        <v>0.54409968415558596</v>
      </c>
      <c r="F205" s="136"/>
      <c r="G205" s="84">
        <f>+'5-P3 Support'!I44</f>
        <v>0.10349999999999999</v>
      </c>
      <c r="H205" s="42"/>
      <c r="I205" s="135">
        <f>+'5-P3 Support'!K44</f>
        <v>5.6314317310103147E-2</v>
      </c>
      <c r="J205" s="4"/>
      <c r="K205" s="3"/>
    </row>
    <row r="206" spans="1:11">
      <c r="A206" s="24">
        <f t="shared" si="15"/>
        <v>18</v>
      </c>
      <c r="B206" s="22" t="s">
        <v>227</v>
      </c>
      <c r="C206" s="3" t="s">
        <v>1097</v>
      </c>
      <c r="D206" s="33">
        <f>+'5-P3 Support'!F45</f>
        <v>7478430021.8900013</v>
      </c>
      <c r="E206" s="4" t="s">
        <v>2</v>
      </c>
      <c r="F206" s="4"/>
      <c r="G206" s="42"/>
      <c r="H206" s="42"/>
      <c r="I206" s="82">
        <f>+'5-P3 Support'!K45</f>
        <v>7.4670385575525924E-2</v>
      </c>
      <c r="J206" s="104" t="s">
        <v>56</v>
      </c>
      <c r="K206" s="3"/>
    </row>
    <row r="212" spans="1:11">
      <c r="A212" s="24"/>
      <c r="B212" s="23"/>
      <c r="C212" s="24"/>
      <c r="D212" s="4"/>
      <c r="E212" s="4"/>
      <c r="F212" s="4"/>
      <c r="G212" s="4"/>
      <c r="H212" s="25"/>
      <c r="I212" s="5"/>
      <c r="J212" s="4"/>
      <c r="K212" s="4"/>
    </row>
    <row r="213" spans="1:11">
      <c r="A213" s="24"/>
      <c r="B213" s="23"/>
      <c r="C213" s="24"/>
      <c r="D213" s="4"/>
      <c r="E213" s="4"/>
      <c r="F213" s="4"/>
      <c r="G213" s="4"/>
      <c r="H213" s="25"/>
      <c r="I213" s="5"/>
      <c r="J213" s="4"/>
      <c r="K213" s="4"/>
    </row>
    <row r="214" spans="1:11">
      <c r="A214" s="24"/>
      <c r="B214" s="22"/>
      <c r="C214" s="25"/>
      <c r="D214" s="4"/>
      <c r="E214" s="4"/>
      <c r="F214" s="4"/>
      <c r="G214" s="4"/>
      <c r="H214" s="25"/>
      <c r="I214" s="4"/>
      <c r="J214" s="25"/>
      <c r="K214" s="102" t="s">
        <v>113</v>
      </c>
    </row>
    <row r="215" spans="1:11">
      <c r="A215" s="24"/>
      <c r="B215" s="22"/>
      <c r="C215" s="25"/>
      <c r="D215" s="4"/>
      <c r="E215" s="4"/>
      <c r="F215" s="4"/>
      <c r="G215" s="4"/>
      <c r="H215" s="25"/>
      <c r="I215" s="4"/>
      <c r="J215" s="25"/>
      <c r="K215" s="4"/>
    </row>
    <row r="216" spans="1:11">
      <c r="A216" s="24"/>
      <c r="B216" s="23" t="s">
        <v>1</v>
      </c>
      <c r="C216" s="24"/>
      <c r="D216" s="27" t="s">
        <v>72</v>
      </c>
      <c r="E216" s="4"/>
      <c r="F216" s="4"/>
      <c r="G216" s="4"/>
      <c r="H216" s="25"/>
      <c r="I216" s="18"/>
      <c r="J216" s="3"/>
      <c r="K216" s="137" t="str">
        <f>K3</f>
        <v>For  the 12 months ended 12/31/2020</v>
      </c>
    </row>
    <row r="217" spans="1:11">
      <c r="A217" s="24"/>
      <c r="B217" s="23"/>
      <c r="C217" s="24"/>
      <c r="D217" s="27" t="s">
        <v>98</v>
      </c>
      <c r="E217" s="4"/>
      <c r="F217" s="4"/>
      <c r="G217" s="4"/>
      <c r="H217" s="25"/>
      <c r="I217" s="72"/>
      <c r="J217" s="3"/>
      <c r="K217" s="4"/>
    </row>
    <row r="218" spans="1:11">
      <c r="A218" s="24"/>
      <c r="B218" s="23"/>
      <c r="C218" s="24"/>
      <c r="D218" s="27" t="str">
        <f>+D177</f>
        <v>PECO Energy Company</v>
      </c>
      <c r="E218" s="4"/>
      <c r="F218" s="4"/>
      <c r="G218" s="4"/>
      <c r="H218" s="25"/>
      <c r="I218" s="72"/>
      <c r="J218" s="3"/>
      <c r="K218" s="4"/>
    </row>
    <row r="219" spans="1:11">
      <c r="A219" s="1028"/>
      <c r="B219" s="1028"/>
      <c r="C219" s="1028"/>
      <c r="D219" s="1028"/>
      <c r="E219" s="1028"/>
      <c r="F219" s="1028"/>
      <c r="G219" s="1028"/>
      <c r="H219" s="1028"/>
      <c r="I219" s="1028"/>
      <c r="J219" s="1028"/>
      <c r="K219" s="1028"/>
    </row>
    <row r="220" spans="1:11">
      <c r="A220" s="24"/>
      <c r="B220" s="23"/>
      <c r="C220" s="24"/>
      <c r="D220" s="4"/>
      <c r="E220" s="4"/>
      <c r="F220" s="4"/>
      <c r="G220" s="4"/>
      <c r="H220" s="25"/>
      <c r="I220" s="72"/>
      <c r="J220" s="3"/>
      <c r="K220" s="4"/>
    </row>
    <row r="221" spans="1:11">
      <c r="A221" s="24"/>
      <c r="B221" s="22" t="s">
        <v>57</v>
      </c>
      <c r="C221" s="24"/>
      <c r="D221" s="4"/>
      <c r="E221" s="4"/>
      <c r="F221" s="4"/>
      <c r="G221" s="4"/>
      <c r="H221" s="25"/>
      <c r="I221" s="4"/>
      <c r="J221" s="25"/>
      <c r="K221" s="4"/>
    </row>
    <row r="222" spans="1:11">
      <c r="A222" s="24"/>
      <c r="B222" s="22" t="s">
        <v>1271</v>
      </c>
      <c r="C222" s="24"/>
      <c r="D222" s="4"/>
      <c r="E222" s="4"/>
      <c r="F222" s="4"/>
      <c r="G222" s="4"/>
      <c r="H222" s="25"/>
      <c r="I222" s="4"/>
      <c r="J222" s="25"/>
      <c r="K222" s="4"/>
    </row>
    <row r="223" spans="1:11">
      <c r="A223" s="24"/>
      <c r="B223" s="22"/>
      <c r="C223" s="25"/>
      <c r="D223" s="4"/>
      <c r="E223" s="4"/>
      <c r="F223" s="4"/>
      <c r="G223" s="4"/>
      <c r="H223" s="25"/>
      <c r="I223" s="4"/>
      <c r="J223" s="25"/>
      <c r="K223" s="4"/>
    </row>
    <row r="224" spans="1:11" ht="13.5" thickBot="1">
      <c r="A224" s="35" t="s">
        <v>182</v>
      </c>
      <c r="B224" s="1029"/>
      <c r="C224" s="1029"/>
      <c r="D224" s="138"/>
      <c r="E224" s="138"/>
      <c r="F224" s="138"/>
      <c r="G224" s="138"/>
      <c r="H224" s="139"/>
      <c r="I224" s="138"/>
      <c r="J224" s="139"/>
      <c r="K224" s="138"/>
    </row>
    <row r="225" spans="1:11">
      <c r="A225" s="139" t="s">
        <v>183</v>
      </c>
      <c r="B225" s="1023" t="s">
        <v>369</v>
      </c>
      <c r="C225" s="1023"/>
      <c r="D225" s="1023"/>
      <c r="E225" s="1023"/>
      <c r="F225" s="1023"/>
      <c r="G225" s="1023"/>
      <c r="H225" s="1023"/>
      <c r="I225" s="1023"/>
      <c r="J225" s="1023"/>
      <c r="K225" s="1023"/>
    </row>
    <row r="226" spans="1:11" ht="29.25" customHeight="1">
      <c r="A226" s="139" t="s">
        <v>184</v>
      </c>
      <c r="B226" s="1023" t="s">
        <v>355</v>
      </c>
      <c r="C226" s="1023"/>
      <c r="D226" s="1023"/>
      <c r="E226" s="1023"/>
      <c r="F226" s="1023"/>
      <c r="G226" s="1023"/>
      <c r="H226" s="1023"/>
      <c r="I226" s="1023"/>
      <c r="J226" s="1023"/>
      <c r="K226" s="1023"/>
    </row>
    <row r="227" spans="1:11">
      <c r="A227" s="139" t="s">
        <v>60</v>
      </c>
      <c r="B227" s="1024" t="s">
        <v>369</v>
      </c>
      <c r="C227" s="1025"/>
      <c r="D227" s="1025"/>
      <c r="E227" s="1025"/>
      <c r="F227" s="1025"/>
      <c r="G227" s="1025"/>
      <c r="H227" s="1025"/>
      <c r="I227" s="1025"/>
      <c r="J227" s="1025"/>
      <c r="K227" s="1025"/>
    </row>
    <row r="228" spans="1:11" ht="17.45" customHeight="1">
      <c r="A228" s="139" t="s">
        <v>61</v>
      </c>
      <c r="B228" s="1023" t="s">
        <v>1334</v>
      </c>
      <c r="C228" s="1023"/>
      <c r="D228" s="1023"/>
      <c r="E228" s="1023"/>
      <c r="F228" s="1023"/>
      <c r="G228" s="1023"/>
      <c r="H228" s="1023"/>
      <c r="I228" s="1023"/>
      <c r="J228" s="1023"/>
      <c r="K228" s="1023"/>
    </row>
    <row r="229" spans="1:11" ht="74.45" customHeight="1">
      <c r="A229" s="139" t="s">
        <v>62</v>
      </c>
      <c r="B229" s="1023" t="s">
        <v>1392</v>
      </c>
      <c r="C229" s="1023"/>
      <c r="D229" s="1023"/>
      <c r="E229" s="1023"/>
      <c r="F229" s="1023"/>
      <c r="G229" s="1023"/>
      <c r="H229" s="1023"/>
      <c r="I229" s="1023"/>
      <c r="J229" s="1023"/>
      <c r="K229" s="1023"/>
    </row>
    <row r="230" spans="1:11" ht="30" customHeight="1">
      <c r="A230" s="139" t="s">
        <v>63</v>
      </c>
      <c r="B230" s="1023" t="s">
        <v>114</v>
      </c>
      <c r="C230" s="1023"/>
      <c r="D230" s="1023"/>
      <c r="E230" s="1023"/>
      <c r="F230" s="1023"/>
      <c r="G230" s="1023"/>
      <c r="H230" s="1023"/>
      <c r="I230" s="1023"/>
      <c r="J230" s="1023"/>
      <c r="K230" s="1023"/>
    </row>
    <row r="231" spans="1:11" ht="45.75" customHeight="1">
      <c r="A231" s="139" t="s">
        <v>64</v>
      </c>
      <c r="B231" s="1023" t="s">
        <v>430</v>
      </c>
      <c r="C231" s="1023"/>
      <c r="D231" s="1023"/>
      <c r="E231" s="1023"/>
      <c r="F231" s="1023"/>
      <c r="G231" s="1023"/>
      <c r="H231" s="1023"/>
      <c r="I231" s="1023"/>
      <c r="J231" s="1023"/>
      <c r="K231" s="1023"/>
    </row>
    <row r="232" spans="1:11">
      <c r="A232" s="139"/>
      <c r="B232" s="140" t="s">
        <v>68</v>
      </c>
      <c r="C232" s="140" t="s">
        <v>69</v>
      </c>
      <c r="D232" s="883">
        <v>0.21</v>
      </c>
      <c r="E232" s="140"/>
      <c r="F232" s="140"/>
      <c r="G232" s="140"/>
      <c r="H232" s="140"/>
      <c r="I232" s="140"/>
      <c r="J232" s="140"/>
      <c r="K232" s="140"/>
    </row>
    <row r="233" spans="1:11">
      <c r="A233" s="139"/>
      <c r="B233" s="140"/>
      <c r="C233" s="140" t="s">
        <v>70</v>
      </c>
      <c r="D233" s="884">
        <v>9.9900000000000003E-2</v>
      </c>
      <c r="E233" s="140" t="s">
        <v>115</v>
      </c>
      <c r="F233" s="140"/>
      <c r="G233" s="140"/>
      <c r="H233" s="140"/>
      <c r="I233" s="140"/>
      <c r="J233" s="140"/>
      <c r="K233" s="140"/>
    </row>
    <row r="234" spans="1:11">
      <c r="A234" s="139"/>
      <c r="B234" s="140"/>
      <c r="C234" s="140" t="s">
        <v>71</v>
      </c>
      <c r="D234" s="141">
        <v>0</v>
      </c>
      <c r="E234" s="140" t="s">
        <v>116</v>
      </c>
      <c r="F234" s="140"/>
      <c r="G234" s="140"/>
      <c r="H234" s="140"/>
      <c r="I234" s="140"/>
      <c r="J234" s="140"/>
      <c r="K234" s="140"/>
    </row>
    <row r="235" spans="1:11">
      <c r="A235" s="139"/>
      <c r="B235" s="140"/>
      <c r="C235" s="140"/>
      <c r="D235" s="142"/>
      <c r="E235" s="140"/>
      <c r="F235" s="140"/>
      <c r="G235" s="140"/>
      <c r="H235" s="140"/>
      <c r="I235" s="140"/>
      <c r="J235" s="140"/>
      <c r="K235" s="140"/>
    </row>
    <row r="236" spans="1:11" ht="19.5" customHeight="1">
      <c r="A236" s="139" t="s">
        <v>65</v>
      </c>
      <c r="B236" s="1023" t="s">
        <v>118</v>
      </c>
      <c r="C236" s="1023"/>
      <c r="D236" s="1023"/>
      <c r="E236" s="1023"/>
      <c r="F236" s="1023"/>
      <c r="G236" s="1023"/>
      <c r="H236" s="1023"/>
      <c r="I236" s="1023"/>
      <c r="J236" s="1023"/>
      <c r="K236" s="1023"/>
    </row>
    <row r="237" spans="1:11" ht="31.5" customHeight="1">
      <c r="A237" s="139" t="s">
        <v>66</v>
      </c>
      <c r="B237" s="1023" t="s">
        <v>119</v>
      </c>
      <c r="C237" s="1023"/>
      <c r="D237" s="1023"/>
      <c r="E237" s="1023"/>
      <c r="F237" s="1023"/>
      <c r="G237" s="1023"/>
      <c r="H237" s="1023"/>
      <c r="I237" s="1023"/>
      <c r="J237" s="1023"/>
      <c r="K237" s="1023"/>
    </row>
    <row r="238" spans="1:11">
      <c r="A238" s="139" t="s">
        <v>67</v>
      </c>
      <c r="B238" s="1024" t="s">
        <v>369</v>
      </c>
      <c r="C238" s="1025"/>
      <c r="D238" s="1025"/>
      <c r="E238" s="1025"/>
      <c r="F238" s="1025"/>
      <c r="G238" s="1025"/>
      <c r="H238" s="1025"/>
      <c r="I238" s="1025"/>
      <c r="J238" s="1025"/>
      <c r="K238" s="1025"/>
    </row>
    <row r="239" spans="1:11" ht="28.9" customHeight="1">
      <c r="A239" s="139" t="s">
        <v>99</v>
      </c>
      <c r="B239" s="1023" t="s">
        <v>1386</v>
      </c>
      <c r="C239" s="1023"/>
      <c r="D239" s="1023"/>
      <c r="E239" s="1023"/>
      <c r="F239" s="1023"/>
      <c r="G239" s="1023"/>
      <c r="H239" s="1023"/>
      <c r="I239" s="1023"/>
      <c r="J239" s="1023"/>
      <c r="K239" s="1023"/>
    </row>
    <row r="240" spans="1:11">
      <c r="A240" s="139" t="s">
        <v>185</v>
      </c>
      <c r="B240" s="1023" t="s">
        <v>369</v>
      </c>
      <c r="C240" s="1023"/>
      <c r="D240" s="1023"/>
      <c r="E240" s="1023"/>
      <c r="F240" s="1023"/>
      <c r="G240" s="1023"/>
      <c r="H240" s="1023"/>
      <c r="I240" s="1023"/>
      <c r="J240" s="1023"/>
      <c r="K240" s="1023"/>
    </row>
    <row r="241" spans="1:11">
      <c r="A241" s="139" t="s">
        <v>117</v>
      </c>
      <c r="B241" s="143" t="s">
        <v>369</v>
      </c>
      <c r="C241" s="144"/>
      <c r="D241" s="144"/>
      <c r="E241" s="144"/>
      <c r="F241" s="144"/>
      <c r="G241" s="144"/>
      <c r="H241" s="144"/>
      <c r="I241" s="144"/>
      <c r="J241" s="144"/>
      <c r="K241" s="144"/>
    </row>
    <row r="242" spans="1:11">
      <c r="A242" s="139" t="s">
        <v>186</v>
      </c>
      <c r="B242" s="1026" t="s">
        <v>1483</v>
      </c>
      <c r="C242" s="1026"/>
      <c r="D242" s="1026"/>
      <c r="E242" s="1026"/>
      <c r="F242" s="1026"/>
      <c r="G242" s="1026"/>
      <c r="H242" s="1026"/>
      <c r="I242" s="1026"/>
      <c r="J242" s="1026"/>
      <c r="K242" s="1026"/>
    </row>
    <row r="243" spans="1:11" ht="28.15" customHeight="1">
      <c r="A243" s="139" t="s">
        <v>120</v>
      </c>
      <c r="B243" s="1026" t="s">
        <v>1481</v>
      </c>
      <c r="C243" s="1026"/>
      <c r="D243" s="1026"/>
      <c r="E243" s="1026"/>
      <c r="F243" s="1026"/>
      <c r="G243" s="1026"/>
      <c r="H243" s="1026"/>
      <c r="I243" s="1026"/>
      <c r="J243" s="1026"/>
      <c r="K243" s="1026"/>
    </row>
    <row r="244" spans="1:11" ht="13.15" customHeight="1">
      <c r="A244" s="139" t="s">
        <v>121</v>
      </c>
      <c r="B244" s="1026" t="s">
        <v>1482</v>
      </c>
      <c r="C244" s="1026"/>
      <c r="D244" s="1026"/>
      <c r="E244" s="1026"/>
      <c r="F244" s="1026"/>
      <c r="G244" s="1026"/>
      <c r="H244" s="1026"/>
      <c r="I244" s="1026"/>
      <c r="J244" s="1026"/>
      <c r="K244" s="1026"/>
    </row>
    <row r="245" spans="1:11">
      <c r="A245" s="139" t="s">
        <v>122</v>
      </c>
      <c r="B245" s="1026" t="s">
        <v>1199</v>
      </c>
      <c r="C245" s="1026"/>
      <c r="D245" s="1026"/>
      <c r="E245" s="1026"/>
      <c r="F245" s="1026"/>
      <c r="G245" s="1026"/>
      <c r="H245" s="1026"/>
      <c r="I245" s="1026"/>
      <c r="J245" s="1026"/>
      <c r="K245" s="1026"/>
    </row>
    <row r="246" spans="1:11">
      <c r="A246" s="139" t="s">
        <v>123</v>
      </c>
      <c r="B246" s="1022" t="s">
        <v>1272</v>
      </c>
      <c r="C246" s="1022"/>
      <c r="D246" s="1022"/>
      <c r="E246" s="1022"/>
      <c r="F246" s="1022"/>
      <c r="G246" s="1022"/>
      <c r="H246" s="1022"/>
      <c r="I246" s="1022"/>
      <c r="J246" s="1022"/>
      <c r="K246" s="1022"/>
    </row>
    <row r="247" spans="1:11">
      <c r="A247" s="139" t="s">
        <v>124</v>
      </c>
      <c r="B247" s="1031" t="s">
        <v>1398</v>
      </c>
      <c r="C247" s="1031"/>
      <c r="D247" s="1031"/>
      <c r="E247" s="1031"/>
      <c r="F247" s="1031"/>
      <c r="G247" s="1031"/>
      <c r="H247" s="1031"/>
      <c r="I247" s="1031"/>
      <c r="J247" s="1031"/>
      <c r="K247" s="1031"/>
    </row>
    <row r="248" spans="1:11" s="126" customFormat="1" ht="25.9" customHeight="1">
      <c r="A248" s="139" t="s">
        <v>125</v>
      </c>
      <c r="B248" s="1030" t="s">
        <v>1387</v>
      </c>
      <c r="C248" s="1030"/>
      <c r="D248" s="1030"/>
      <c r="E248" s="1030"/>
      <c r="F248" s="1030"/>
      <c r="G248" s="1030"/>
      <c r="H248" s="1030"/>
      <c r="I248" s="1030"/>
      <c r="J248" s="1030"/>
      <c r="K248" s="1030"/>
    </row>
    <row r="249" spans="1:11" s="126" customFormat="1">
      <c r="A249" s="139" t="s">
        <v>214</v>
      </c>
      <c r="B249" s="145" t="s">
        <v>298</v>
      </c>
      <c r="C249" s="145"/>
      <c r="D249" s="145"/>
      <c r="E249" s="145"/>
      <c r="F249" s="145"/>
      <c r="G249" s="145"/>
      <c r="H249" s="140"/>
      <c r="I249" s="9"/>
      <c r="J249" s="10"/>
      <c r="K249" s="10"/>
    </row>
    <row r="250" spans="1:11" s="126" customFormat="1">
      <c r="A250" s="139" t="s">
        <v>249</v>
      </c>
      <c r="B250" s="146" t="s">
        <v>1388</v>
      </c>
      <c r="C250" s="146"/>
      <c r="D250" s="146"/>
      <c r="E250" s="146"/>
      <c r="F250" s="146"/>
      <c r="G250" s="146"/>
      <c r="H250" s="146"/>
      <c r="I250" s="146"/>
      <c r="J250" s="146"/>
      <c r="K250" s="146"/>
    </row>
    <row r="251" spans="1:11" ht="45" customHeight="1">
      <c r="A251" s="139" t="s">
        <v>286</v>
      </c>
      <c r="B251" s="1023" t="s">
        <v>1222</v>
      </c>
      <c r="C251" s="1023"/>
      <c r="D251" s="1023"/>
      <c r="E251" s="1023"/>
      <c r="F251" s="1023"/>
      <c r="G251" s="1023"/>
      <c r="H251" s="1023"/>
      <c r="I251" s="1023"/>
      <c r="J251" s="1023"/>
      <c r="K251" s="1023"/>
    </row>
    <row r="252" spans="1:11">
      <c r="A252" s="139" t="s">
        <v>323</v>
      </c>
      <c r="B252" s="21" t="s">
        <v>769</v>
      </c>
    </row>
    <row r="253" spans="1:11">
      <c r="A253" s="139" t="s">
        <v>437</v>
      </c>
      <c r="B253" s="147" t="s">
        <v>772</v>
      </c>
    </row>
    <row r="254" spans="1:11">
      <c r="B254" s="147" t="s">
        <v>436</v>
      </c>
    </row>
    <row r="255" spans="1:11">
      <c r="A255" s="21" t="s">
        <v>1187</v>
      </c>
      <c r="B255" s="147" t="s">
        <v>1226</v>
      </c>
    </row>
  </sheetData>
  <sheetProtection algorithmName="SHA-512" hashValue="/Zup5JHtkNBGws/0KM8wzBL/cgGyfREdtC8N/zetG916CCv2hMFlEtLxt4tp3RO3proqzyPSr54gUVQFiKEAGQ==" saltValue="Wgjmno7P/WSSGeWJmqzyyw=="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 ref="B246:K246"/>
    <mergeCell ref="B231:K231"/>
    <mergeCell ref="B236:K236"/>
    <mergeCell ref="B237:K237"/>
    <mergeCell ref="B238:K238"/>
    <mergeCell ref="B239:K239"/>
    <mergeCell ref="B242:K242"/>
    <mergeCell ref="B243:K243"/>
    <mergeCell ref="B244:K244"/>
  </mergeCells>
  <phoneticPr fontId="0" type="noConversion"/>
  <pageMargins left="0.25" right="0.25" top="0.75" bottom="0.75" header="0.3" footer="0.3"/>
  <pageSetup scale="55"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28"/>
  <sheetViews>
    <sheetView view="pageBreakPreview" zoomScale="60" zoomScaleNormal="80" workbookViewId="0">
      <selection activeCell="I8" sqref="I8:I9"/>
    </sheetView>
  </sheetViews>
  <sheetFormatPr defaultColWidth="8.77734375" defaultRowHeight="15.75"/>
  <cols>
    <col min="1" max="1" width="4.77734375" style="748" customWidth="1"/>
    <col min="2" max="2" width="5.109375" style="16" customWidth="1"/>
    <col min="3" max="3" width="17.33203125" style="16" customWidth="1"/>
    <col min="4" max="8" width="8.77734375" style="16"/>
    <col min="9" max="9" width="15.33203125" style="16" bestFit="1" customWidth="1"/>
    <col min="10" max="16384" width="8.77734375" style="16"/>
  </cols>
  <sheetData>
    <row r="1" spans="1:13" s="541" customFormat="1" ht="15" customHeight="1">
      <c r="A1" s="854"/>
      <c r="B1" s="1081" t="s">
        <v>1211</v>
      </c>
      <c r="C1" s="1081"/>
      <c r="D1" s="1081"/>
      <c r="E1" s="1081"/>
      <c r="F1" s="1081"/>
      <c r="G1" s="1081"/>
      <c r="H1" s="1081"/>
      <c r="I1" s="1081"/>
      <c r="J1" s="868"/>
      <c r="M1" s="869"/>
    </row>
    <row r="2" spans="1:13" s="541" customFormat="1" ht="15" customHeight="1">
      <c r="A2" s="854"/>
      <c r="B2" s="1082" t="s">
        <v>1209</v>
      </c>
      <c r="C2" s="1082"/>
      <c r="D2" s="1082"/>
      <c r="E2" s="1082"/>
      <c r="F2" s="1082"/>
      <c r="G2" s="1082"/>
      <c r="H2" s="1082"/>
      <c r="I2" s="1082"/>
      <c r="J2" s="868"/>
      <c r="K2" s="868"/>
      <c r="M2" s="870"/>
    </row>
    <row r="3" spans="1:13" s="541" customFormat="1" ht="15" customHeight="1">
      <c r="A3" s="854"/>
      <c r="B3" s="1083" t="str">
        <f>+'Attachment H-7'!D5</f>
        <v>PECO Energy Company</v>
      </c>
      <c r="C3" s="1083"/>
      <c r="D3" s="1083"/>
      <c r="E3" s="1083"/>
      <c r="F3" s="1083"/>
      <c r="G3" s="1083"/>
      <c r="H3" s="1083"/>
      <c r="I3" s="1083"/>
      <c r="J3" s="868"/>
      <c r="K3" s="868"/>
    </row>
    <row r="4" spans="1:13">
      <c r="J4" s="16" t="s">
        <v>207</v>
      </c>
    </row>
    <row r="5" spans="1:13">
      <c r="A5" s="748">
        <v>1</v>
      </c>
      <c r="B5" s="16" t="s">
        <v>1201</v>
      </c>
      <c r="I5" s="233">
        <f>IF('4- Rate Base'!J44&gt;33000000, 33000000, '4- Rate Base'!J44)</f>
        <v>27745514.100403879</v>
      </c>
      <c r="J5" s="95" t="s">
        <v>1372</v>
      </c>
    </row>
    <row r="7" spans="1:13">
      <c r="B7" s="16" t="s">
        <v>1376</v>
      </c>
    </row>
    <row r="8" spans="1:13">
      <c r="A8" s="748">
        <v>2</v>
      </c>
      <c r="C8" s="16" t="s">
        <v>1204</v>
      </c>
      <c r="I8" s="850">
        <v>-8756445.6909459792</v>
      </c>
      <c r="J8" s="95" t="s">
        <v>1373</v>
      </c>
    </row>
    <row r="9" spans="1:13">
      <c r="A9" s="748">
        <v>3</v>
      </c>
      <c r="C9" s="16" t="s">
        <v>1205</v>
      </c>
      <c r="I9" s="989">
        <v>-8932943.7432496455</v>
      </c>
      <c r="J9" s="95" t="s">
        <v>1374</v>
      </c>
    </row>
    <row r="10" spans="1:13">
      <c r="A10" s="748">
        <v>4</v>
      </c>
      <c r="C10" s="16" t="s">
        <v>1203</v>
      </c>
      <c r="I10" s="233">
        <f>AVERAGE(I8:I9)</f>
        <v>-8844694.7170978114</v>
      </c>
      <c r="J10" s="749" t="s">
        <v>1375</v>
      </c>
    </row>
    <row r="11" spans="1:13">
      <c r="J11" s="749"/>
    </row>
    <row r="12" spans="1:13">
      <c r="A12" s="748">
        <v>5</v>
      </c>
      <c r="B12" s="16" t="s">
        <v>1377</v>
      </c>
      <c r="I12" s="823">
        <f>-'9 - EDIT'!P44</f>
        <v>-3109892</v>
      </c>
      <c r="J12" s="95" t="s">
        <v>1371</v>
      </c>
    </row>
    <row r="13" spans="1:13">
      <c r="J13" s="749"/>
    </row>
    <row r="14" spans="1:13">
      <c r="A14" s="748">
        <v>6</v>
      </c>
      <c r="B14" s="16" t="s">
        <v>1206</v>
      </c>
      <c r="I14" s="823">
        <f>I5+I10+I12</f>
        <v>15790927.383306067</v>
      </c>
      <c r="J14" s="749" t="s">
        <v>1378</v>
      </c>
    </row>
    <row r="15" spans="1:13">
      <c r="J15" s="749"/>
    </row>
    <row r="16" spans="1:13">
      <c r="A16" s="748">
        <v>7</v>
      </c>
      <c r="B16" s="16" t="s">
        <v>1207</v>
      </c>
      <c r="I16" s="233">
        <f>I14*'Attachment H-7'!I206*(1+'Attachment H-7'!D153)</f>
        <v>1540431.0711455278</v>
      </c>
      <c r="J16" s="95" t="s">
        <v>1379</v>
      </c>
    </row>
    <row r="17" spans="1:17">
      <c r="J17" s="749"/>
    </row>
    <row r="18" spans="1:17">
      <c r="A18" s="748">
        <v>8</v>
      </c>
      <c r="B18" s="16" t="s">
        <v>1394</v>
      </c>
      <c r="I18" s="871">
        <v>0.6</v>
      </c>
    </row>
    <row r="20" spans="1:17">
      <c r="A20" s="748">
        <v>9</v>
      </c>
      <c r="B20" s="16" t="s">
        <v>1208</v>
      </c>
      <c r="I20" s="823">
        <f>I16*I18</f>
        <v>924258.64268731663</v>
      </c>
      <c r="J20" s="16" t="s">
        <v>1380</v>
      </c>
    </row>
    <row r="27" spans="1:17" ht="16.5" thickBot="1">
      <c r="A27" s="550" t="s">
        <v>324</v>
      </c>
    </row>
    <row r="28" spans="1:17" ht="18" customHeight="1">
      <c r="A28" s="1084" t="s">
        <v>1202</v>
      </c>
      <c r="B28" s="1084"/>
      <c r="C28" s="1084"/>
      <c r="D28" s="1084"/>
      <c r="E28" s="1084"/>
      <c r="F28" s="1084"/>
      <c r="G28" s="1084"/>
      <c r="H28" s="1084"/>
      <c r="I28" s="1084"/>
      <c r="J28" s="1084"/>
      <c r="K28" s="1084"/>
      <c r="L28" s="1084"/>
      <c r="M28" s="1084"/>
      <c r="N28" s="1084"/>
      <c r="O28" s="1084"/>
      <c r="P28" s="1084"/>
      <c r="Q28" s="1084"/>
    </row>
  </sheetData>
  <sheetProtection algorithmName="SHA-512" hashValue="Q8uEWv8zmwSyqeQdnw8Gq/ZUMCssH0ju8UAErZgvgndjuGsUCSl6yWaUc2XtdEe3/6wL19r3UlVTOWui7ckAHg==" saltValue="mMsf8z0a1KDQjKT7WWH11Q==" spinCount="100000" sheet="1" objects="1" scenarios="1"/>
  <mergeCells count="4">
    <mergeCell ref="B1:I1"/>
    <mergeCell ref="B2:I2"/>
    <mergeCell ref="B3:I3"/>
    <mergeCell ref="A28:Q28"/>
  </mergeCells>
  <pageMargins left="0.7" right="0.7" top="0.75" bottom="0.75" header="0.3" footer="0.3"/>
  <pageSetup scale="5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codeName="Sheet21">
    <pageSetUpPr fitToPage="1"/>
  </sheetPr>
  <dimension ref="A1:Q44"/>
  <sheetViews>
    <sheetView view="pageBreakPreview" zoomScale="40" zoomScaleNormal="30" zoomScaleSheetLayoutView="40" workbookViewId="0">
      <selection activeCell="B45" sqref="B45"/>
    </sheetView>
  </sheetViews>
  <sheetFormatPr defaultColWidth="8.77734375" defaultRowHeight="15.75"/>
  <cols>
    <col min="1" max="1" width="8.77734375" style="748"/>
    <col min="2" max="2" width="62.33203125" style="16" customWidth="1"/>
    <col min="3" max="3" width="20.44140625" style="16" customWidth="1"/>
    <col min="4" max="15" width="19.5546875" style="16" bestFit="1" customWidth="1"/>
    <col min="16" max="16" width="19.88671875" style="16" bestFit="1" customWidth="1"/>
    <col min="17" max="18" width="15.5546875" style="16" customWidth="1"/>
    <col min="19" max="16384" width="8.77734375" style="16"/>
  </cols>
  <sheetData>
    <row r="1" spans="1:17" s="749" customFormat="1" ht="20.45" customHeight="1">
      <c r="A1" s="748"/>
      <c r="B1" s="748"/>
      <c r="C1" s="1071" t="s">
        <v>1280</v>
      </c>
      <c r="D1" s="1071"/>
      <c r="E1" s="1071"/>
      <c r="F1" s="1071"/>
      <c r="G1" s="1071"/>
      <c r="H1" s="1071"/>
      <c r="I1" s="1071"/>
      <c r="J1" s="1071"/>
      <c r="K1" s="1071"/>
      <c r="L1" s="1071"/>
      <c r="M1" s="1071"/>
      <c r="N1" s="1071"/>
      <c r="O1" s="1071"/>
      <c r="P1" s="1071"/>
      <c r="Q1" s="1071"/>
    </row>
    <row r="2" spans="1:17" s="749" customFormat="1" ht="20.45" customHeight="1">
      <c r="A2" s="748"/>
      <c r="B2" s="748"/>
      <c r="C2" s="1071" t="s">
        <v>1281</v>
      </c>
      <c r="D2" s="1071"/>
      <c r="E2" s="1071"/>
      <c r="F2" s="1071"/>
      <c r="G2" s="1071"/>
      <c r="H2" s="1071"/>
      <c r="I2" s="1071"/>
      <c r="J2" s="1071"/>
      <c r="K2" s="1071"/>
      <c r="L2" s="1071"/>
      <c r="M2" s="1071"/>
      <c r="N2" s="1071"/>
      <c r="O2" s="1071"/>
      <c r="P2" s="1071"/>
      <c r="Q2" s="1071"/>
    </row>
    <row r="3" spans="1:17" s="749" customFormat="1" ht="20.45" customHeight="1">
      <c r="A3" s="748"/>
      <c r="B3" s="748"/>
      <c r="C3" s="1071" t="s">
        <v>681</v>
      </c>
      <c r="D3" s="1071"/>
      <c r="E3" s="1071"/>
      <c r="F3" s="1071"/>
      <c r="G3" s="1071"/>
      <c r="H3" s="1071"/>
      <c r="I3" s="1071"/>
      <c r="J3" s="1071"/>
      <c r="K3" s="1071"/>
      <c r="L3" s="1071"/>
      <c r="M3" s="1071"/>
      <c r="N3" s="1071"/>
      <c r="O3" s="1071"/>
      <c r="P3" s="1071"/>
      <c r="Q3" s="1071"/>
    </row>
    <row r="4" spans="1:17" ht="20.45" customHeight="1">
      <c r="A4" s="872" t="s">
        <v>8</v>
      </c>
    </row>
    <row r="5" spans="1:17" ht="20.45" customHeight="1">
      <c r="B5" s="873" t="s">
        <v>1282</v>
      </c>
    </row>
    <row r="6" spans="1:17" ht="20.45" customHeight="1">
      <c r="A6" s="748">
        <v>1</v>
      </c>
      <c r="B6" s="16" t="s">
        <v>1283</v>
      </c>
      <c r="G6" s="850">
        <v>122359442</v>
      </c>
    </row>
    <row r="7" spans="1:17" ht="20.45" customHeight="1">
      <c r="A7" s="748">
        <f>A6+1</f>
        <v>2</v>
      </c>
      <c r="B7" s="16" t="s">
        <v>1284</v>
      </c>
      <c r="G7" s="850">
        <v>2310300</v>
      </c>
    </row>
    <row r="8" spans="1:17" ht="20.45" customHeight="1">
      <c r="A8" s="748">
        <f t="shared" ref="A8:A13" si="0">A7+1</f>
        <v>3</v>
      </c>
      <c r="B8" s="16" t="s">
        <v>1579</v>
      </c>
      <c r="G8" s="850">
        <v>455601</v>
      </c>
    </row>
    <row r="9" spans="1:17" ht="20.45" customHeight="1">
      <c r="A9" s="748">
        <f t="shared" si="0"/>
        <v>4</v>
      </c>
      <c r="B9" s="16" t="s">
        <v>1285</v>
      </c>
      <c r="G9" s="850"/>
    </row>
    <row r="10" spans="1:17" ht="20.45" customHeight="1">
      <c r="A10" s="748">
        <f t="shared" si="0"/>
        <v>5</v>
      </c>
      <c r="B10" s="16" t="s">
        <v>1580</v>
      </c>
      <c r="G10" s="850"/>
    </row>
    <row r="11" spans="1:17" ht="20.45" customHeight="1">
      <c r="A11" s="748">
        <f t="shared" si="0"/>
        <v>6</v>
      </c>
      <c r="B11" s="16" t="s">
        <v>1286</v>
      </c>
      <c r="G11" s="850">
        <v>12149229</v>
      </c>
    </row>
    <row r="12" spans="1:17" ht="20.45" customHeight="1">
      <c r="A12" s="748">
        <f t="shared" si="0"/>
        <v>7</v>
      </c>
      <c r="B12" s="16" t="s">
        <v>1287</v>
      </c>
      <c r="G12" s="850"/>
    </row>
    <row r="13" spans="1:17" ht="20.45" customHeight="1">
      <c r="A13" s="748">
        <f t="shared" si="0"/>
        <v>8</v>
      </c>
      <c r="B13" s="852" t="s">
        <v>1288</v>
      </c>
      <c r="G13" s="874">
        <f>G6+G7+G8-G9-G10+G11-G12</f>
        <v>137274572</v>
      </c>
    </row>
    <row r="14" spans="1:17" ht="20.45" customHeight="1"/>
    <row r="15" spans="1:17" ht="20.45" customHeight="1">
      <c r="B15" s="852" t="s">
        <v>1289</v>
      </c>
    </row>
    <row r="16" spans="1:17" ht="20.45" customHeight="1">
      <c r="B16" s="852"/>
    </row>
    <row r="17" spans="1:16" ht="20.45" customHeight="1">
      <c r="B17" s="852" t="s">
        <v>1290</v>
      </c>
      <c r="C17" s="853" t="s">
        <v>195</v>
      </c>
      <c r="D17" s="853" t="s">
        <v>84</v>
      </c>
      <c r="E17" s="853" t="s">
        <v>83</v>
      </c>
      <c r="F17" s="853" t="s">
        <v>171</v>
      </c>
      <c r="G17" s="853" t="s">
        <v>74</v>
      </c>
      <c r="H17" s="853" t="s">
        <v>73</v>
      </c>
      <c r="I17" s="853" t="s">
        <v>93</v>
      </c>
      <c r="J17" s="853" t="s">
        <v>81</v>
      </c>
      <c r="K17" s="853" t="s">
        <v>172</v>
      </c>
      <c r="L17" s="853" t="s">
        <v>79</v>
      </c>
      <c r="M17" s="853" t="s">
        <v>85</v>
      </c>
      <c r="N17" s="853" t="s">
        <v>78</v>
      </c>
      <c r="O17" s="853" t="s">
        <v>196</v>
      </c>
      <c r="P17" s="17" t="s">
        <v>1291</v>
      </c>
    </row>
    <row r="18" spans="1:16">
      <c r="A18" s="748">
        <f>A13+1</f>
        <v>9</v>
      </c>
      <c r="B18" s="16" t="s">
        <v>1292</v>
      </c>
      <c r="C18" s="850">
        <v>3125000000</v>
      </c>
      <c r="D18" s="850">
        <v>3125000000</v>
      </c>
      <c r="E18" s="850">
        <v>3125000000</v>
      </c>
      <c r="F18" s="850">
        <v>3125000000</v>
      </c>
      <c r="G18" s="850">
        <v>3125000000</v>
      </c>
      <c r="H18" s="850">
        <v>3125000000</v>
      </c>
      <c r="I18" s="850">
        <v>3125000000</v>
      </c>
      <c r="J18" s="850">
        <v>3125000000</v>
      </c>
      <c r="K18" s="850">
        <v>3125000000</v>
      </c>
      <c r="L18" s="850">
        <v>3450000000</v>
      </c>
      <c r="M18" s="850">
        <v>3450000000</v>
      </c>
      <c r="N18" s="850">
        <v>3450000000</v>
      </c>
      <c r="O18" s="850">
        <v>3450000000</v>
      </c>
      <c r="P18" s="233">
        <f>AVERAGE(C18:O18)</f>
        <v>3225000000</v>
      </c>
    </row>
    <row r="19" spans="1:16">
      <c r="A19" s="748">
        <f t="shared" ref="A19:A22" si="1">A18+1</f>
        <v>10</v>
      </c>
      <c r="B19" s="16" t="s">
        <v>1581</v>
      </c>
      <c r="C19" s="850">
        <v>0</v>
      </c>
      <c r="D19" s="850">
        <v>0</v>
      </c>
      <c r="E19" s="850">
        <v>0</v>
      </c>
      <c r="F19" s="850">
        <v>0</v>
      </c>
      <c r="G19" s="850">
        <v>0</v>
      </c>
      <c r="H19" s="850">
        <v>0</v>
      </c>
      <c r="I19" s="850">
        <v>0</v>
      </c>
      <c r="J19" s="850">
        <v>0</v>
      </c>
      <c r="K19" s="850">
        <v>0</v>
      </c>
      <c r="L19" s="850">
        <v>0</v>
      </c>
      <c r="M19" s="850">
        <v>0</v>
      </c>
      <c r="N19" s="850">
        <v>0</v>
      </c>
      <c r="O19" s="850">
        <v>0</v>
      </c>
      <c r="P19" s="233">
        <f t="shared" ref="P19:P21" si="2">AVERAGE(C19:O19)</f>
        <v>0</v>
      </c>
    </row>
    <row r="20" spans="1:16">
      <c r="A20" s="748">
        <f t="shared" si="1"/>
        <v>11</v>
      </c>
      <c r="B20" s="16" t="s">
        <v>1293</v>
      </c>
      <c r="C20" s="850">
        <v>184418609</v>
      </c>
      <c r="D20" s="850">
        <v>184418608.99999994</v>
      </c>
      <c r="E20" s="850">
        <v>184418608.99999994</v>
      </c>
      <c r="F20" s="850">
        <v>184418609</v>
      </c>
      <c r="G20" s="850">
        <v>184418609</v>
      </c>
      <c r="H20" s="850">
        <v>184418609</v>
      </c>
      <c r="I20" s="850">
        <v>184418609</v>
      </c>
      <c r="J20" s="850">
        <v>184418609</v>
      </c>
      <c r="K20" s="850">
        <v>184418609</v>
      </c>
      <c r="L20" s="850">
        <v>184418609</v>
      </c>
      <c r="M20" s="850">
        <v>184418608.99999994</v>
      </c>
      <c r="N20" s="850">
        <v>184418608.99999994</v>
      </c>
      <c r="O20" s="850">
        <v>184418609</v>
      </c>
      <c r="P20" s="233">
        <f t="shared" si="2"/>
        <v>184418609</v>
      </c>
    </row>
    <row r="21" spans="1:16">
      <c r="A21" s="748">
        <f t="shared" si="1"/>
        <v>12</v>
      </c>
      <c r="B21" s="16" t="s">
        <v>1294</v>
      </c>
      <c r="C21" s="989">
        <v>0</v>
      </c>
      <c r="D21" s="989">
        <v>0</v>
      </c>
      <c r="E21" s="989">
        <v>0</v>
      </c>
      <c r="F21" s="989">
        <v>0</v>
      </c>
      <c r="G21" s="989">
        <v>0</v>
      </c>
      <c r="H21" s="989">
        <v>0</v>
      </c>
      <c r="I21" s="989">
        <v>0</v>
      </c>
      <c r="J21" s="989">
        <v>0</v>
      </c>
      <c r="K21" s="989">
        <v>0</v>
      </c>
      <c r="L21" s="989">
        <v>0</v>
      </c>
      <c r="M21" s="989">
        <v>0</v>
      </c>
      <c r="N21" s="989">
        <v>0</v>
      </c>
      <c r="O21" s="989">
        <v>0</v>
      </c>
      <c r="P21" s="275">
        <f t="shared" si="2"/>
        <v>0</v>
      </c>
    </row>
    <row r="22" spans="1:16">
      <c r="A22" s="748">
        <f t="shared" si="1"/>
        <v>13</v>
      </c>
      <c r="B22" s="852" t="s">
        <v>1295</v>
      </c>
      <c r="C22" s="875">
        <f>C18+C20+C21-C19</f>
        <v>3309418609</v>
      </c>
      <c r="D22" s="875">
        <f t="shared" ref="D22:O22" si="3">D18+D20+D21-D19</f>
        <v>3309418609</v>
      </c>
      <c r="E22" s="875">
        <f t="shared" si="3"/>
        <v>3309418609</v>
      </c>
      <c r="F22" s="875">
        <f t="shared" si="3"/>
        <v>3309418609</v>
      </c>
      <c r="G22" s="875">
        <f t="shared" si="3"/>
        <v>3309418609</v>
      </c>
      <c r="H22" s="875">
        <f t="shared" si="3"/>
        <v>3309418609</v>
      </c>
      <c r="I22" s="875">
        <f t="shared" si="3"/>
        <v>3309418609</v>
      </c>
      <c r="J22" s="875">
        <f t="shared" si="3"/>
        <v>3309418609</v>
      </c>
      <c r="K22" s="875">
        <f t="shared" si="3"/>
        <v>3309418609</v>
      </c>
      <c r="L22" s="875">
        <f t="shared" si="3"/>
        <v>3634418609</v>
      </c>
      <c r="M22" s="875">
        <f t="shared" si="3"/>
        <v>3634418609</v>
      </c>
      <c r="N22" s="875">
        <f t="shared" si="3"/>
        <v>3634418609</v>
      </c>
      <c r="O22" s="875">
        <f t="shared" si="3"/>
        <v>3634418609</v>
      </c>
      <c r="P22" s="875">
        <f>AVERAGE(C22:O22)</f>
        <v>3409418609</v>
      </c>
    </row>
    <row r="27" spans="1:16">
      <c r="B27" s="852" t="s">
        <v>1296</v>
      </c>
    </row>
    <row r="28" spans="1:16">
      <c r="A28" s="748">
        <f>A22+1</f>
        <v>14</v>
      </c>
      <c r="B28" s="16" t="s">
        <v>1297</v>
      </c>
      <c r="C28" s="850">
        <v>1423004250.6500001</v>
      </c>
      <c r="D28" s="850">
        <v>1423004250.6500001</v>
      </c>
      <c r="E28" s="850">
        <v>1423004250.6500001</v>
      </c>
      <c r="F28" s="850">
        <v>1423004250.6500001</v>
      </c>
      <c r="G28" s="850">
        <v>1423004250.6500001</v>
      </c>
      <c r="H28" s="850">
        <v>1423004250.6500001</v>
      </c>
      <c r="I28" s="850">
        <v>1423004250.6500001</v>
      </c>
      <c r="J28" s="850">
        <v>1423004250.6500001</v>
      </c>
      <c r="K28" s="850">
        <v>1423004250.6500001</v>
      </c>
      <c r="L28" s="850">
        <v>1423004250.6500001</v>
      </c>
      <c r="M28" s="850">
        <v>1423004250.6500001</v>
      </c>
      <c r="N28" s="850">
        <v>1423004250.6500001</v>
      </c>
      <c r="O28" s="850">
        <v>1423004250.6500001</v>
      </c>
      <c r="P28" s="267">
        <f t="shared" ref="P28:P42" si="4">AVERAGE(C28:O28)</f>
        <v>1423004250.6499999</v>
      </c>
    </row>
    <row r="29" spans="1:16">
      <c r="A29" s="748">
        <f t="shared" ref="A29:A42" si="5">A28+1</f>
        <v>15</v>
      </c>
      <c r="B29" s="876" t="s">
        <v>1298</v>
      </c>
      <c r="C29" s="850">
        <v>0</v>
      </c>
      <c r="D29" s="850">
        <v>0</v>
      </c>
      <c r="E29" s="850">
        <v>0</v>
      </c>
      <c r="F29" s="850">
        <v>0</v>
      </c>
      <c r="G29" s="850">
        <v>0</v>
      </c>
      <c r="H29" s="850">
        <v>0</v>
      </c>
      <c r="I29" s="850">
        <v>0</v>
      </c>
      <c r="J29" s="850">
        <v>0</v>
      </c>
      <c r="K29" s="850">
        <v>0</v>
      </c>
      <c r="L29" s="850">
        <v>0</v>
      </c>
      <c r="M29" s="850">
        <v>0</v>
      </c>
      <c r="N29" s="850">
        <v>0</v>
      </c>
      <c r="O29" s="850">
        <v>0</v>
      </c>
      <c r="P29" s="267">
        <f t="shared" si="4"/>
        <v>0</v>
      </c>
    </row>
    <row r="30" spans="1:16">
      <c r="A30" s="748">
        <f t="shared" si="5"/>
        <v>16</v>
      </c>
      <c r="B30" s="876" t="s">
        <v>1299</v>
      </c>
      <c r="C30" s="850">
        <v>0</v>
      </c>
      <c r="D30" s="850">
        <v>0</v>
      </c>
      <c r="E30" s="850">
        <v>0</v>
      </c>
      <c r="F30" s="850">
        <v>0</v>
      </c>
      <c r="G30" s="850">
        <v>0</v>
      </c>
      <c r="H30" s="850">
        <v>0</v>
      </c>
      <c r="I30" s="850">
        <v>0</v>
      </c>
      <c r="J30" s="850">
        <v>0</v>
      </c>
      <c r="K30" s="850">
        <v>0</v>
      </c>
      <c r="L30" s="850">
        <v>0</v>
      </c>
      <c r="M30" s="850">
        <v>0</v>
      </c>
      <c r="N30" s="850">
        <v>0</v>
      </c>
      <c r="O30" s="850">
        <v>0</v>
      </c>
      <c r="P30" s="267">
        <f t="shared" si="4"/>
        <v>0</v>
      </c>
    </row>
    <row r="31" spans="1:16">
      <c r="A31" s="748">
        <f t="shared" si="5"/>
        <v>17</v>
      </c>
      <c r="B31" s="876" t="s">
        <v>1300</v>
      </c>
      <c r="C31" s="850">
        <v>0</v>
      </c>
      <c r="D31" s="850">
        <v>0</v>
      </c>
      <c r="E31" s="850">
        <v>0</v>
      </c>
      <c r="F31" s="850">
        <v>0</v>
      </c>
      <c r="G31" s="850">
        <v>0</v>
      </c>
      <c r="H31" s="850">
        <v>0</v>
      </c>
      <c r="I31" s="850">
        <v>0</v>
      </c>
      <c r="J31" s="850">
        <v>0</v>
      </c>
      <c r="K31" s="850">
        <v>0</v>
      </c>
      <c r="L31" s="850">
        <v>0</v>
      </c>
      <c r="M31" s="850">
        <v>0</v>
      </c>
      <c r="N31" s="850">
        <v>0</v>
      </c>
      <c r="O31" s="850">
        <v>0</v>
      </c>
      <c r="P31" s="267">
        <f t="shared" si="4"/>
        <v>0</v>
      </c>
    </row>
    <row r="32" spans="1:16">
      <c r="A32" s="748">
        <f t="shared" si="5"/>
        <v>18</v>
      </c>
      <c r="B32" s="876" t="s">
        <v>1301</v>
      </c>
      <c r="C32" s="850">
        <v>0</v>
      </c>
      <c r="D32" s="850">
        <v>0</v>
      </c>
      <c r="E32" s="850">
        <v>0</v>
      </c>
      <c r="F32" s="850">
        <v>0</v>
      </c>
      <c r="G32" s="850">
        <v>0</v>
      </c>
      <c r="H32" s="850">
        <v>0</v>
      </c>
      <c r="I32" s="850">
        <v>0</v>
      </c>
      <c r="J32" s="850">
        <v>0</v>
      </c>
      <c r="K32" s="850">
        <v>0</v>
      </c>
      <c r="L32" s="850">
        <v>0</v>
      </c>
      <c r="M32" s="850">
        <v>0</v>
      </c>
      <c r="N32" s="850">
        <v>0</v>
      </c>
      <c r="O32" s="850">
        <v>0</v>
      </c>
      <c r="P32" s="267">
        <f t="shared" si="4"/>
        <v>0</v>
      </c>
    </row>
    <row r="33" spans="1:16">
      <c r="A33" s="748">
        <f t="shared" si="5"/>
        <v>19</v>
      </c>
      <c r="B33" s="16" t="s">
        <v>1302</v>
      </c>
      <c r="C33" s="850">
        <v>1155155243.8899999</v>
      </c>
      <c r="D33" s="850">
        <v>1155155243.8900003</v>
      </c>
      <c r="E33" s="850">
        <v>1155155243.8900003</v>
      </c>
      <c r="F33" s="850">
        <v>1300155243.8900003</v>
      </c>
      <c r="G33" s="850">
        <v>1300155243.8900003</v>
      </c>
      <c r="H33" s="850">
        <v>1300155243.8900003</v>
      </c>
      <c r="I33" s="850">
        <v>1300155243.8900003</v>
      </c>
      <c r="J33" s="850">
        <v>1300155243.8900003</v>
      </c>
      <c r="K33" s="850">
        <v>1300155243.8900003</v>
      </c>
      <c r="L33" s="850">
        <v>1329155243.8900003</v>
      </c>
      <c r="M33" s="850">
        <v>1343450423.1100001</v>
      </c>
      <c r="N33" s="850">
        <v>1343450423.1100001</v>
      </c>
      <c r="O33" s="850">
        <v>1343450423.1100001</v>
      </c>
      <c r="P33" s="267">
        <f t="shared" si="4"/>
        <v>1278915669.8638463</v>
      </c>
    </row>
    <row r="34" spans="1:16">
      <c r="A34" s="748">
        <f t="shared" si="5"/>
        <v>20</v>
      </c>
      <c r="B34" s="16" t="s">
        <v>1303</v>
      </c>
      <c r="C34" s="850">
        <v>0</v>
      </c>
      <c r="D34" s="850">
        <v>0</v>
      </c>
      <c r="E34" s="850">
        <v>0</v>
      </c>
      <c r="F34" s="850">
        <v>0</v>
      </c>
      <c r="G34" s="850">
        <v>0</v>
      </c>
      <c r="H34" s="850">
        <v>0</v>
      </c>
      <c r="I34" s="850">
        <v>0</v>
      </c>
      <c r="J34" s="850">
        <v>0</v>
      </c>
      <c r="K34" s="850">
        <v>0</v>
      </c>
      <c r="L34" s="850">
        <v>0</v>
      </c>
      <c r="M34" s="850">
        <v>0</v>
      </c>
      <c r="N34" s="850">
        <v>0</v>
      </c>
      <c r="O34" s="850">
        <v>0</v>
      </c>
      <c r="P34" s="267">
        <f t="shared" si="4"/>
        <v>0</v>
      </c>
    </row>
    <row r="35" spans="1:16">
      <c r="A35" s="748">
        <f t="shared" si="5"/>
        <v>21</v>
      </c>
      <c r="B35" s="16" t="s">
        <v>1304</v>
      </c>
      <c r="C35" s="850">
        <v>0</v>
      </c>
      <c r="D35" s="850">
        <v>0</v>
      </c>
      <c r="E35" s="850">
        <v>0</v>
      </c>
      <c r="F35" s="850">
        <v>0</v>
      </c>
      <c r="G35" s="850">
        <v>0</v>
      </c>
      <c r="H35" s="850">
        <v>0</v>
      </c>
      <c r="I35" s="850">
        <v>0</v>
      </c>
      <c r="J35" s="850">
        <v>0</v>
      </c>
      <c r="K35" s="850">
        <v>0</v>
      </c>
      <c r="L35" s="850">
        <v>0</v>
      </c>
      <c r="M35" s="850">
        <v>0</v>
      </c>
      <c r="N35" s="850">
        <v>0</v>
      </c>
      <c r="O35" s="850">
        <v>0</v>
      </c>
      <c r="P35" s="267">
        <f t="shared" si="4"/>
        <v>0</v>
      </c>
    </row>
    <row r="36" spans="1:16">
      <c r="A36" s="748">
        <f t="shared" si="5"/>
        <v>22</v>
      </c>
      <c r="B36" s="16" t="s">
        <v>1305</v>
      </c>
      <c r="C36" s="850">
        <v>86741.79</v>
      </c>
      <c r="D36" s="850">
        <v>86741.79</v>
      </c>
      <c r="E36" s="850">
        <v>86741.79</v>
      </c>
      <c r="F36" s="850">
        <v>86741.79</v>
      </c>
      <c r="G36" s="850">
        <v>86741.79</v>
      </c>
      <c r="H36" s="850">
        <v>86741.79</v>
      </c>
      <c r="I36" s="850">
        <v>86741.79</v>
      </c>
      <c r="J36" s="850">
        <v>86741.79</v>
      </c>
      <c r="K36" s="850">
        <v>86741.79</v>
      </c>
      <c r="L36" s="850">
        <v>86741.79</v>
      </c>
      <c r="M36" s="850">
        <v>86741.79</v>
      </c>
      <c r="N36" s="850">
        <v>86741.79</v>
      </c>
      <c r="O36" s="850">
        <v>86741.79</v>
      </c>
      <c r="P36" s="267">
        <f t="shared" si="4"/>
        <v>86741.790000000008</v>
      </c>
    </row>
    <row r="37" spans="1:16">
      <c r="A37" s="748">
        <f t="shared" si="5"/>
        <v>23</v>
      </c>
      <c r="B37" s="16" t="s">
        <v>1306</v>
      </c>
      <c r="C37" s="850">
        <v>4427930434.2300014</v>
      </c>
      <c r="D37" s="850">
        <v>4510538982.755084</v>
      </c>
      <c r="E37" s="850">
        <v>4564907416.8101902</v>
      </c>
      <c r="F37" s="850">
        <v>4521682756.6400013</v>
      </c>
      <c r="G37" s="850">
        <v>4552730556.2705927</v>
      </c>
      <c r="H37" s="850">
        <v>4589672684.1864738</v>
      </c>
      <c r="I37" s="850">
        <v>4543291354.460001</v>
      </c>
      <c r="J37" s="850">
        <v>4609634817.1780939</v>
      </c>
      <c r="K37" s="850">
        <v>4661288171.545907</v>
      </c>
      <c r="L37" s="850">
        <v>4605783947.6900015</v>
      </c>
      <c r="M37" s="850">
        <v>4627158813.3139486</v>
      </c>
      <c r="N37" s="850">
        <v>4680394558.5404072</v>
      </c>
      <c r="O37" s="850">
        <v>4643271373.4900026</v>
      </c>
      <c r="P37" s="267">
        <f t="shared" si="4"/>
        <v>4579868143.6239004</v>
      </c>
    </row>
    <row r="38" spans="1:16">
      <c r="A38" s="748">
        <f t="shared" si="5"/>
        <v>24</v>
      </c>
      <c r="B38" s="16" t="s">
        <v>1307</v>
      </c>
      <c r="C38" s="850">
        <v>-3187402047.9300008</v>
      </c>
      <c r="D38" s="850">
        <v>-3194319802.4650836</v>
      </c>
      <c r="E38" s="850">
        <v>-3198854723.8901896</v>
      </c>
      <c r="F38" s="850">
        <v>-3202735205.2300005</v>
      </c>
      <c r="G38" s="850">
        <v>-3205342858.4205928</v>
      </c>
      <c r="H38" s="850">
        <v>-3208420258.2464733</v>
      </c>
      <c r="I38" s="850">
        <v>-3212672862.4900002</v>
      </c>
      <c r="J38" s="850">
        <v>-3218225357.7580929</v>
      </c>
      <c r="K38" s="850">
        <v>-3222449990.1159062</v>
      </c>
      <c r="L38" s="850">
        <v>-3224708274.4300003</v>
      </c>
      <c r="M38" s="850">
        <v>-3226494955.6639466</v>
      </c>
      <c r="N38" s="850">
        <v>-3229417286.0404053</v>
      </c>
      <c r="O38" s="850">
        <v>-3233925200.2700005</v>
      </c>
      <c r="P38" s="267">
        <f>AVERAGE(C38:O38)</f>
        <v>-3212689909.457746</v>
      </c>
    </row>
    <row r="39" spans="1:16">
      <c r="A39" s="748">
        <f t="shared" si="5"/>
        <v>25</v>
      </c>
      <c r="B39" s="16" t="s">
        <v>1582</v>
      </c>
      <c r="C39" s="850">
        <v>0</v>
      </c>
      <c r="D39" s="850">
        <v>0</v>
      </c>
      <c r="E39" s="850">
        <v>0</v>
      </c>
      <c r="F39" s="850">
        <v>0</v>
      </c>
      <c r="G39" s="850">
        <v>0</v>
      </c>
      <c r="H39" s="850">
        <v>0</v>
      </c>
      <c r="I39" s="850">
        <v>0</v>
      </c>
      <c r="J39" s="850">
        <v>0</v>
      </c>
      <c r="K39" s="850">
        <v>0</v>
      </c>
      <c r="L39" s="850">
        <v>0</v>
      </c>
      <c r="M39" s="850">
        <v>0</v>
      </c>
      <c r="N39" s="850">
        <v>0</v>
      </c>
      <c r="O39" s="850">
        <v>0</v>
      </c>
      <c r="P39" s="267">
        <f t="shared" si="4"/>
        <v>0</v>
      </c>
    </row>
    <row r="40" spans="1:16">
      <c r="A40" s="748">
        <f t="shared" si="5"/>
        <v>26</v>
      </c>
      <c r="B40" s="16" t="s">
        <v>1308</v>
      </c>
      <c r="C40" s="850">
        <v>0</v>
      </c>
      <c r="D40" s="850">
        <v>0</v>
      </c>
      <c r="E40" s="850">
        <v>0</v>
      </c>
      <c r="F40" s="850">
        <v>0</v>
      </c>
      <c r="G40" s="850">
        <v>0</v>
      </c>
      <c r="H40" s="850">
        <v>0</v>
      </c>
      <c r="I40" s="850">
        <v>0</v>
      </c>
      <c r="J40" s="850">
        <v>0</v>
      </c>
      <c r="K40" s="850">
        <v>0</v>
      </c>
      <c r="L40" s="850">
        <v>0</v>
      </c>
      <c r="M40" s="850">
        <v>0</v>
      </c>
      <c r="N40" s="850">
        <v>0</v>
      </c>
      <c r="O40" s="850">
        <v>0</v>
      </c>
      <c r="P40" s="267">
        <f t="shared" si="4"/>
        <v>0</v>
      </c>
    </row>
    <row r="41" spans="1:16">
      <c r="A41" s="748">
        <f t="shared" si="5"/>
        <v>27</v>
      </c>
      <c r="B41" s="16" t="s">
        <v>1309</v>
      </c>
      <c r="C41" s="989">
        <v>1674805.64</v>
      </c>
      <c r="D41" s="989">
        <v>1630458.24</v>
      </c>
      <c r="E41" s="989">
        <v>1630179.74</v>
      </c>
      <c r="F41" s="989">
        <v>1742674.43</v>
      </c>
      <c r="G41" s="989">
        <v>1742952.93</v>
      </c>
      <c r="H41" s="989">
        <v>1742952.93</v>
      </c>
      <c r="I41" s="989">
        <v>1769513.02</v>
      </c>
      <c r="J41" s="989">
        <v>1725165.31</v>
      </c>
      <c r="K41" s="989">
        <v>1725165.31</v>
      </c>
      <c r="L41" s="989">
        <v>2094738.54</v>
      </c>
      <c r="M41" s="989">
        <v>2094738.54</v>
      </c>
      <c r="N41" s="989">
        <v>2094738.54</v>
      </c>
      <c r="O41" s="989">
        <v>2298081.84</v>
      </c>
      <c r="P41" s="275">
        <f t="shared" si="4"/>
        <v>1843551.1546153845</v>
      </c>
    </row>
    <row r="42" spans="1:16" ht="62.45" customHeight="1">
      <c r="A42" s="748">
        <f t="shared" si="5"/>
        <v>28</v>
      </c>
      <c r="B42" s="877" t="s">
        <v>1310</v>
      </c>
      <c r="C42" s="233">
        <f>C28+C29+C30+C31+C32+C33+C34-C35-C36+C37+C38-C39+C40+C41</f>
        <v>3820275944.6900005</v>
      </c>
      <c r="D42" s="242">
        <f t="shared" ref="D42:O42" si="6">D28+D29+D30+D31+D32+D33+D34-D35-D36+D37+D38-D39+D40+D41</f>
        <v>3895922391.2800012</v>
      </c>
      <c r="E42" s="242">
        <f t="shared" si="6"/>
        <v>3945755625.4100003</v>
      </c>
      <c r="F42" s="242">
        <f t="shared" si="6"/>
        <v>4043762978.5900006</v>
      </c>
      <c r="G42" s="242">
        <f t="shared" si="6"/>
        <v>4072203403.5300007</v>
      </c>
      <c r="H42" s="242">
        <f t="shared" si="6"/>
        <v>4106068131.6200004</v>
      </c>
      <c r="I42" s="242">
        <f t="shared" si="6"/>
        <v>4055460757.7400007</v>
      </c>
      <c r="J42" s="242">
        <f t="shared" si="6"/>
        <v>4116207377.4800019</v>
      </c>
      <c r="K42" s="242">
        <f t="shared" si="6"/>
        <v>4163636099.4900017</v>
      </c>
      <c r="L42" s="242">
        <f t="shared" si="6"/>
        <v>4135243164.5500021</v>
      </c>
      <c r="M42" s="242">
        <f t="shared" si="6"/>
        <v>4169126528.1600022</v>
      </c>
      <c r="N42" s="242">
        <f t="shared" si="6"/>
        <v>4219439943.0100021</v>
      </c>
      <c r="O42" s="242">
        <f t="shared" si="6"/>
        <v>4178012187.0300026</v>
      </c>
      <c r="P42" s="233">
        <f t="shared" si="4"/>
        <v>4070854964.0446167</v>
      </c>
    </row>
    <row r="43" spans="1:16">
      <c r="A43" s="748">
        <v>29</v>
      </c>
      <c r="B43" s="852" t="s">
        <v>1311</v>
      </c>
      <c r="C43" s="875">
        <f>+C29</f>
        <v>0</v>
      </c>
      <c r="D43" s="875">
        <f t="shared" ref="D43:P43" si="7">+D29</f>
        <v>0</v>
      </c>
      <c r="E43" s="875">
        <f t="shared" si="7"/>
        <v>0</v>
      </c>
      <c r="F43" s="875">
        <f t="shared" si="7"/>
        <v>0</v>
      </c>
      <c r="G43" s="875">
        <f t="shared" si="7"/>
        <v>0</v>
      </c>
      <c r="H43" s="875">
        <f t="shared" si="7"/>
        <v>0</v>
      </c>
      <c r="I43" s="875">
        <f t="shared" si="7"/>
        <v>0</v>
      </c>
      <c r="J43" s="875">
        <f t="shared" si="7"/>
        <v>0</v>
      </c>
      <c r="K43" s="875">
        <f t="shared" si="7"/>
        <v>0</v>
      </c>
      <c r="L43" s="875">
        <f t="shared" si="7"/>
        <v>0</v>
      </c>
      <c r="M43" s="875">
        <f t="shared" si="7"/>
        <v>0</v>
      </c>
      <c r="N43" s="875">
        <f t="shared" si="7"/>
        <v>0</v>
      </c>
      <c r="O43" s="875">
        <f t="shared" si="7"/>
        <v>0</v>
      </c>
      <c r="P43" s="875">
        <f t="shared" si="7"/>
        <v>0</v>
      </c>
    </row>
    <row r="44" spans="1:16">
      <c r="A44" s="748">
        <v>30</v>
      </c>
      <c r="B44" s="852" t="s">
        <v>1312</v>
      </c>
      <c r="C44" s="875">
        <f>+C42-C43</f>
        <v>3820275944.6900005</v>
      </c>
      <c r="D44" s="875">
        <f t="shared" ref="D44:P44" si="8">+D42-D43</f>
        <v>3895922391.2800012</v>
      </c>
      <c r="E44" s="875">
        <f t="shared" si="8"/>
        <v>3945755625.4100003</v>
      </c>
      <c r="F44" s="875">
        <f t="shared" si="8"/>
        <v>4043762978.5900006</v>
      </c>
      <c r="G44" s="875">
        <f t="shared" si="8"/>
        <v>4072203403.5300007</v>
      </c>
      <c r="H44" s="875">
        <f t="shared" si="8"/>
        <v>4106068131.6200004</v>
      </c>
      <c r="I44" s="875">
        <f t="shared" si="8"/>
        <v>4055460757.7400007</v>
      </c>
      <c r="J44" s="875">
        <f t="shared" si="8"/>
        <v>4116207377.4800019</v>
      </c>
      <c r="K44" s="875">
        <f t="shared" si="8"/>
        <v>4163636099.4900017</v>
      </c>
      <c r="L44" s="875">
        <f t="shared" si="8"/>
        <v>4135243164.5500021</v>
      </c>
      <c r="M44" s="875">
        <f t="shared" si="8"/>
        <v>4169126528.1600022</v>
      </c>
      <c r="N44" s="875">
        <f t="shared" si="8"/>
        <v>4219439943.0100021</v>
      </c>
      <c r="O44" s="875">
        <f t="shared" si="8"/>
        <v>4178012187.0300026</v>
      </c>
      <c r="P44" s="875">
        <f t="shared" si="8"/>
        <v>4070854964.0446167</v>
      </c>
    </row>
  </sheetData>
  <sheetProtection algorithmName="SHA-512" hashValue="fu6c4CYnnsk/VCeIeUm9Vgax9XX/cUXvGEV8Ios4g5Lgwn/7o3MDv0dEGrkLE57JZy4PXYUlLtX8N9+mHh4K2Q==" saltValue="2+bOaESbczOugqPLUbyt7g==" spinCount="100000" sheet="1" objects="1" scenarios="1"/>
  <mergeCells count="3">
    <mergeCell ref="C1:Q1"/>
    <mergeCell ref="C2:Q2"/>
    <mergeCell ref="C3:Q3"/>
  </mergeCells>
  <pageMargins left="0.7" right="0.7"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19"/>
  <sheetViews>
    <sheetView view="pageBreakPreview" topLeftCell="B1" zoomScale="60" zoomScaleNormal="65" workbookViewId="0">
      <selection activeCell="S64" sqref="S64"/>
    </sheetView>
  </sheetViews>
  <sheetFormatPr defaultColWidth="8.88671875" defaultRowHeight="12.75"/>
  <cols>
    <col min="1" max="1" width="6" style="148" customWidth="1"/>
    <col min="2" max="2" width="1.44140625" style="148" customWidth="1"/>
    <col min="3" max="3" width="42.77734375" style="148" customWidth="1"/>
    <col min="4" max="4" width="14.5546875" style="148" customWidth="1"/>
    <col min="5" max="5" width="17.5546875" style="148" customWidth="1"/>
    <col min="6" max="6" width="13.109375" style="148" customWidth="1"/>
    <col min="7" max="7" width="14.44140625" style="148" customWidth="1"/>
    <col min="8" max="8" width="16.33203125" style="148" customWidth="1"/>
    <col min="9" max="9" width="13.77734375" style="148" customWidth="1"/>
    <col min="10" max="10" width="14.44140625" style="148" customWidth="1"/>
    <col min="11" max="11" width="13.5546875" style="148" customWidth="1"/>
    <col min="12" max="13" width="15.77734375" style="148" customWidth="1"/>
    <col min="14" max="14" width="14.44140625" style="148" customWidth="1"/>
    <col min="15" max="15" width="13.21875" style="148" bestFit="1" customWidth="1"/>
    <col min="16" max="16" width="12.77734375" style="148" customWidth="1"/>
    <col min="17" max="17" width="13.88671875" style="148" customWidth="1"/>
    <col min="18" max="18" width="10.21875" style="148" customWidth="1"/>
    <col min="19" max="19" width="10.33203125" style="148" bestFit="1" customWidth="1"/>
    <col min="20" max="20" width="13" style="148" customWidth="1"/>
    <col min="21" max="21" width="11.33203125" style="53" bestFit="1" customWidth="1"/>
    <col min="22" max="16384" width="8.88671875" style="148"/>
  </cols>
  <sheetData>
    <row r="1" spans="1:22">
      <c r="Q1" s="149"/>
    </row>
    <row r="2" spans="1:22">
      <c r="Q2" s="149"/>
    </row>
    <row r="4" spans="1:22">
      <c r="Q4" s="149"/>
    </row>
    <row r="5" spans="1:22">
      <c r="D5" s="150"/>
      <c r="E5" s="150"/>
      <c r="F5" s="150"/>
      <c r="G5" s="151" t="s">
        <v>189</v>
      </c>
      <c r="H5" s="150"/>
      <c r="I5" s="150"/>
      <c r="J5" s="150"/>
      <c r="K5" s="152"/>
      <c r="L5" s="18"/>
      <c r="M5" s="153"/>
      <c r="N5" s="153"/>
      <c r="O5" s="153"/>
      <c r="P5" s="153"/>
      <c r="Q5" s="153"/>
      <c r="R5" s="152"/>
      <c r="S5" s="152"/>
      <c r="T5" s="152" t="s">
        <v>422</v>
      </c>
      <c r="U5" s="154"/>
      <c r="V5" s="152"/>
    </row>
    <row r="6" spans="1:22">
      <c r="D6" s="150"/>
      <c r="E6" s="155" t="s">
        <v>2</v>
      </c>
      <c r="F6" s="155"/>
      <c r="G6" s="151" t="s">
        <v>188</v>
      </c>
      <c r="H6" s="155"/>
      <c r="I6" s="155"/>
      <c r="J6" s="155"/>
      <c r="K6" s="152"/>
      <c r="P6" s="152"/>
      <c r="Q6" s="152"/>
      <c r="R6" s="152"/>
      <c r="S6" s="152"/>
      <c r="T6" s="156"/>
      <c r="U6" s="154"/>
      <c r="V6" s="152"/>
    </row>
    <row r="7" spans="1:22">
      <c r="C7" s="152"/>
      <c r="D7" s="152"/>
      <c r="E7" s="152"/>
      <c r="F7" s="152"/>
      <c r="G7" s="24" t="str">
        <f>+'Attachment H-7'!D5</f>
        <v>PECO Energy Company</v>
      </c>
      <c r="H7" s="152"/>
      <c r="I7" s="152"/>
      <c r="J7" s="152"/>
      <c r="K7" s="152"/>
      <c r="P7" s="152"/>
      <c r="Q7" s="152"/>
      <c r="R7" s="152"/>
      <c r="S7" s="152"/>
      <c r="T7" s="157"/>
      <c r="U7" s="154"/>
      <c r="V7" s="152"/>
    </row>
    <row r="8" spans="1:22">
      <c r="A8" s="151"/>
      <c r="C8" s="152"/>
      <c r="D8" s="152"/>
      <c r="E8" s="152"/>
      <c r="F8" s="152"/>
      <c r="H8" s="152"/>
      <c r="I8" s="152"/>
      <c r="J8" s="152"/>
      <c r="K8" s="152"/>
      <c r="L8" s="152"/>
      <c r="M8" s="152"/>
      <c r="N8" s="152"/>
      <c r="O8" s="152"/>
      <c r="P8" s="152"/>
      <c r="Q8" s="152"/>
      <c r="R8" s="152"/>
      <c r="S8" s="152"/>
      <c r="T8" s="157"/>
      <c r="U8" s="154"/>
      <c r="V8" s="152"/>
    </row>
    <row r="9" spans="1:22">
      <c r="A9" s="151"/>
      <c r="C9" s="152"/>
      <c r="D9" s="152"/>
      <c r="E9" s="152"/>
      <c r="F9" s="152"/>
      <c r="G9" s="158"/>
      <c r="H9" s="152"/>
      <c r="I9" s="152"/>
      <c r="J9" s="152"/>
      <c r="K9" s="152"/>
      <c r="L9" s="152"/>
      <c r="M9" s="152"/>
      <c r="N9" s="152"/>
      <c r="O9" s="152"/>
      <c r="P9" s="152"/>
      <c r="Q9" s="152"/>
      <c r="R9" s="152"/>
      <c r="S9" s="152"/>
      <c r="T9" s="157"/>
      <c r="U9" s="154"/>
      <c r="V9" s="152"/>
    </row>
    <row r="10" spans="1:22">
      <c r="A10" s="151"/>
      <c r="C10" s="152" t="s">
        <v>970</v>
      </c>
      <c r="D10" s="152"/>
      <c r="E10" s="152"/>
      <c r="F10" s="152"/>
      <c r="G10" s="158"/>
      <c r="H10" s="152"/>
      <c r="I10" s="152"/>
      <c r="J10" s="152"/>
      <c r="K10" s="152"/>
      <c r="L10" s="152"/>
      <c r="M10" s="152"/>
      <c r="N10" s="152"/>
      <c r="O10" s="152"/>
      <c r="P10" s="152"/>
      <c r="Q10" s="152"/>
      <c r="R10" s="152"/>
      <c r="S10" s="152"/>
      <c r="T10" s="157"/>
      <c r="U10" s="154"/>
      <c r="V10" s="152"/>
    </row>
    <row r="11" spans="1:22">
      <c r="A11" s="151"/>
      <c r="C11" s="152"/>
      <c r="D11" s="152"/>
      <c r="E11" s="152"/>
      <c r="F11" s="152"/>
      <c r="G11" s="158"/>
      <c r="L11" s="152"/>
      <c r="M11" s="152"/>
      <c r="N11" s="152"/>
      <c r="O11" s="152"/>
      <c r="P11" s="152"/>
      <c r="Q11" s="152"/>
      <c r="R11" s="152"/>
      <c r="S11" s="152"/>
      <c r="T11" s="152"/>
      <c r="U11" s="56"/>
      <c r="V11" s="152"/>
    </row>
    <row r="12" spans="1:22">
      <c r="A12" s="151"/>
      <c r="C12" s="152"/>
      <c r="D12" s="152"/>
      <c r="E12" s="152"/>
      <c r="F12" s="152"/>
      <c r="G12" s="152"/>
      <c r="L12" s="159"/>
      <c r="M12" s="159"/>
      <c r="N12" s="159"/>
      <c r="O12" s="159"/>
      <c r="P12" s="152"/>
      <c r="Q12" s="152"/>
      <c r="R12" s="152"/>
      <c r="S12" s="152"/>
      <c r="T12" s="152"/>
      <c r="U12" s="56"/>
      <c r="V12" s="152"/>
    </row>
    <row r="13" spans="1:22">
      <c r="C13" s="151" t="s">
        <v>3</v>
      </c>
      <c r="D13" s="151"/>
      <c r="E13" s="151" t="s">
        <v>4</v>
      </c>
      <c r="F13" s="151"/>
      <c r="I13" s="151" t="s">
        <v>5</v>
      </c>
      <c r="L13" s="160" t="s">
        <v>6</v>
      </c>
      <c r="M13" s="160"/>
      <c r="N13" s="160"/>
      <c r="O13" s="160"/>
      <c r="P13" s="155"/>
      <c r="Q13" s="160"/>
      <c r="R13" s="155"/>
      <c r="S13" s="155"/>
      <c r="T13" s="160"/>
      <c r="V13" s="150"/>
    </row>
    <row r="14" spans="1:22">
      <c r="C14" s="150"/>
      <c r="D14" s="150"/>
      <c r="E14" s="161" t="s">
        <v>969</v>
      </c>
      <c r="F14" s="161"/>
      <c r="I14" s="155"/>
      <c r="P14" s="155"/>
      <c r="R14" s="155"/>
      <c r="S14" s="155"/>
      <c r="T14" s="151"/>
      <c r="U14" s="162"/>
      <c r="V14" s="150"/>
    </row>
    <row r="15" spans="1:22">
      <c r="A15" s="151" t="s">
        <v>8</v>
      </c>
      <c r="C15" s="150"/>
      <c r="D15" s="150"/>
      <c r="E15" s="163" t="s">
        <v>18</v>
      </c>
      <c r="F15" s="163"/>
      <c r="I15" s="164" t="s">
        <v>17</v>
      </c>
      <c r="L15" s="164" t="s">
        <v>14</v>
      </c>
      <c r="M15" s="164"/>
      <c r="N15" s="164"/>
      <c r="O15" s="164"/>
      <c r="P15" s="155"/>
      <c r="R15" s="152"/>
      <c r="S15" s="152"/>
      <c r="T15" s="164"/>
      <c r="U15" s="162"/>
      <c r="V15" s="150"/>
    </row>
    <row r="16" spans="1:22">
      <c r="A16" s="151" t="s">
        <v>10</v>
      </c>
      <c r="C16" s="165"/>
      <c r="D16" s="165"/>
      <c r="E16" s="155"/>
      <c r="F16" s="155"/>
      <c r="I16" s="155"/>
      <c r="L16" s="155"/>
      <c r="M16" s="155"/>
      <c r="N16" s="155"/>
      <c r="O16" s="155"/>
      <c r="P16" s="155"/>
      <c r="Q16" s="155"/>
      <c r="R16" s="152"/>
      <c r="S16" s="152"/>
      <c r="T16" s="155"/>
      <c r="V16" s="150"/>
    </row>
    <row r="17" spans="1:22">
      <c r="A17" s="166"/>
      <c r="C17" s="150"/>
      <c r="D17" s="150"/>
      <c r="E17" s="155"/>
      <c r="F17" s="155"/>
      <c r="I17" s="155"/>
      <c r="L17" s="155"/>
      <c r="M17" s="155"/>
      <c r="N17" s="155"/>
      <c r="O17" s="155"/>
      <c r="P17" s="155"/>
      <c r="Q17" s="155"/>
      <c r="R17" s="152"/>
      <c r="S17" s="152"/>
      <c r="T17" s="155"/>
      <c r="V17" s="150"/>
    </row>
    <row r="18" spans="1:22">
      <c r="A18" s="167">
        <v>1</v>
      </c>
      <c r="C18" s="150" t="s">
        <v>126</v>
      </c>
      <c r="D18" s="150"/>
      <c r="E18" s="168" t="s">
        <v>1098</v>
      </c>
      <c r="F18" s="167"/>
      <c r="I18" s="53">
        <f>+'Attachment H-7'!I47</f>
        <v>1723143700.8466916</v>
      </c>
      <c r="P18" s="155"/>
      <c r="Q18" s="155"/>
      <c r="R18" s="152"/>
      <c r="S18" s="152"/>
      <c r="T18" s="155"/>
      <c r="V18" s="150"/>
    </row>
    <row r="19" spans="1:22">
      <c r="A19" s="167">
        <v>2</v>
      </c>
      <c r="C19" s="150" t="s">
        <v>127</v>
      </c>
      <c r="D19" s="150"/>
      <c r="E19" s="168" t="s">
        <v>1099</v>
      </c>
      <c r="F19" s="167"/>
      <c r="I19" s="53">
        <f>+'Attachment H-7'!I67+'Attachment H-7'!I85+'Attachment H-7'!I88</f>
        <v>1187937238.5455537</v>
      </c>
      <c r="P19" s="155"/>
      <c r="Q19" s="155"/>
      <c r="R19" s="152"/>
      <c r="S19" s="152"/>
      <c r="T19" s="155"/>
      <c r="V19" s="150"/>
    </row>
    <row r="20" spans="1:22">
      <c r="A20" s="167"/>
      <c r="E20" s="168"/>
      <c r="F20" s="167"/>
      <c r="P20" s="155"/>
      <c r="Q20" s="155"/>
      <c r="R20" s="152"/>
      <c r="S20" s="152"/>
      <c r="T20" s="155"/>
      <c r="V20" s="150"/>
    </row>
    <row r="21" spans="1:22">
      <c r="A21" s="167"/>
      <c r="C21" s="150" t="s">
        <v>128</v>
      </c>
      <c r="D21" s="150"/>
      <c r="E21" s="168"/>
      <c r="F21" s="167"/>
      <c r="I21" s="155"/>
      <c r="L21" s="155"/>
      <c r="M21" s="155"/>
      <c r="N21" s="155"/>
      <c r="O21" s="155"/>
      <c r="P21" s="155"/>
      <c r="Q21" s="155"/>
      <c r="R21" s="155"/>
      <c r="S21" s="155"/>
      <c r="T21" s="155"/>
      <c r="V21" s="150"/>
    </row>
    <row r="22" spans="1:22">
      <c r="A22" s="167">
        <v>3</v>
      </c>
      <c r="C22" s="150" t="s">
        <v>129</v>
      </c>
      <c r="D22" s="150"/>
      <c r="E22" s="168" t="s">
        <v>1100</v>
      </c>
      <c r="F22" s="167"/>
      <c r="I22" s="53">
        <f>+'Attachment H-7'!I125</f>
        <v>66163075.652507231</v>
      </c>
      <c r="P22" s="155"/>
      <c r="Q22" s="155"/>
      <c r="R22" s="155"/>
      <c r="S22" s="155"/>
      <c r="T22" s="155"/>
      <c r="V22" s="150"/>
    </row>
    <row r="23" spans="1:22">
      <c r="A23" s="167">
        <v>4</v>
      </c>
      <c r="C23" s="150" t="s">
        <v>130</v>
      </c>
      <c r="D23" s="150"/>
      <c r="E23" s="168" t="s">
        <v>131</v>
      </c>
      <c r="F23" s="167"/>
      <c r="I23" s="169">
        <f>IF(I18=0,0,I22/I18)</f>
        <v>3.8396725484936077E-2</v>
      </c>
      <c r="L23" s="170">
        <f>I23</f>
        <v>3.8396725484936077E-2</v>
      </c>
      <c r="M23" s="171"/>
      <c r="N23" s="171"/>
      <c r="O23" s="171"/>
      <c r="P23" s="155"/>
      <c r="Q23" s="172"/>
      <c r="R23" s="173"/>
      <c r="S23" s="173"/>
      <c r="T23" s="174"/>
      <c r="V23" s="150"/>
    </row>
    <row r="24" spans="1:22">
      <c r="A24" s="167"/>
      <c r="C24" s="150"/>
      <c r="D24" s="150"/>
      <c r="E24" s="168"/>
      <c r="F24" s="167"/>
      <c r="I24" s="175"/>
      <c r="L24" s="170"/>
      <c r="M24" s="171"/>
      <c r="N24" s="171"/>
      <c r="O24" s="171"/>
      <c r="P24" s="155"/>
      <c r="Q24" s="172"/>
      <c r="R24" s="173"/>
      <c r="S24" s="173"/>
      <c r="T24" s="174"/>
      <c r="V24" s="150"/>
    </row>
    <row r="25" spans="1:22">
      <c r="A25" s="160"/>
      <c r="C25" s="150" t="s">
        <v>370</v>
      </c>
      <c r="D25" s="150"/>
      <c r="E25" s="176"/>
      <c r="F25" s="177"/>
      <c r="I25" s="155"/>
      <c r="L25" s="169"/>
      <c r="M25" s="155"/>
      <c r="N25" s="155"/>
      <c r="O25" s="155"/>
      <c r="P25" s="155"/>
      <c r="Q25" s="172"/>
      <c r="R25" s="173"/>
      <c r="S25" s="173"/>
      <c r="T25" s="174"/>
      <c r="V25" s="150"/>
    </row>
    <row r="26" spans="1:22">
      <c r="A26" s="160" t="s">
        <v>132</v>
      </c>
      <c r="C26" s="150" t="s">
        <v>372</v>
      </c>
      <c r="D26" s="150"/>
      <c r="E26" s="168" t="s">
        <v>1104</v>
      </c>
      <c r="F26" s="167"/>
      <c r="I26" s="53">
        <f>+'Attachment H-7'!I129+'Attachment H-7'!I133+'Attachment H-7'!I130+'Attachment H-7'!I134+'Attachment H-7'!I131</f>
        <v>8281543.8548941016</v>
      </c>
      <c r="L26" s="169"/>
      <c r="P26" s="155"/>
      <c r="Q26" s="172"/>
      <c r="R26" s="173"/>
      <c r="S26" s="173"/>
      <c r="T26" s="174"/>
      <c r="V26" s="150"/>
    </row>
    <row r="27" spans="1:22">
      <c r="A27" s="160" t="s">
        <v>133</v>
      </c>
      <c r="C27" s="150" t="s">
        <v>371</v>
      </c>
      <c r="D27" s="150"/>
      <c r="E27" s="168" t="s">
        <v>134</v>
      </c>
      <c r="F27" s="167"/>
      <c r="I27" s="59">
        <f>IF(I26=0,0,I26/I18)</f>
        <v>4.8060668711639347E-3</v>
      </c>
      <c r="J27" s="59"/>
      <c r="K27" s="59"/>
      <c r="L27" s="170">
        <f>I27</f>
        <v>4.8060668711639347E-3</v>
      </c>
      <c r="M27" s="171"/>
      <c r="N27" s="171"/>
      <c r="O27" s="171"/>
      <c r="P27" s="155"/>
      <c r="Q27" s="172"/>
      <c r="R27" s="173"/>
      <c r="S27" s="173"/>
      <c r="T27" s="174"/>
      <c r="V27" s="150"/>
    </row>
    <row r="28" spans="1:22">
      <c r="A28" s="167"/>
      <c r="C28" s="150"/>
      <c r="D28" s="150"/>
      <c r="E28" s="168"/>
      <c r="F28" s="167"/>
      <c r="I28" s="59"/>
      <c r="J28" s="59"/>
      <c r="K28" s="59"/>
      <c r="L28" s="170"/>
      <c r="M28" s="171"/>
      <c r="N28" s="171"/>
      <c r="O28" s="171"/>
      <c r="P28" s="155"/>
      <c r="Q28" s="172"/>
      <c r="R28" s="173"/>
      <c r="S28" s="173"/>
      <c r="T28" s="174"/>
      <c r="V28" s="150"/>
    </row>
    <row r="29" spans="1:22">
      <c r="A29" s="160"/>
      <c r="C29" s="150" t="s">
        <v>135</v>
      </c>
      <c r="D29" s="150"/>
      <c r="E29" s="176"/>
      <c r="F29" s="177"/>
      <c r="I29" s="59"/>
      <c r="J29" s="59"/>
      <c r="K29" s="59"/>
      <c r="L29" s="169"/>
      <c r="M29" s="155"/>
      <c r="N29" s="155"/>
      <c r="O29" s="155"/>
      <c r="P29" s="155"/>
      <c r="Q29" s="155"/>
      <c r="R29" s="155"/>
      <c r="S29" s="155"/>
      <c r="T29" s="155"/>
      <c r="V29" s="150"/>
    </row>
    <row r="30" spans="1:22">
      <c r="A30" s="160" t="s">
        <v>136</v>
      </c>
      <c r="C30" s="150" t="s">
        <v>137</v>
      </c>
      <c r="D30" s="150"/>
      <c r="E30" s="168" t="s">
        <v>1101</v>
      </c>
      <c r="F30" s="167"/>
      <c r="I30" s="53">
        <f>+'Attachment H-7'!I147</f>
        <v>3622141.8025371637</v>
      </c>
      <c r="J30" s="59"/>
      <c r="K30" s="59"/>
      <c r="L30" s="169"/>
      <c r="P30" s="155"/>
      <c r="Q30" s="164"/>
      <c r="R30" s="155"/>
      <c r="S30" s="155"/>
      <c r="T30" s="167"/>
      <c r="U30" s="162"/>
      <c r="V30" s="150"/>
    </row>
    <row r="31" spans="1:22">
      <c r="A31" s="160" t="s">
        <v>138</v>
      </c>
      <c r="C31" s="150" t="s">
        <v>139</v>
      </c>
      <c r="D31" s="150"/>
      <c r="E31" s="168" t="s">
        <v>140</v>
      </c>
      <c r="F31" s="167"/>
      <c r="I31" s="59">
        <f>IF(I30=0,0,I30/I18)</f>
        <v>2.1020544025187058E-3</v>
      </c>
      <c r="J31" s="59"/>
      <c r="K31" s="59"/>
      <c r="L31" s="170">
        <f>I31</f>
        <v>2.1020544025187058E-3</v>
      </c>
      <c r="M31" s="171"/>
      <c r="N31" s="171"/>
      <c r="O31" s="171"/>
      <c r="P31" s="155"/>
      <c r="Q31" s="172"/>
      <c r="R31" s="155"/>
      <c r="S31" s="155"/>
      <c r="T31" s="174"/>
      <c r="U31" s="162"/>
      <c r="V31" s="150"/>
    </row>
    <row r="32" spans="1:22">
      <c r="A32" s="160"/>
      <c r="C32" s="150"/>
      <c r="D32" s="150"/>
      <c r="E32" s="168"/>
      <c r="F32" s="167"/>
      <c r="I32" s="155"/>
      <c r="L32" s="169"/>
      <c r="M32" s="155"/>
      <c r="N32" s="155"/>
      <c r="O32" s="155"/>
      <c r="P32" s="155"/>
      <c r="V32" s="150"/>
    </row>
    <row r="33" spans="1:22">
      <c r="A33" s="160" t="s">
        <v>141</v>
      </c>
      <c r="C33" s="150" t="s">
        <v>181</v>
      </c>
      <c r="D33" s="150"/>
      <c r="E33" s="168" t="s">
        <v>1102</v>
      </c>
      <c r="F33" s="167"/>
      <c r="I33" s="53">
        <f>'Attachment H-7'!I14</f>
        <v>10105184.6159498</v>
      </c>
      <c r="L33" s="169"/>
      <c r="M33" s="155"/>
      <c r="N33" s="155"/>
      <c r="O33" s="155"/>
      <c r="P33" s="155"/>
      <c r="V33" s="150"/>
    </row>
    <row r="34" spans="1:22">
      <c r="A34" s="160" t="s">
        <v>144</v>
      </c>
      <c r="C34" s="150" t="s">
        <v>356</v>
      </c>
      <c r="D34" s="150"/>
      <c r="E34" s="168" t="s">
        <v>177</v>
      </c>
      <c r="F34" s="167"/>
      <c r="I34" s="178">
        <f>IF(L18=0,0,I33/I18)</f>
        <v>0</v>
      </c>
      <c r="L34" s="169">
        <f>+I34</f>
        <v>0</v>
      </c>
      <c r="M34" s="155"/>
      <c r="N34" s="155"/>
      <c r="O34" s="155"/>
      <c r="P34" s="155"/>
      <c r="V34" s="150"/>
    </row>
    <row r="35" spans="1:22">
      <c r="A35" s="160"/>
      <c r="C35" s="150"/>
      <c r="D35" s="150"/>
      <c r="E35" s="168"/>
      <c r="F35" s="167"/>
      <c r="I35" s="155"/>
      <c r="L35" s="169"/>
      <c r="M35" s="155"/>
      <c r="N35" s="155"/>
      <c r="O35" s="155"/>
      <c r="P35" s="155"/>
      <c r="V35" s="150"/>
    </row>
    <row r="36" spans="1:22">
      <c r="A36" s="179" t="s">
        <v>145</v>
      </c>
      <c r="B36" s="180"/>
      <c r="C36" s="165" t="s">
        <v>142</v>
      </c>
      <c r="D36" s="165"/>
      <c r="E36" s="181" t="s">
        <v>1140</v>
      </c>
      <c r="F36" s="161"/>
      <c r="I36" s="173"/>
      <c r="L36" s="182">
        <f>L23+L27+L31+L34</f>
        <v>4.5304846758618719E-2</v>
      </c>
      <c r="M36" s="183"/>
      <c r="N36" s="183"/>
      <c r="O36" s="183"/>
      <c r="P36" s="155"/>
      <c r="V36" s="150"/>
    </row>
    <row r="37" spans="1:22">
      <c r="A37" s="160"/>
      <c r="C37" s="150"/>
      <c r="D37" s="150"/>
      <c r="E37" s="168"/>
      <c r="F37" s="167"/>
      <c r="I37" s="155"/>
      <c r="L37" s="169"/>
      <c r="M37" s="155"/>
      <c r="N37" s="155"/>
      <c r="O37" s="155"/>
      <c r="P37" s="155"/>
      <c r="Q37" s="155"/>
      <c r="R37" s="155"/>
      <c r="S37" s="155"/>
      <c r="T37" s="184"/>
      <c r="V37" s="150"/>
    </row>
    <row r="38" spans="1:22">
      <c r="A38" s="160"/>
      <c r="B38" s="185"/>
      <c r="C38" s="155" t="s">
        <v>143</v>
      </c>
      <c r="D38" s="155"/>
      <c r="E38" s="168"/>
      <c r="F38" s="167"/>
      <c r="I38" s="155"/>
      <c r="L38" s="169"/>
      <c r="M38" s="155"/>
      <c r="N38" s="155"/>
      <c r="O38" s="155"/>
      <c r="P38" s="186"/>
      <c r="Q38" s="185"/>
      <c r="U38" s="162"/>
      <c r="V38" s="155" t="s">
        <v>2</v>
      </c>
    </row>
    <row r="39" spans="1:22">
      <c r="A39" s="160" t="s">
        <v>147</v>
      </c>
      <c r="B39" s="185"/>
      <c r="C39" s="155" t="s">
        <v>38</v>
      </c>
      <c r="D39" s="155"/>
      <c r="E39" s="168" t="s">
        <v>1103</v>
      </c>
      <c r="F39" s="167"/>
      <c r="I39" s="53">
        <f>+'Attachment H-7'!I164</f>
        <v>18549174.068337161</v>
      </c>
      <c r="L39" s="169"/>
      <c r="M39" s="155"/>
      <c r="N39" s="155"/>
      <c r="O39" s="155"/>
      <c r="P39" s="186"/>
      <c r="Q39" s="185"/>
      <c r="U39" s="162"/>
      <c r="V39" s="155"/>
    </row>
    <row r="40" spans="1:22">
      <c r="A40" s="160" t="s">
        <v>149</v>
      </c>
      <c r="B40" s="185"/>
      <c r="C40" s="155" t="s">
        <v>146</v>
      </c>
      <c r="D40" s="155"/>
      <c r="E40" s="168" t="s">
        <v>151</v>
      </c>
      <c r="F40" s="167"/>
      <c r="I40" s="59">
        <f>IF(I19=0,0,I39/I19)</f>
        <v>1.5614607797839361E-2</v>
      </c>
      <c r="L40" s="170">
        <f>I40</f>
        <v>1.5614607797839361E-2</v>
      </c>
      <c r="M40" s="171"/>
      <c r="N40" s="171"/>
      <c r="O40" s="171"/>
      <c r="P40" s="186"/>
      <c r="Q40" s="185"/>
      <c r="R40" s="155"/>
      <c r="S40" s="155"/>
      <c r="T40" s="155"/>
      <c r="U40" s="162"/>
      <c r="V40" s="155"/>
    </row>
    <row r="41" spans="1:22">
      <c r="A41" s="160"/>
      <c r="C41" s="155"/>
      <c r="D41" s="155"/>
      <c r="E41" s="168"/>
      <c r="F41" s="167"/>
      <c r="I41" s="155"/>
      <c r="L41" s="169"/>
      <c r="M41" s="155"/>
      <c r="N41" s="155"/>
      <c r="O41" s="155"/>
      <c r="P41" s="155"/>
      <c r="R41" s="152"/>
      <c r="S41" s="152"/>
      <c r="T41" s="155"/>
      <c r="U41" s="56"/>
      <c r="V41" s="150"/>
    </row>
    <row r="42" spans="1:22">
      <c r="A42" s="160"/>
      <c r="C42" s="150" t="s">
        <v>39</v>
      </c>
      <c r="D42" s="150"/>
      <c r="E42" s="187"/>
      <c r="F42" s="188"/>
      <c r="L42" s="169"/>
      <c r="P42" s="155"/>
      <c r="R42" s="155"/>
      <c r="S42" s="155"/>
      <c r="T42" s="155"/>
      <c r="V42" s="150"/>
    </row>
    <row r="43" spans="1:22">
      <c r="A43" s="160" t="s">
        <v>152</v>
      </c>
      <c r="C43" s="150" t="s">
        <v>148</v>
      </c>
      <c r="D43" s="150"/>
      <c r="E43" s="168" t="s">
        <v>1262</v>
      </c>
      <c r="F43" s="167"/>
      <c r="I43" s="53">
        <f>+'Attachment H-7'!I167+'Attachment H-7'!I169</f>
        <v>73244421.855393991</v>
      </c>
      <c r="L43" s="169"/>
      <c r="M43" s="155"/>
      <c r="N43" s="155"/>
      <c r="O43" s="155"/>
      <c r="P43" s="155"/>
      <c r="R43" s="155"/>
      <c r="S43" s="155"/>
      <c r="T43" s="155"/>
      <c r="V43" s="150"/>
    </row>
    <row r="44" spans="1:22">
      <c r="A44" s="160" t="s">
        <v>175</v>
      </c>
      <c r="B44" s="185"/>
      <c r="C44" s="155" t="s">
        <v>150</v>
      </c>
      <c r="D44" s="155"/>
      <c r="E44" s="168" t="s">
        <v>373</v>
      </c>
      <c r="F44" s="167"/>
      <c r="I44" s="59">
        <f>IF(I19=0,0,I43/I19)</f>
        <v>6.1656811049269331E-2</v>
      </c>
      <c r="L44" s="170">
        <f>I44</f>
        <v>6.1656811049269331E-2</v>
      </c>
      <c r="M44" s="171"/>
      <c r="N44" s="171"/>
      <c r="O44" s="171"/>
      <c r="P44" s="155"/>
      <c r="T44" s="189"/>
      <c r="U44" s="162"/>
      <c r="V44" s="155"/>
    </row>
    <row r="45" spans="1:22">
      <c r="A45" s="160"/>
      <c r="C45" s="150"/>
      <c r="D45" s="150"/>
      <c r="E45" s="168"/>
      <c r="F45" s="167"/>
      <c r="I45" s="155"/>
      <c r="L45" s="169"/>
      <c r="M45" s="155"/>
      <c r="N45" s="155"/>
      <c r="O45" s="155"/>
      <c r="P45" s="155"/>
      <c r="Q45" s="188"/>
      <c r="R45" s="155"/>
      <c r="S45" s="155"/>
      <c r="T45" s="155"/>
      <c r="V45" s="150"/>
    </row>
    <row r="46" spans="1:22">
      <c r="A46" s="179" t="s">
        <v>176</v>
      </c>
      <c r="B46" s="180"/>
      <c r="C46" s="165" t="s">
        <v>153</v>
      </c>
      <c r="D46" s="165"/>
      <c r="E46" s="181" t="s">
        <v>1141</v>
      </c>
      <c r="F46" s="161"/>
      <c r="I46" s="59">
        <f>+I44+I40</f>
        <v>7.7271418847108697E-2</v>
      </c>
      <c r="L46" s="182">
        <f>L40+L44</f>
        <v>7.7271418847108697E-2</v>
      </c>
      <c r="M46" s="183"/>
      <c r="N46" s="183"/>
      <c r="O46" s="183"/>
      <c r="P46" s="155"/>
      <c r="Q46" s="188"/>
      <c r="R46" s="155"/>
      <c r="S46" s="155"/>
      <c r="T46" s="155"/>
      <c r="V46" s="150"/>
    </row>
    <row r="47" spans="1:22">
      <c r="P47" s="190"/>
      <c r="Q47" s="190"/>
      <c r="R47" s="155"/>
      <c r="S47" s="155"/>
      <c r="T47" s="155"/>
      <c r="V47" s="150"/>
    </row>
    <row r="48" spans="1:22">
      <c r="P48" s="190"/>
      <c r="Q48" s="190"/>
      <c r="R48" s="155"/>
      <c r="S48" s="155"/>
      <c r="T48" s="155"/>
      <c r="V48" s="150"/>
    </row>
    <row r="49" spans="1:22">
      <c r="A49" s="191"/>
      <c r="C49" s="160"/>
      <c r="D49" s="160"/>
      <c r="E49" s="177"/>
      <c r="F49" s="177"/>
      <c r="G49" s="155"/>
      <c r="J49" s="175"/>
      <c r="P49" s="155"/>
      <c r="Q49" s="172"/>
      <c r="R49" s="192"/>
      <c r="S49" s="192"/>
      <c r="T49" s="155"/>
      <c r="U49" s="162"/>
      <c r="V49" s="155"/>
    </row>
    <row r="50" spans="1:22">
      <c r="A50" s="151"/>
      <c r="G50" s="155"/>
      <c r="P50" s="155"/>
      <c r="Q50" s="155"/>
      <c r="R50" s="155"/>
      <c r="S50" s="155"/>
      <c r="T50" s="155"/>
      <c r="U50" s="162"/>
      <c r="V50" s="155" t="s">
        <v>2</v>
      </c>
    </row>
    <row r="51" spans="1:22">
      <c r="Q51" s="149"/>
    </row>
    <row r="52" spans="1:22">
      <c r="Q52" s="149"/>
    </row>
    <row r="54" spans="1:22">
      <c r="A54" s="151"/>
      <c r="G54" s="155"/>
      <c r="P54" s="155"/>
      <c r="Q54" s="149"/>
      <c r="R54" s="155"/>
      <c r="S54" s="155"/>
      <c r="T54" s="152"/>
      <c r="V54" s="150"/>
    </row>
    <row r="55" spans="1:22">
      <c r="A55" s="151"/>
      <c r="C55" s="150"/>
      <c r="D55" s="150"/>
      <c r="G55" s="177" t="str">
        <f>+G5</f>
        <v>Attachment 1</v>
      </c>
      <c r="H55" s="177"/>
      <c r="P55" s="155"/>
      <c r="Q55" s="149"/>
      <c r="R55" s="155"/>
      <c r="S55" s="155"/>
      <c r="T55" s="148" t="s">
        <v>154</v>
      </c>
      <c r="V55" s="150"/>
    </row>
    <row r="56" spans="1:22">
      <c r="A56" s="151"/>
      <c r="C56" s="150"/>
      <c r="D56" s="150"/>
      <c r="G56" s="177" t="str">
        <f>+G6</f>
        <v>Project Revenue Requirement Worksheet</v>
      </c>
      <c r="H56" s="177"/>
      <c r="L56" s="155"/>
      <c r="M56" s="155"/>
      <c r="N56" s="155"/>
      <c r="O56" s="155"/>
      <c r="P56" s="155"/>
      <c r="R56" s="155"/>
      <c r="S56" s="155"/>
      <c r="T56" s="152"/>
      <c r="V56" s="150"/>
    </row>
    <row r="57" spans="1:22" ht="14.25" customHeight="1">
      <c r="A57" s="151"/>
      <c r="G57" s="177" t="str">
        <f>+G7</f>
        <v>PECO Energy Company</v>
      </c>
      <c r="P57" s="155"/>
      <c r="R57" s="155"/>
      <c r="S57" s="155"/>
      <c r="T57" s="152"/>
      <c r="V57" s="150"/>
    </row>
    <row r="58" spans="1:22">
      <c r="A58" s="151"/>
      <c r="H58" s="177"/>
      <c r="P58" s="155"/>
      <c r="Q58" s="155"/>
      <c r="R58" s="155"/>
      <c r="S58" s="155"/>
      <c r="T58" s="152"/>
      <c r="V58" s="150"/>
    </row>
    <row r="59" spans="1:22">
      <c r="A59" s="151"/>
      <c r="E59" s="150"/>
      <c r="F59" s="150"/>
      <c r="G59" s="150"/>
      <c r="H59" s="150"/>
      <c r="I59" s="150"/>
      <c r="J59" s="150"/>
      <c r="K59" s="150"/>
      <c r="L59" s="150"/>
      <c r="M59" s="150"/>
      <c r="N59" s="150"/>
      <c r="O59" s="150"/>
      <c r="P59" s="150"/>
      <c r="Q59" s="150"/>
      <c r="R59" s="155"/>
      <c r="S59" s="155"/>
      <c r="T59" s="152"/>
      <c r="V59" s="150"/>
    </row>
    <row r="60" spans="1:22">
      <c r="A60" s="151"/>
      <c r="E60" s="165"/>
      <c r="F60" s="165"/>
      <c r="H60" s="152"/>
      <c r="I60" s="152"/>
      <c r="J60" s="152"/>
      <c r="K60" s="152"/>
      <c r="L60" s="152"/>
      <c r="M60" s="152"/>
      <c r="N60" s="152"/>
      <c r="O60" s="152"/>
      <c r="P60" s="155"/>
      <c r="Q60" s="155"/>
      <c r="R60" s="155"/>
      <c r="S60" s="155"/>
      <c r="T60" s="152"/>
      <c r="V60" s="150"/>
    </row>
    <row r="61" spans="1:22">
      <c r="A61" s="151"/>
      <c r="E61" s="165"/>
      <c r="F61" s="165"/>
      <c r="H61" s="152"/>
      <c r="I61" s="152"/>
      <c r="J61" s="152"/>
      <c r="K61" s="152"/>
      <c r="L61" s="152"/>
      <c r="M61" s="152"/>
      <c r="N61" s="152"/>
      <c r="O61" s="152"/>
      <c r="P61" s="155"/>
      <c r="Q61" s="155"/>
      <c r="R61" s="155"/>
      <c r="S61" s="155"/>
      <c r="T61" s="152"/>
      <c r="V61" s="150"/>
    </row>
    <row r="62" spans="1:22">
      <c r="A62" s="151"/>
      <c r="C62" s="193">
        <v>-1</v>
      </c>
      <c r="D62" s="193">
        <v>-2</v>
      </c>
      <c r="E62" s="193">
        <v>-3</v>
      </c>
      <c r="F62" s="193">
        <v>-4</v>
      </c>
      <c r="G62" s="193">
        <v>-5</v>
      </c>
      <c r="H62" s="193">
        <v>-6</v>
      </c>
      <c r="I62" s="193">
        <v>-7</v>
      </c>
      <c r="J62" s="193">
        <v>-8</v>
      </c>
      <c r="K62" s="193">
        <v>-9</v>
      </c>
      <c r="L62" s="193">
        <v>-10</v>
      </c>
      <c r="M62" s="193">
        <v>-11</v>
      </c>
      <c r="N62" s="193">
        <v>-12</v>
      </c>
      <c r="O62" s="193" t="s">
        <v>321</v>
      </c>
      <c r="P62" s="193">
        <v>-13</v>
      </c>
      <c r="Q62" s="194" t="s">
        <v>274</v>
      </c>
      <c r="R62" s="194" t="s">
        <v>275</v>
      </c>
      <c r="S62" s="194" t="s">
        <v>1213</v>
      </c>
      <c r="T62" s="194" t="s">
        <v>293</v>
      </c>
      <c r="V62" s="150"/>
    </row>
    <row r="63" spans="1:22" ht="53.25" customHeight="1">
      <c r="A63" s="195" t="s">
        <v>155</v>
      </c>
      <c r="B63" s="196"/>
      <c r="C63" s="197" t="s">
        <v>426</v>
      </c>
      <c r="D63" s="198" t="s">
        <v>446</v>
      </c>
      <c r="E63" s="199" t="s">
        <v>156</v>
      </c>
      <c r="F63" s="199" t="s">
        <v>142</v>
      </c>
      <c r="G63" s="200" t="s">
        <v>157</v>
      </c>
      <c r="H63" s="199" t="s">
        <v>424</v>
      </c>
      <c r="I63" s="199" t="s">
        <v>153</v>
      </c>
      <c r="J63" s="200" t="s">
        <v>158</v>
      </c>
      <c r="K63" s="199" t="s">
        <v>178</v>
      </c>
      <c r="L63" s="201" t="s">
        <v>159</v>
      </c>
      <c r="M63" s="201" t="s">
        <v>180</v>
      </c>
      <c r="N63" s="201" t="s">
        <v>179</v>
      </c>
      <c r="O63" s="201" t="s">
        <v>319</v>
      </c>
      <c r="P63" s="201" t="s">
        <v>428</v>
      </c>
      <c r="Q63" s="201" t="s">
        <v>187</v>
      </c>
      <c r="R63" s="201" t="s">
        <v>160</v>
      </c>
      <c r="S63" s="201" t="s">
        <v>1214</v>
      </c>
      <c r="T63" s="201" t="s">
        <v>376</v>
      </c>
      <c r="V63" s="150"/>
    </row>
    <row r="64" spans="1:22" ht="46.5" customHeight="1">
      <c r="A64" s="202"/>
      <c r="B64" s="203"/>
      <c r="C64" s="203"/>
      <c r="D64" s="203"/>
      <c r="E64" s="204" t="s">
        <v>103</v>
      </c>
      <c r="F64" s="204" t="s">
        <v>284</v>
      </c>
      <c r="G64" s="205" t="s">
        <v>161</v>
      </c>
      <c r="H64" s="204" t="s">
        <v>317</v>
      </c>
      <c r="I64" s="204" t="s">
        <v>285</v>
      </c>
      <c r="J64" s="205" t="s">
        <v>162</v>
      </c>
      <c r="K64" s="204" t="s">
        <v>318</v>
      </c>
      <c r="L64" s="205" t="s">
        <v>163</v>
      </c>
      <c r="M64" s="204" t="s">
        <v>312</v>
      </c>
      <c r="N64" s="206" t="s">
        <v>668</v>
      </c>
      <c r="O64" s="207" t="s">
        <v>320</v>
      </c>
      <c r="P64" s="208" t="s">
        <v>295</v>
      </c>
      <c r="Q64" s="207" t="s">
        <v>294</v>
      </c>
      <c r="R64" s="209" t="s">
        <v>164</v>
      </c>
      <c r="S64" s="996">
        <v>-850000</v>
      </c>
      <c r="T64" s="207" t="s">
        <v>1215</v>
      </c>
      <c r="V64" s="150"/>
    </row>
    <row r="65" spans="1:22">
      <c r="A65" s="210"/>
      <c r="B65" s="152"/>
      <c r="C65" s="152"/>
      <c r="D65" s="152"/>
      <c r="E65" s="152"/>
      <c r="F65" s="152"/>
      <c r="G65" s="211"/>
      <c r="H65" s="152"/>
      <c r="I65" s="152"/>
      <c r="J65" s="211"/>
      <c r="K65" s="152"/>
      <c r="L65" s="211"/>
      <c r="M65" s="212"/>
      <c r="N65" s="211"/>
      <c r="O65" s="211"/>
      <c r="P65" s="152"/>
      <c r="Q65" s="213"/>
      <c r="R65" s="214"/>
      <c r="S65" s="155"/>
      <c r="T65" s="214"/>
      <c r="V65" s="150"/>
    </row>
    <row r="66" spans="1:22">
      <c r="A66" s="215" t="s">
        <v>631</v>
      </c>
      <c r="B66" s="216"/>
      <c r="C66" s="216" t="s">
        <v>445</v>
      </c>
      <c r="D66" s="217" t="s">
        <v>447</v>
      </c>
      <c r="E66" s="218">
        <f>+'Attachment H-7'!I47-SUM(E67:E93)</f>
        <v>1500556507.5886312</v>
      </c>
      <c r="F66" s="59">
        <f t="shared" ref="F66:F92" si="0">$L$36</f>
        <v>4.5304846758618719E-2</v>
      </c>
      <c r="G66" s="220">
        <f t="shared" ref="G66:G85" si="1">E66*F66</f>
        <v>67982482.628951028</v>
      </c>
      <c r="H66" s="218">
        <f>+'Attachment H-7'!I67-SUM(H67:H93)</f>
        <v>987948422.7872293</v>
      </c>
      <c r="I66" s="59">
        <f>$L$46</f>
        <v>7.7271418847108697E-2</v>
      </c>
      <c r="J66" s="220">
        <f>H66*I66</f>
        <v>76340176.376532421</v>
      </c>
      <c r="K66" s="53">
        <f>+'Attachment H-7'!I128-SUM(K67:K93)</f>
        <v>21868862.014625341</v>
      </c>
      <c r="L66" s="220">
        <f>G66+J66+K66</f>
        <v>166191521.02010879</v>
      </c>
      <c r="M66" s="221">
        <v>0</v>
      </c>
      <c r="N66" s="220">
        <f>+'2-Incentive ROE'!K$40*'1-Project Rev Req'!M66/100*H66</f>
        <v>0</v>
      </c>
      <c r="O66" s="220">
        <f>+L66+N66</f>
        <v>166191521.02010879</v>
      </c>
      <c r="P66" s="53">
        <v>0</v>
      </c>
      <c r="Q66" s="220">
        <f>+L66+N66-P66</f>
        <v>166191521.02010879</v>
      </c>
      <c r="R66" s="220">
        <f>+'3-Project True-up'!K18</f>
        <v>-24614868.11237083</v>
      </c>
      <c r="S66" s="53">
        <f>$S$64*Q66/$Q$95</f>
        <v>-718988.20121182513</v>
      </c>
      <c r="T66" s="222"/>
    </row>
    <row r="67" spans="1:22">
      <c r="A67" s="215" t="s">
        <v>633</v>
      </c>
      <c r="B67" s="216"/>
      <c r="C67" s="990" t="s">
        <v>1235</v>
      </c>
      <c r="D67" s="991" t="s">
        <v>720</v>
      </c>
      <c r="E67" s="992">
        <v>34380111.900417194</v>
      </c>
      <c r="F67" s="59">
        <f t="shared" si="0"/>
        <v>4.5304846758618719E-2</v>
      </c>
      <c r="G67" s="220">
        <f t="shared" si="1"/>
        <v>1557585.7011925648</v>
      </c>
      <c r="H67" s="992">
        <v>27689251.988085713</v>
      </c>
      <c r="I67" s="59">
        <f t="shared" ref="I67:I92" si="2">$L$46</f>
        <v>7.7271418847108697E-2</v>
      </c>
      <c r="J67" s="220">
        <f t="shared" ref="J67:J85" si="3">H67*I67</f>
        <v>2139587.7879345082</v>
      </c>
      <c r="K67" s="886">
        <v>622979.87679789343</v>
      </c>
      <c r="L67" s="220">
        <f>G67+J67+K67</f>
        <v>4320153.3659249665</v>
      </c>
      <c r="M67" s="890">
        <v>0</v>
      </c>
      <c r="N67" s="220">
        <f>+'2-Incentive ROE'!K$40*'1-Project Rev Req'!M67/100*H67</f>
        <v>0</v>
      </c>
      <c r="O67" s="220">
        <f>+L67+N67</f>
        <v>4320153.3659249665</v>
      </c>
      <c r="P67" s="888">
        <v>0</v>
      </c>
      <c r="Q67" s="220">
        <f t="shared" ref="Q67:Q84" si="4">+L67+N67-P67</f>
        <v>4320153.3659249665</v>
      </c>
      <c r="R67" s="893">
        <v>-469268.72434553853</v>
      </c>
      <c r="S67" s="888">
        <v>-18690.118957090282</v>
      </c>
      <c r="T67" s="220">
        <f>+Q67+R67+S67</f>
        <v>3832194.5226223376</v>
      </c>
    </row>
    <row r="68" spans="1:22">
      <c r="A68" s="215" t="s">
        <v>635</v>
      </c>
      <c r="B68" s="216"/>
      <c r="C68" s="990" t="s">
        <v>1235</v>
      </c>
      <c r="D68" s="991" t="s">
        <v>720</v>
      </c>
      <c r="E68" s="992">
        <v>17190055.950208597</v>
      </c>
      <c r="F68" s="59">
        <f t="shared" si="0"/>
        <v>4.5304846758618719E-2</v>
      </c>
      <c r="G68" s="220">
        <f t="shared" si="1"/>
        <v>778792.8505962824</v>
      </c>
      <c r="H68" s="992">
        <v>13844625.994042857</v>
      </c>
      <c r="I68" s="59">
        <f t="shared" si="2"/>
        <v>7.7271418847108697E-2</v>
      </c>
      <c r="J68" s="220">
        <f>H68*I68</f>
        <v>1069793.8939672541</v>
      </c>
      <c r="K68" s="886">
        <v>311489.93839894672</v>
      </c>
      <c r="L68" s="220">
        <f>G68+J68+K68</f>
        <v>2160076.6829624833</v>
      </c>
      <c r="M68" s="890">
        <v>0</v>
      </c>
      <c r="N68" s="220">
        <f>+'2-Incentive ROE'!K$40*'1-Project Rev Req'!M68/100*H68</f>
        <v>0</v>
      </c>
      <c r="O68" s="220">
        <f t="shared" ref="O68:O84" si="5">+L68+N68</f>
        <v>2160076.6829624833</v>
      </c>
      <c r="P68" s="888">
        <v>0</v>
      </c>
      <c r="Q68" s="220">
        <f t="shared" si="4"/>
        <v>2160076.6829624833</v>
      </c>
      <c r="R68" s="893">
        <v>-1679820.4926166362</v>
      </c>
      <c r="S68" s="888">
        <v>-9345.0594785451412</v>
      </c>
      <c r="T68" s="220">
        <f t="shared" ref="T68:T92" si="6">+Q68+R68+S68</f>
        <v>470911.13086730189</v>
      </c>
    </row>
    <row r="69" spans="1:22">
      <c r="A69" s="215" t="s">
        <v>637</v>
      </c>
      <c r="B69" s="216"/>
      <c r="C69" s="990" t="s">
        <v>803</v>
      </c>
      <c r="D69" s="991" t="s">
        <v>722</v>
      </c>
      <c r="E69" s="992">
        <v>4605740.7974999994</v>
      </c>
      <c r="F69" s="59">
        <f t="shared" si="0"/>
        <v>4.5304846758618719E-2</v>
      </c>
      <c r="G69" s="220">
        <f t="shared" si="1"/>
        <v>208662.38104065583</v>
      </c>
      <c r="H69" s="992">
        <v>4170549.4582401887</v>
      </c>
      <c r="I69" s="59">
        <f t="shared" si="2"/>
        <v>7.7271418847108697E-2</v>
      </c>
      <c r="J69" s="220">
        <f t="shared" si="3"/>
        <v>322264.27401025989</v>
      </c>
      <c r="K69" s="886">
        <v>106204.48996691231</v>
      </c>
      <c r="L69" s="220">
        <f t="shared" ref="L69:L85" si="7">G69+J69+K69</f>
        <v>637131.14501782798</v>
      </c>
      <c r="M69" s="890">
        <v>0</v>
      </c>
      <c r="N69" s="220">
        <f>+'2-Incentive ROE'!K$40*'1-Project Rev Req'!M69/100*H69</f>
        <v>0</v>
      </c>
      <c r="O69" s="220">
        <f t="shared" si="5"/>
        <v>637131.14501782798</v>
      </c>
      <c r="P69" s="888">
        <v>0</v>
      </c>
      <c r="Q69" s="220">
        <f t="shared" si="4"/>
        <v>637131.14501782798</v>
      </c>
      <c r="R69" s="893">
        <v>-941168.93176603562</v>
      </c>
      <c r="S69" s="888">
        <v>-2756.3967949783123</v>
      </c>
      <c r="T69" s="220">
        <f t="shared" si="6"/>
        <v>-306794.18354318594</v>
      </c>
    </row>
    <row r="70" spans="1:22">
      <c r="A70" s="215" t="s">
        <v>639</v>
      </c>
      <c r="B70" s="216"/>
      <c r="C70" s="990" t="s">
        <v>803</v>
      </c>
      <c r="D70" s="991" t="s">
        <v>1643</v>
      </c>
      <c r="E70" s="992">
        <v>1535246.9324999999</v>
      </c>
      <c r="F70" s="59">
        <f t="shared" si="0"/>
        <v>4.5304846758618719E-2</v>
      </c>
      <c r="G70" s="220">
        <f t="shared" si="1"/>
        <v>69554.127013551944</v>
      </c>
      <c r="H70" s="992">
        <v>1390183.1527467296</v>
      </c>
      <c r="I70" s="59">
        <f t="shared" si="2"/>
        <v>7.7271418847108697E-2</v>
      </c>
      <c r="J70" s="220">
        <f t="shared" si="3"/>
        <v>107421.42467008662</v>
      </c>
      <c r="K70" s="886">
        <v>35401.496655637435</v>
      </c>
      <c r="L70" s="220">
        <f t="shared" si="7"/>
        <v>212377.04833927599</v>
      </c>
      <c r="M70" s="890">
        <v>0</v>
      </c>
      <c r="N70" s="220">
        <f>+'2-Incentive ROE'!K$40*'1-Project Rev Req'!M70/100*H70</f>
        <v>0</v>
      </c>
      <c r="O70" s="220">
        <f t="shared" si="5"/>
        <v>212377.04833927599</v>
      </c>
      <c r="P70" s="888">
        <v>0</v>
      </c>
      <c r="Q70" s="220">
        <f t="shared" si="4"/>
        <v>212377.04833927599</v>
      </c>
      <c r="R70" s="893">
        <v>43618.663735806877</v>
      </c>
      <c r="S70" s="888">
        <v>-918.79893165943736</v>
      </c>
      <c r="T70" s="220">
        <f t="shared" si="6"/>
        <v>255076.91314342344</v>
      </c>
    </row>
    <row r="71" spans="1:22">
      <c r="A71" s="215" t="s">
        <v>641</v>
      </c>
      <c r="B71" s="216"/>
      <c r="C71" s="990" t="s">
        <v>804</v>
      </c>
      <c r="D71" s="991" t="s">
        <v>723</v>
      </c>
      <c r="E71" s="992">
        <v>3258302.26</v>
      </c>
      <c r="F71" s="59">
        <f t="shared" si="0"/>
        <v>4.5304846758618719E-2</v>
      </c>
      <c r="G71" s="220">
        <f t="shared" si="1"/>
        <v>147616.88458256103</v>
      </c>
      <c r="H71" s="992">
        <v>2618564.9862642763</v>
      </c>
      <c r="I71" s="59">
        <f t="shared" si="2"/>
        <v>7.7271418847108697E-2</v>
      </c>
      <c r="J71" s="220">
        <f t="shared" si="3"/>
        <v>202340.23183200034</v>
      </c>
      <c r="K71" s="886">
        <v>59395.18824418592</v>
      </c>
      <c r="L71" s="220">
        <f t="shared" si="7"/>
        <v>409352.30465874734</v>
      </c>
      <c r="M71" s="890">
        <v>0</v>
      </c>
      <c r="N71" s="220">
        <f>+'2-Incentive ROE'!K$40*'1-Project Rev Req'!M71/100*H71</f>
        <v>0</v>
      </c>
      <c r="O71" s="220">
        <f t="shared" si="5"/>
        <v>409352.30465874734</v>
      </c>
      <c r="P71" s="888">
        <v>0</v>
      </c>
      <c r="Q71" s="220">
        <f t="shared" si="4"/>
        <v>409352.30465874734</v>
      </c>
      <c r="R71" s="893">
        <v>-118491.30390175204</v>
      </c>
      <c r="S71" s="888">
        <v>-1770.965662880574</v>
      </c>
      <c r="T71" s="220">
        <f t="shared" si="6"/>
        <v>289090.03509411472</v>
      </c>
    </row>
    <row r="72" spans="1:22">
      <c r="A72" s="215" t="s">
        <v>643</v>
      </c>
      <c r="B72" s="216"/>
      <c r="C72" s="990" t="s">
        <v>805</v>
      </c>
      <c r="D72" s="991" t="s">
        <v>724</v>
      </c>
      <c r="E72" s="992">
        <v>4456731.2700000005</v>
      </c>
      <c r="F72" s="59">
        <f t="shared" si="0"/>
        <v>4.5304846758618719E-2</v>
      </c>
      <c r="G72" s="220">
        <f t="shared" si="1"/>
        <v>201911.5272316942</v>
      </c>
      <c r="H72" s="992">
        <v>3498245.377055726</v>
      </c>
      <c r="I72" s="59">
        <f t="shared" si="2"/>
        <v>7.7271418847108697E-2</v>
      </c>
      <c r="J72" s="220">
        <f t="shared" si="3"/>
        <v>270314.38376043469</v>
      </c>
      <c r="K72" s="886">
        <v>79348.400282019225</v>
      </c>
      <c r="L72" s="220">
        <f t="shared" si="7"/>
        <v>551574.31127414806</v>
      </c>
      <c r="M72" s="890">
        <v>0</v>
      </c>
      <c r="N72" s="220">
        <f>+'2-Incentive ROE'!K$40*'1-Project Rev Req'!M72/100*H72</f>
        <v>0</v>
      </c>
      <c r="O72" s="220">
        <f t="shared" si="5"/>
        <v>551574.31127414806</v>
      </c>
      <c r="P72" s="888">
        <v>0</v>
      </c>
      <c r="Q72" s="220">
        <f t="shared" si="4"/>
        <v>551574.31127414806</v>
      </c>
      <c r="R72" s="893">
        <v>-163692.3474257169</v>
      </c>
      <c r="S72" s="888">
        <v>-2386.2554447026596</v>
      </c>
      <c r="T72" s="220">
        <f t="shared" si="6"/>
        <v>385495.70840372849</v>
      </c>
    </row>
    <row r="73" spans="1:22">
      <c r="A73" s="215" t="s">
        <v>739</v>
      </c>
      <c r="B73" s="216"/>
      <c r="C73" s="990" t="s">
        <v>806</v>
      </c>
      <c r="D73" s="991" t="s">
        <v>802</v>
      </c>
      <c r="E73" s="992">
        <v>13634040.714348258</v>
      </c>
      <c r="F73" s="59">
        <f t="shared" si="0"/>
        <v>4.5304846758618719E-2</v>
      </c>
      <c r="G73" s="220">
        <f t="shared" si="1"/>
        <v>617688.12526431633</v>
      </c>
      <c r="H73" s="992">
        <v>12011480.096507685</v>
      </c>
      <c r="I73" s="59">
        <f t="shared" si="2"/>
        <v>7.7271418847108697E-2</v>
      </c>
      <c r="J73" s="220">
        <f t="shared" si="3"/>
        <v>928144.10951095494</v>
      </c>
      <c r="K73" s="886">
        <v>287401.33929086645</v>
      </c>
      <c r="L73" s="220">
        <f t="shared" si="7"/>
        <v>1833233.5740661377</v>
      </c>
      <c r="M73" s="890">
        <v>0</v>
      </c>
      <c r="N73" s="220">
        <f>+'2-Incentive ROE'!K$40*'1-Project Rev Req'!M73/100*H73</f>
        <v>0</v>
      </c>
      <c r="O73" s="220">
        <f t="shared" si="5"/>
        <v>1833233.5740661377</v>
      </c>
      <c r="P73" s="888">
        <v>0</v>
      </c>
      <c r="Q73" s="220">
        <f t="shared" si="4"/>
        <v>1833233.5740661377</v>
      </c>
      <c r="R73" s="893">
        <v>-13384.57380798026</v>
      </c>
      <c r="S73" s="888">
        <v>-7931.0502830012238</v>
      </c>
      <c r="T73" s="220">
        <f t="shared" si="6"/>
        <v>1811917.9499751562</v>
      </c>
    </row>
    <row r="74" spans="1:22">
      <c r="A74" s="215" t="s">
        <v>740</v>
      </c>
      <c r="B74" s="216"/>
      <c r="C74" s="990" t="s">
        <v>917</v>
      </c>
      <c r="D74" s="991" t="s">
        <v>918</v>
      </c>
      <c r="E74" s="992">
        <v>23835043.219999991</v>
      </c>
      <c r="F74" s="59">
        <f t="shared" si="0"/>
        <v>4.5304846758618719E-2</v>
      </c>
      <c r="G74" s="220">
        <f t="shared" si="1"/>
        <v>1079842.9805671538</v>
      </c>
      <c r="H74" s="992">
        <v>30915746.295696639</v>
      </c>
      <c r="I74" s="59">
        <f t="shared" si="2"/>
        <v>7.7271418847108697E-2</v>
      </c>
      <c r="J74" s="220">
        <f t="shared" si="3"/>
        <v>2388903.580985724</v>
      </c>
      <c r="K74" s="886">
        <v>747531.81152770657</v>
      </c>
      <c r="L74" s="220">
        <f t="shared" si="7"/>
        <v>4216278.3730805842</v>
      </c>
      <c r="M74" s="890">
        <v>0</v>
      </c>
      <c r="N74" s="220">
        <f>+'2-Incentive ROE'!K$40*'1-Project Rev Req'!M74/100*H74</f>
        <v>0</v>
      </c>
      <c r="O74" s="220">
        <f t="shared" si="5"/>
        <v>4216278.3730805842</v>
      </c>
      <c r="P74" s="888">
        <v>0</v>
      </c>
      <c r="Q74" s="220">
        <f t="shared" si="4"/>
        <v>4216278.3730805842</v>
      </c>
      <c r="R74" s="893">
        <v>973283.87907237373</v>
      </c>
      <c r="S74" s="888">
        <v>-18240.728435855228</v>
      </c>
      <c r="T74" s="220">
        <f t="shared" si="6"/>
        <v>5171321.5237171026</v>
      </c>
    </row>
    <row r="75" spans="1:22">
      <c r="A75" s="215" t="s">
        <v>741</v>
      </c>
      <c r="B75" s="216"/>
      <c r="C75" s="990" t="s">
        <v>807</v>
      </c>
      <c r="D75" s="991" t="s">
        <v>725</v>
      </c>
      <c r="E75" s="992">
        <v>18036480.016589433</v>
      </c>
      <c r="F75" s="59">
        <f t="shared" si="0"/>
        <v>4.5304846758618719E-2</v>
      </c>
      <c r="G75" s="220">
        <f t="shared" si="1"/>
        <v>817139.96321647312</v>
      </c>
      <c r="H75" s="992">
        <v>15498973.81745282</v>
      </c>
      <c r="I75" s="59">
        <f t="shared" si="2"/>
        <v>7.7271418847108697E-2</v>
      </c>
      <c r="J75" s="220">
        <f t="shared" si="3"/>
        <v>1197627.697548768</v>
      </c>
      <c r="K75" s="886">
        <v>411727.1306692285</v>
      </c>
      <c r="L75" s="220">
        <f t="shared" si="7"/>
        <v>2426494.7914344696</v>
      </c>
      <c r="M75" s="890">
        <v>0</v>
      </c>
      <c r="N75" s="220">
        <f>+'2-Incentive ROE'!K$40*'1-Project Rev Req'!M75/100*H75</f>
        <v>0</v>
      </c>
      <c r="O75" s="220">
        <f t="shared" si="5"/>
        <v>2426494.7914344696</v>
      </c>
      <c r="P75" s="888">
        <v>0</v>
      </c>
      <c r="Q75" s="220">
        <f t="shared" si="4"/>
        <v>2426494.7914344696</v>
      </c>
      <c r="R75" s="893">
        <v>-970691.11403599323</v>
      </c>
      <c r="S75" s="888">
        <v>-10497.654240328164</v>
      </c>
      <c r="T75" s="220">
        <f t="shared" si="6"/>
        <v>1445306.0231581482</v>
      </c>
    </row>
    <row r="76" spans="1:22">
      <c r="A76" s="215" t="s">
        <v>742</v>
      </c>
      <c r="B76" s="216"/>
      <c r="C76" s="990" t="s">
        <v>808</v>
      </c>
      <c r="D76" s="991" t="s">
        <v>726</v>
      </c>
      <c r="E76" s="992">
        <v>16739502.841800349</v>
      </c>
      <c r="F76" s="59">
        <f t="shared" si="0"/>
        <v>4.5304846758618719E-2</v>
      </c>
      <c r="G76" s="220">
        <f t="shared" si="1"/>
        <v>758380.61106322741</v>
      </c>
      <c r="H76" s="992">
        <v>15183534.849476248</v>
      </c>
      <c r="I76" s="59">
        <f t="shared" si="2"/>
        <v>7.7271418847108697E-2</v>
      </c>
      <c r="J76" s="220">
        <f t="shared" si="3"/>
        <v>1173253.2809335506</v>
      </c>
      <c r="K76" s="886">
        <v>349291.04485156049</v>
      </c>
      <c r="L76" s="220">
        <f t="shared" si="7"/>
        <v>2280924.9368483387</v>
      </c>
      <c r="M76" s="890">
        <v>0</v>
      </c>
      <c r="N76" s="220">
        <f>+'2-Incentive ROE'!K$40*'1-Project Rev Req'!M76/100*H76</f>
        <v>0</v>
      </c>
      <c r="O76" s="220">
        <f t="shared" si="5"/>
        <v>2280924.9368483387</v>
      </c>
      <c r="P76" s="888">
        <v>0</v>
      </c>
      <c r="Q76" s="220">
        <f t="shared" si="4"/>
        <v>2280924.9368483387</v>
      </c>
      <c r="R76" s="893">
        <v>-771815.72432103753</v>
      </c>
      <c r="S76" s="888">
        <v>-9867.8807882464225</v>
      </c>
      <c r="T76" s="220">
        <f t="shared" si="6"/>
        <v>1499241.3317390548</v>
      </c>
    </row>
    <row r="77" spans="1:22">
      <c r="A77" s="215" t="s">
        <v>743</v>
      </c>
      <c r="B77" s="216"/>
      <c r="C77" s="990" t="s">
        <v>809</v>
      </c>
      <c r="D77" s="991" t="s">
        <v>727</v>
      </c>
      <c r="E77" s="992">
        <v>17916132.43998605</v>
      </c>
      <c r="F77" s="59">
        <f t="shared" si="0"/>
        <v>4.5304846758618719E-2</v>
      </c>
      <c r="G77" s="220">
        <f t="shared" si="1"/>
        <v>811687.63470068574</v>
      </c>
      <c r="H77" s="992">
        <v>14858395.469180027</v>
      </c>
      <c r="I77" s="59">
        <f t="shared" si="2"/>
        <v>7.7271418847108697E-2</v>
      </c>
      <c r="J77" s="220">
        <f t="shared" si="3"/>
        <v>1148129.2996949919</v>
      </c>
      <c r="K77" s="886">
        <v>390520.50019944733</v>
      </c>
      <c r="L77" s="220">
        <f t="shared" si="7"/>
        <v>2350337.4345951248</v>
      </c>
      <c r="M77" s="890">
        <v>0</v>
      </c>
      <c r="N77" s="220">
        <f>+'2-Incentive ROE'!K$40*'1-Project Rev Req'!M77/100*H77</f>
        <v>0</v>
      </c>
      <c r="O77" s="220">
        <f t="shared" si="5"/>
        <v>2350337.4345951248</v>
      </c>
      <c r="P77" s="888">
        <v>0</v>
      </c>
      <c r="Q77" s="220">
        <f t="shared" si="4"/>
        <v>2350337.4345951248</v>
      </c>
      <c r="R77" s="893">
        <v>-716910.33802982699</v>
      </c>
      <c r="S77" s="888">
        <v>-10168.177497670864</v>
      </c>
      <c r="T77" s="220">
        <f t="shared" si="6"/>
        <v>1623258.9190676271</v>
      </c>
    </row>
    <row r="78" spans="1:22">
      <c r="A78" s="215" t="s">
        <v>744</v>
      </c>
      <c r="B78" s="216"/>
      <c r="C78" s="990" t="s">
        <v>810</v>
      </c>
      <c r="D78" s="991" t="s">
        <v>728</v>
      </c>
      <c r="E78" s="992">
        <v>11068177.316227697</v>
      </c>
      <c r="F78" s="59">
        <f t="shared" si="0"/>
        <v>4.5304846758618719E-2</v>
      </c>
      <c r="G78" s="220">
        <f t="shared" si="1"/>
        <v>501442.07720891561</v>
      </c>
      <c r="H78" s="992">
        <v>10125107.383004535</v>
      </c>
      <c r="I78" s="59">
        <f t="shared" si="2"/>
        <v>7.7271418847108697E-2</v>
      </c>
      <c r="J78" s="220">
        <f t="shared" si="3"/>
        <v>782381.41346409603</v>
      </c>
      <c r="K78" s="886">
        <v>230431.08655322139</v>
      </c>
      <c r="L78" s="220">
        <f t="shared" si="7"/>
        <v>1514254.577226233</v>
      </c>
      <c r="M78" s="890">
        <v>0</v>
      </c>
      <c r="N78" s="220">
        <f>+'2-Incentive ROE'!K$40*'1-Project Rev Req'!M78/100*H78</f>
        <v>0</v>
      </c>
      <c r="O78" s="220">
        <f t="shared" si="5"/>
        <v>1514254.577226233</v>
      </c>
      <c r="P78" s="888">
        <v>0</v>
      </c>
      <c r="Q78" s="220">
        <f t="shared" si="4"/>
        <v>1514254.577226233</v>
      </c>
      <c r="R78" s="893">
        <v>-516804.76131446555</v>
      </c>
      <c r="S78" s="888">
        <v>-6551.0633031929956</v>
      </c>
      <c r="T78" s="220">
        <f t="shared" si="6"/>
        <v>990898.75260857446</v>
      </c>
    </row>
    <row r="79" spans="1:22">
      <c r="A79" s="215" t="s">
        <v>1648</v>
      </c>
      <c r="B79" s="216"/>
      <c r="C79" s="990" t="s">
        <v>811</v>
      </c>
      <c r="D79" s="991" t="s">
        <v>729</v>
      </c>
      <c r="E79" s="992">
        <v>8327759.34848281</v>
      </c>
      <c r="F79" s="59">
        <f t="shared" si="0"/>
        <v>4.5304846758618719E-2</v>
      </c>
      <c r="G79" s="220">
        <f t="shared" si="1"/>
        <v>377287.86112566816</v>
      </c>
      <c r="H79" s="992">
        <v>6981624.088560285</v>
      </c>
      <c r="I79" s="59">
        <f t="shared" si="2"/>
        <v>7.7271418847108697E-2</v>
      </c>
      <c r="J79" s="220">
        <f t="shared" si="3"/>
        <v>539479.99918020528</v>
      </c>
      <c r="K79" s="886">
        <v>158370.2766918354</v>
      </c>
      <c r="L79" s="220">
        <f t="shared" si="7"/>
        <v>1075138.1369977088</v>
      </c>
      <c r="M79" s="890">
        <v>0</v>
      </c>
      <c r="N79" s="220">
        <f>+'2-Incentive ROE'!K$40*'1-Project Rev Req'!M79/100*H79</f>
        <v>0</v>
      </c>
      <c r="O79" s="220">
        <f t="shared" si="5"/>
        <v>1075138.1369977088</v>
      </c>
      <c r="P79" s="888">
        <v>0</v>
      </c>
      <c r="Q79" s="220">
        <f t="shared" si="4"/>
        <v>1075138.1369977088</v>
      </c>
      <c r="R79" s="893">
        <v>-328738.83278186887</v>
      </c>
      <c r="S79" s="888">
        <v>-4651.3301667218202</v>
      </c>
      <c r="T79" s="220">
        <f t="shared" si="6"/>
        <v>741747.97404911811</v>
      </c>
    </row>
    <row r="80" spans="1:22">
      <c r="A80" s="215" t="s">
        <v>745</v>
      </c>
      <c r="B80" s="216"/>
      <c r="C80" s="990" t="s">
        <v>812</v>
      </c>
      <c r="D80" s="991" t="s">
        <v>730</v>
      </c>
      <c r="E80" s="992">
        <v>1712754.31</v>
      </c>
      <c r="F80" s="59">
        <f t="shared" si="0"/>
        <v>4.5304846758618719E-2</v>
      </c>
      <c r="G80" s="220">
        <f t="shared" si="1"/>
        <v>77596.071549713743</v>
      </c>
      <c r="H80" s="992">
        <v>1513819.5360172195</v>
      </c>
      <c r="I80" s="59">
        <f t="shared" si="2"/>
        <v>7.7271418847108697E-2</v>
      </c>
      <c r="J80" s="220">
        <f t="shared" si="3"/>
        <v>116974.98342652232</v>
      </c>
      <c r="K80" s="886">
        <v>34336.97341143417</v>
      </c>
      <c r="L80" s="220">
        <f t="shared" si="7"/>
        <v>228908.02838767023</v>
      </c>
      <c r="M80" s="890">
        <v>0</v>
      </c>
      <c r="N80" s="220">
        <f>+'2-Incentive ROE'!K$40*'1-Project Rev Req'!M80/100*H80</f>
        <v>0</v>
      </c>
      <c r="O80" s="220">
        <f t="shared" si="5"/>
        <v>228908.02838767023</v>
      </c>
      <c r="P80" s="888">
        <v>0</v>
      </c>
      <c r="Q80" s="220">
        <f t="shared" si="4"/>
        <v>228908.02838767023</v>
      </c>
      <c r="R80" s="893">
        <v>-69117.57554458479</v>
      </c>
      <c r="S80" s="888">
        <v>-990.31629630179725</v>
      </c>
      <c r="T80" s="220">
        <f t="shared" si="6"/>
        <v>158800.13654678364</v>
      </c>
    </row>
    <row r="81" spans="1:20">
      <c r="A81" s="215" t="s">
        <v>746</v>
      </c>
      <c r="B81" s="216"/>
      <c r="C81" s="990" t="s">
        <v>813</v>
      </c>
      <c r="D81" s="991" t="s">
        <v>731</v>
      </c>
      <c r="E81" s="992">
        <v>2229231.8699999996</v>
      </c>
      <c r="F81" s="59">
        <f t="shared" si="0"/>
        <v>4.5304846758618719E-2</v>
      </c>
      <c r="G81" s="220">
        <f t="shared" si="1"/>
        <v>100995.00825977903</v>
      </c>
      <c r="H81" s="992">
        <v>1765695.2396023823</v>
      </c>
      <c r="I81" s="59">
        <f t="shared" si="2"/>
        <v>7.7271418847108697E-2</v>
      </c>
      <c r="J81" s="220">
        <f t="shared" si="3"/>
        <v>136437.77641566162</v>
      </c>
      <c r="K81" s="886">
        <v>47714.855339489673</v>
      </c>
      <c r="L81" s="220">
        <f t="shared" si="7"/>
        <v>285147.64001493028</v>
      </c>
      <c r="M81" s="890">
        <v>0</v>
      </c>
      <c r="N81" s="220">
        <f>+'2-Incentive ROE'!K$40*'1-Project Rev Req'!M81/100*H81</f>
        <v>0</v>
      </c>
      <c r="O81" s="220">
        <f t="shared" si="5"/>
        <v>285147.64001493028</v>
      </c>
      <c r="P81" s="888">
        <v>0</v>
      </c>
      <c r="Q81" s="220">
        <f t="shared" si="4"/>
        <v>285147.64001493028</v>
      </c>
      <c r="R81" s="893">
        <v>-87085.498401875637</v>
      </c>
      <c r="S81" s="888">
        <v>-1233.623638051457</v>
      </c>
      <c r="T81" s="220">
        <f t="shared" si="6"/>
        <v>196828.5179750032</v>
      </c>
    </row>
    <row r="82" spans="1:20">
      <c r="A82" s="215" t="s">
        <v>747</v>
      </c>
      <c r="B82" s="216"/>
      <c r="C82" s="990" t="s">
        <v>1047</v>
      </c>
      <c r="D82" s="991" t="s">
        <v>732</v>
      </c>
      <c r="E82" s="992">
        <v>2546903.0100000002</v>
      </c>
      <c r="F82" s="59">
        <f t="shared" si="0"/>
        <v>4.5304846758618719E-2</v>
      </c>
      <c r="G82" s="220">
        <f t="shared" si="1"/>
        <v>115387.05057711477</v>
      </c>
      <c r="H82" s="992">
        <v>1952437.133432447</v>
      </c>
      <c r="I82" s="59">
        <f t="shared" si="2"/>
        <v>7.7271418847108697E-2</v>
      </c>
      <c r="J82" s="220">
        <f t="shared" si="3"/>
        <v>150867.58751010685</v>
      </c>
      <c r="K82" s="886">
        <v>52761.231548744458</v>
      </c>
      <c r="L82" s="220">
        <f t="shared" si="7"/>
        <v>319015.86963596614</v>
      </c>
      <c r="M82" s="890">
        <v>0</v>
      </c>
      <c r="N82" s="220">
        <f>+'2-Incentive ROE'!K$40*'1-Project Rev Req'!M82/100*H82</f>
        <v>0</v>
      </c>
      <c r="O82" s="220">
        <f t="shared" si="5"/>
        <v>319015.86963596614</v>
      </c>
      <c r="P82" s="888">
        <v>0</v>
      </c>
      <c r="Q82" s="220">
        <f t="shared" si="4"/>
        <v>319015.86963596614</v>
      </c>
      <c r="R82" s="893">
        <v>-93928.658426098918</v>
      </c>
      <c r="S82" s="888">
        <v>-1380.1465012155243</v>
      </c>
      <c r="T82" s="220">
        <f t="shared" si="6"/>
        <v>223707.06470865168</v>
      </c>
    </row>
    <row r="83" spans="1:20">
      <c r="A83" s="215" t="s">
        <v>748</v>
      </c>
      <c r="B83" s="216"/>
      <c r="C83" s="990" t="s">
        <v>812</v>
      </c>
      <c r="D83" s="991" t="s">
        <v>733</v>
      </c>
      <c r="E83" s="992">
        <v>2359200.13</v>
      </c>
      <c r="F83" s="59">
        <f t="shared" si="0"/>
        <v>4.5304846758618719E-2</v>
      </c>
      <c r="G83" s="220">
        <f t="shared" si="1"/>
        <v>106883.20036256335</v>
      </c>
      <c r="H83" s="992">
        <v>2065240.5137154239</v>
      </c>
      <c r="I83" s="59">
        <f t="shared" si="2"/>
        <v>7.7271418847108697E-2</v>
      </c>
      <c r="J83" s="220">
        <f t="shared" si="3"/>
        <v>159584.06475532244</v>
      </c>
      <c r="K83" s="886">
        <v>46844.492966601887</v>
      </c>
      <c r="L83" s="220">
        <f t="shared" si="7"/>
        <v>313311.75808448764</v>
      </c>
      <c r="M83" s="890">
        <v>0</v>
      </c>
      <c r="N83" s="220">
        <f>+'2-Incentive ROE'!K$40*'1-Project Rev Req'!M83/100*H83</f>
        <v>0</v>
      </c>
      <c r="O83" s="220">
        <f t="shared" si="5"/>
        <v>313311.75808448764</v>
      </c>
      <c r="P83" s="888">
        <v>0</v>
      </c>
      <c r="Q83" s="220">
        <f t="shared" si="4"/>
        <v>313311.75808448764</v>
      </c>
      <c r="R83" s="893">
        <v>-94494.991671915574</v>
      </c>
      <c r="S83" s="888">
        <v>-1355.4690153923282</v>
      </c>
      <c r="T83" s="220">
        <f t="shared" si="6"/>
        <v>217461.29739717973</v>
      </c>
    </row>
    <row r="84" spans="1:20">
      <c r="A84" s="215" t="s">
        <v>749</v>
      </c>
      <c r="B84" s="216"/>
      <c r="C84" s="990" t="s">
        <v>814</v>
      </c>
      <c r="D84" s="991" t="s">
        <v>734</v>
      </c>
      <c r="E84" s="992">
        <v>3631395.7</v>
      </c>
      <c r="F84" s="59">
        <f t="shared" si="0"/>
        <v>4.5304846758618719E-2</v>
      </c>
      <c r="G84" s="220">
        <f t="shared" si="1"/>
        <v>164519.82570840698</v>
      </c>
      <c r="H84" s="992">
        <v>2624264.0580661586</v>
      </c>
      <c r="I84" s="59">
        <f t="shared" si="2"/>
        <v>7.7271418847108697E-2</v>
      </c>
      <c r="J84" s="220">
        <f t="shared" si="3"/>
        <v>202780.60719624331</v>
      </c>
      <c r="K84" s="886">
        <v>59524.456543527544</v>
      </c>
      <c r="L84" s="220">
        <f t="shared" si="7"/>
        <v>426824.88944817783</v>
      </c>
      <c r="M84" s="890">
        <v>0</v>
      </c>
      <c r="N84" s="220">
        <f>+'2-Incentive ROE'!K$40*'1-Project Rev Req'!M84/100*H84</f>
        <v>0</v>
      </c>
      <c r="O84" s="220">
        <f t="shared" si="5"/>
        <v>426824.88944817783</v>
      </c>
      <c r="P84" s="888">
        <v>0</v>
      </c>
      <c r="Q84" s="220">
        <f t="shared" si="4"/>
        <v>426824.88944817783</v>
      </c>
      <c r="R84" s="893">
        <v>-121189.90187854484</v>
      </c>
      <c r="S84" s="888">
        <v>-1846.5566571212107</v>
      </c>
      <c r="T84" s="220">
        <f t="shared" si="6"/>
        <v>303788.43091251177</v>
      </c>
    </row>
    <row r="85" spans="1:20">
      <c r="A85" s="215" t="s">
        <v>1644</v>
      </c>
      <c r="B85" s="216"/>
      <c r="C85" s="990" t="s">
        <v>815</v>
      </c>
      <c r="D85" s="991" t="s">
        <v>735</v>
      </c>
      <c r="E85" s="992">
        <v>4811873.2300000004</v>
      </c>
      <c r="F85" s="59">
        <f t="shared" si="0"/>
        <v>4.5304846758618719E-2</v>
      </c>
      <c r="G85" s="220">
        <f t="shared" si="1"/>
        <v>218001.17930704969</v>
      </c>
      <c r="H85" s="992">
        <v>3573026.7728619692</v>
      </c>
      <c r="I85" s="59">
        <f t="shared" si="2"/>
        <v>7.7271418847108697E-2</v>
      </c>
      <c r="J85" s="220">
        <f t="shared" si="3"/>
        <v>276092.84831775032</v>
      </c>
      <c r="K85" s="886">
        <v>81044.617524811969</v>
      </c>
      <c r="L85" s="220">
        <f t="shared" si="7"/>
        <v>575138.64514961198</v>
      </c>
      <c r="M85" s="890">
        <v>0</v>
      </c>
      <c r="N85" s="220">
        <f>+'2-Incentive ROE'!K$40*'1-Project Rev Req'!M85/100*H85</f>
        <v>0</v>
      </c>
      <c r="O85" s="220">
        <f t="shared" ref="O85" si="8">+L85+N85</f>
        <v>575138.64514961198</v>
      </c>
      <c r="P85" s="888">
        <v>0</v>
      </c>
      <c r="Q85" s="220">
        <f t="shared" ref="Q85" si="9">+L85+N85-P85</f>
        <v>575138.64514961198</v>
      </c>
      <c r="R85" s="893">
        <v>-164121.37240629757</v>
      </c>
      <c r="S85" s="888">
        <v>-2488.200946626459</v>
      </c>
      <c r="T85" s="220">
        <f t="shared" si="6"/>
        <v>408529.0717966879</v>
      </c>
    </row>
    <row r="86" spans="1:20">
      <c r="A86" s="215" t="s">
        <v>750</v>
      </c>
      <c r="B86" s="216"/>
      <c r="C86" s="990" t="s">
        <v>816</v>
      </c>
      <c r="D86" s="991" t="s">
        <v>737</v>
      </c>
      <c r="E86" s="992">
        <v>2699443.66</v>
      </c>
      <c r="F86" s="59">
        <f t="shared" si="0"/>
        <v>4.5304846758618719E-2</v>
      </c>
      <c r="G86" s="220">
        <f t="shared" ref="G86" si="10">E86*F86</f>
        <v>122297.88134982486</v>
      </c>
      <c r="H86" s="992">
        <v>2036609.1182374055</v>
      </c>
      <c r="I86" s="59">
        <f t="shared" si="2"/>
        <v>7.7271418847108697E-2</v>
      </c>
      <c r="J86" s="220">
        <f t="shared" ref="J86:J87" si="11">H86*I86</f>
        <v>157371.67620316328</v>
      </c>
      <c r="K86" s="886">
        <v>46195.065844101198</v>
      </c>
      <c r="L86" s="220">
        <f t="shared" ref="L86:L92" si="12">G86+J86+K86</f>
        <v>325864.62339708937</v>
      </c>
      <c r="M86" s="890">
        <v>0</v>
      </c>
      <c r="N86" s="220">
        <f>+'2-Incentive ROE'!K$40*'1-Project Rev Req'!M86/100*H86</f>
        <v>0</v>
      </c>
      <c r="O86" s="220">
        <f t="shared" ref="O86" si="13">+L86+N86</f>
        <v>325864.62339708937</v>
      </c>
      <c r="P86" s="888">
        <v>0</v>
      </c>
      <c r="Q86" s="220">
        <f t="shared" ref="Q86" si="14">+L86+N86-P86</f>
        <v>325864.62339708937</v>
      </c>
      <c r="R86" s="893">
        <v>-93259.69113464281</v>
      </c>
      <c r="S86" s="888">
        <v>-1409.776010091954</v>
      </c>
      <c r="T86" s="220">
        <f t="shared" si="6"/>
        <v>231195.15625235462</v>
      </c>
    </row>
    <row r="87" spans="1:20">
      <c r="A87" s="215" t="s">
        <v>751</v>
      </c>
      <c r="B87" s="216"/>
      <c r="C87" s="990" t="s">
        <v>1048</v>
      </c>
      <c r="D87" s="991" t="s">
        <v>1660</v>
      </c>
      <c r="E87" s="992">
        <v>2221241.1800000002</v>
      </c>
      <c r="F87" s="59">
        <f t="shared" si="0"/>
        <v>4.5304846758618719E-2</v>
      </c>
      <c r="G87" s="220">
        <f t="shared" ref="G87" si="15">E87*F87</f>
        <v>100632.99127383342</v>
      </c>
      <c r="H87" s="992">
        <v>1637669.7152398764</v>
      </c>
      <c r="I87" s="59">
        <f t="shared" si="2"/>
        <v>7.7271418847108697E-2</v>
      </c>
      <c r="J87" s="220">
        <f t="shared" si="11"/>
        <v>126545.06249952572</v>
      </c>
      <c r="K87" s="886">
        <v>44255.187307482687</v>
      </c>
      <c r="L87" s="220">
        <f t="shared" si="12"/>
        <v>271433.24108084186</v>
      </c>
      <c r="M87" s="890">
        <v>0</v>
      </c>
      <c r="N87" s="220">
        <f>+'2-Incentive ROE'!K$40*'1-Project Rev Req'!M87/100*H87</f>
        <v>0</v>
      </c>
      <c r="O87" s="220">
        <f t="shared" ref="O87" si="16">+L87+N87</f>
        <v>271433.24108084186</v>
      </c>
      <c r="P87" s="888">
        <v>0</v>
      </c>
      <c r="Q87" s="220">
        <f t="shared" ref="Q87:Q90" si="17">+L87+N87-P87</f>
        <v>271433.24108084186</v>
      </c>
      <c r="R87" s="893">
        <v>-79504.033866871803</v>
      </c>
      <c r="S87" s="888">
        <v>-1174.2915436112808</v>
      </c>
      <c r="T87" s="220">
        <f t="shared" si="6"/>
        <v>190754.91567035881</v>
      </c>
    </row>
    <row r="88" spans="1:20">
      <c r="A88" s="215" t="s">
        <v>752</v>
      </c>
      <c r="B88" s="216"/>
      <c r="C88" s="990" t="s">
        <v>817</v>
      </c>
      <c r="D88" s="991" t="s">
        <v>738</v>
      </c>
      <c r="E88" s="992">
        <v>1723078.31</v>
      </c>
      <c r="F88" s="59">
        <f t="shared" si="0"/>
        <v>4.5304846758618719E-2</v>
      </c>
      <c r="G88" s="220">
        <f t="shared" ref="G88:G90" si="18">E88*F88</f>
        <v>78063.798787649721</v>
      </c>
      <c r="H88" s="992">
        <v>1830683.0612239228</v>
      </c>
      <c r="I88" s="59">
        <f t="shared" si="2"/>
        <v>7.7271418847108697E-2</v>
      </c>
      <c r="J88" s="220">
        <f t="shared" ref="J88:J90" si="19">H88*I88</f>
        <v>141459.47760014088</v>
      </c>
      <c r="K88" s="886">
        <v>51673.855840794662</v>
      </c>
      <c r="L88" s="220">
        <f t="shared" si="12"/>
        <v>271197.13222858525</v>
      </c>
      <c r="M88" s="890">
        <v>0</v>
      </c>
      <c r="N88" s="220">
        <f>+'2-Incentive ROE'!K$40*'1-Project Rev Req'!M88/100*H88</f>
        <v>0</v>
      </c>
      <c r="O88" s="220">
        <f t="shared" ref="O88:O90" si="20">+L88+N88</f>
        <v>271197.13222858525</v>
      </c>
      <c r="P88" s="888">
        <v>0</v>
      </c>
      <c r="Q88" s="220">
        <f t="shared" si="17"/>
        <v>271197.13222858525</v>
      </c>
      <c r="R88" s="893">
        <v>-97461.656714467259</v>
      </c>
      <c r="S88" s="888">
        <v>-1173.2700746582791</v>
      </c>
      <c r="T88" s="220">
        <f t="shared" si="6"/>
        <v>172562.20543945971</v>
      </c>
    </row>
    <row r="89" spans="1:20">
      <c r="A89" s="215" t="s">
        <v>753</v>
      </c>
      <c r="B89" s="216"/>
      <c r="C89" s="990" t="s">
        <v>1236</v>
      </c>
      <c r="D89" s="991" t="s">
        <v>721</v>
      </c>
      <c r="E89" s="992">
        <v>5325224.6099999985</v>
      </c>
      <c r="F89" s="59">
        <f t="shared" si="0"/>
        <v>4.5304846758618719E-2</v>
      </c>
      <c r="G89" s="220">
        <f t="shared" si="18"/>
        <v>241258.48491127507</v>
      </c>
      <c r="H89" s="992">
        <v>4498633.3669920797</v>
      </c>
      <c r="I89" s="59">
        <f t="shared" si="2"/>
        <v>7.7271418847108697E-2</v>
      </c>
      <c r="J89" s="220">
        <f t="shared" si="19"/>
        <v>347615.78314042382</v>
      </c>
      <c r="K89" s="886">
        <v>102039.54344293821</v>
      </c>
      <c r="L89" s="220">
        <f t="shared" si="12"/>
        <v>690913.81149463716</v>
      </c>
      <c r="M89" s="890">
        <v>0</v>
      </c>
      <c r="N89" s="220">
        <f>+'2-Incentive ROE'!K$40*'1-Project Rev Req'!M89/100*H89</f>
        <v>0</v>
      </c>
      <c r="O89" s="220">
        <f t="shared" si="20"/>
        <v>690913.81149463716</v>
      </c>
      <c r="P89" s="888">
        <v>0</v>
      </c>
      <c r="Q89" s="220">
        <f t="shared" si="17"/>
        <v>690913.81149463716</v>
      </c>
      <c r="R89" s="893">
        <v>142638.46023701469</v>
      </c>
      <c r="S89" s="888">
        <v>-2989.0747462310583</v>
      </c>
      <c r="T89" s="220">
        <f t="shared" si="6"/>
        <v>830563.19698542077</v>
      </c>
    </row>
    <row r="90" spans="1:20">
      <c r="A90" s="215" t="s">
        <v>754</v>
      </c>
      <c r="C90" s="990" t="s">
        <v>1237</v>
      </c>
      <c r="D90" s="993" t="s">
        <v>736</v>
      </c>
      <c r="E90" s="992">
        <v>4315230.49</v>
      </c>
      <c r="F90" s="59">
        <f t="shared" si="0"/>
        <v>4.5304846758618719E-2</v>
      </c>
      <c r="G90" s="220">
        <f t="shared" si="18"/>
        <v>195500.85607756919</v>
      </c>
      <c r="H90" s="992">
        <v>3204247.7710578153</v>
      </c>
      <c r="I90" s="59">
        <f t="shared" si="2"/>
        <v>7.7271418847108697E-2</v>
      </c>
      <c r="J90" s="220">
        <f t="shared" si="19"/>
        <v>247596.77160732291</v>
      </c>
      <c r="K90" s="886">
        <v>72679.845847363846</v>
      </c>
      <c r="L90" s="220">
        <f t="shared" si="12"/>
        <v>515777.47353225597</v>
      </c>
      <c r="M90" s="890">
        <v>0</v>
      </c>
      <c r="N90" s="220">
        <f>+'2-Incentive ROE'!K$40*'1-Project Rev Req'!M90/100*H90</f>
        <v>0</v>
      </c>
      <c r="O90" s="220">
        <f t="shared" si="20"/>
        <v>515777.47353225597</v>
      </c>
      <c r="P90" s="888">
        <v>0</v>
      </c>
      <c r="Q90" s="220">
        <f t="shared" si="17"/>
        <v>515777.47353225597</v>
      </c>
      <c r="R90" s="893">
        <v>108652.05011517556</v>
      </c>
      <c r="S90" s="888">
        <v>-2231.3889158982183</v>
      </c>
      <c r="T90" s="220">
        <f t="shared" si="6"/>
        <v>622198.13473153336</v>
      </c>
    </row>
    <row r="91" spans="1:20">
      <c r="A91" s="215" t="s">
        <v>755</v>
      </c>
      <c r="C91" s="994" t="s">
        <v>1640</v>
      </c>
      <c r="D91" s="995" t="s">
        <v>1641</v>
      </c>
      <c r="E91" s="992">
        <v>13038203.109999998</v>
      </c>
      <c r="F91" s="59">
        <f t="shared" si="0"/>
        <v>4.5304846758618719E-2</v>
      </c>
      <c r="G91" s="220">
        <f t="shared" ref="G91" si="21">E91*F91</f>
        <v>590693.7939062959</v>
      </c>
      <c r="H91" s="992">
        <v>13472622.551221238</v>
      </c>
      <c r="I91" s="59">
        <f t="shared" si="2"/>
        <v>7.7271418847108697E-2</v>
      </c>
      <c r="J91" s="220">
        <f t="shared" ref="J91" si="22">H91*I91</f>
        <v>1041048.6601244184</v>
      </c>
      <c r="K91" s="886">
        <v>292734.272504072</v>
      </c>
      <c r="L91" s="220">
        <f t="shared" si="12"/>
        <v>1924476.7265347864</v>
      </c>
      <c r="M91" s="890">
        <v>0</v>
      </c>
      <c r="N91" s="220">
        <f>+'2-Incentive ROE'!K$40*'1-Project Rev Req'!M91/100*H91</f>
        <v>0</v>
      </c>
      <c r="O91" s="220">
        <f t="shared" ref="O91" si="23">+L91+N91</f>
        <v>1924476.7265347864</v>
      </c>
      <c r="P91" s="888">
        <v>0</v>
      </c>
      <c r="Q91" s="220">
        <f t="shared" ref="Q91" si="24">+L91+N91-P91</f>
        <v>1924476.7265347864</v>
      </c>
      <c r="R91" s="893">
        <v>1250469.8936551558</v>
      </c>
      <c r="S91" s="888">
        <v>-8325.7921426559788</v>
      </c>
      <c r="T91" s="220">
        <f t="shared" si="6"/>
        <v>3166620.8280472863</v>
      </c>
    </row>
    <row r="92" spans="1:20">
      <c r="A92" s="1007" t="s">
        <v>1655</v>
      </c>
      <c r="B92" s="1008"/>
      <c r="C92" s="1009" t="s">
        <v>1656</v>
      </c>
      <c r="D92" s="1009" t="s">
        <v>1657</v>
      </c>
      <c r="E92" s="992">
        <v>990088.64000000013</v>
      </c>
      <c r="F92" s="59">
        <f t="shared" si="0"/>
        <v>4.5304846758618719E-2</v>
      </c>
      <c r="G92" s="220">
        <f t="shared" ref="G92" si="25">E92*F92</f>
        <v>44855.814112649219</v>
      </c>
      <c r="H92" s="992">
        <v>1027583.9643427572</v>
      </c>
      <c r="I92" s="59">
        <f t="shared" si="2"/>
        <v>7.7271418847108697E-2</v>
      </c>
      <c r="J92" s="220">
        <f t="shared" ref="J92" si="26">H92*I92</f>
        <v>79402.870909301608</v>
      </c>
      <c r="K92" s="886">
        <v>23308.011570840252</v>
      </c>
      <c r="L92" s="220">
        <f t="shared" si="12"/>
        <v>147566.69659279109</v>
      </c>
      <c r="M92" s="890">
        <v>0</v>
      </c>
      <c r="N92" s="220">
        <f>+'2-Incentive ROE'!K$40*'1-Project Rev Req'!M92/100*H92</f>
        <v>0</v>
      </c>
      <c r="O92" s="220">
        <f t="shared" ref="O92" si="27">+L92+N92</f>
        <v>147566.69659279109</v>
      </c>
      <c r="P92" s="888">
        <v>0</v>
      </c>
      <c r="Q92" s="220">
        <f t="shared" ref="Q92" si="28">+L92+N92-P92</f>
        <v>147566.69659279109</v>
      </c>
      <c r="R92" s="893">
        <v>57678.967317378949</v>
      </c>
      <c r="S92" s="888">
        <v>-638.41231544649224</v>
      </c>
      <c r="T92" s="220">
        <f t="shared" si="6"/>
        <v>204607.25159472352</v>
      </c>
    </row>
    <row r="93" spans="1:20">
      <c r="A93" s="223"/>
      <c r="C93" s="885"/>
      <c r="D93" s="885"/>
      <c r="E93" s="886"/>
      <c r="F93" s="59"/>
      <c r="G93" s="219"/>
      <c r="H93" s="886"/>
      <c r="I93" s="59"/>
      <c r="J93" s="220"/>
      <c r="K93" s="888"/>
      <c r="L93" s="220"/>
      <c r="M93" s="890"/>
      <c r="N93" s="220"/>
      <c r="O93" s="220"/>
      <c r="P93" s="888"/>
      <c r="Q93" s="220"/>
      <c r="R93" s="893"/>
      <c r="S93" s="888"/>
      <c r="T93" s="220"/>
    </row>
    <row r="94" spans="1:20">
      <c r="A94" s="224"/>
      <c r="B94" s="225"/>
      <c r="C94" s="887"/>
      <c r="D94" s="887"/>
      <c r="E94" s="887"/>
      <c r="F94" s="225"/>
      <c r="G94" s="226"/>
      <c r="H94" s="887"/>
      <c r="I94" s="225"/>
      <c r="J94" s="227"/>
      <c r="K94" s="889"/>
      <c r="L94" s="227"/>
      <c r="M94" s="891"/>
      <c r="N94" s="228"/>
      <c r="O94" s="228"/>
      <c r="P94" s="892"/>
      <c r="Q94" s="228"/>
      <c r="R94" s="997"/>
      <c r="S94" s="889"/>
      <c r="T94" s="227"/>
    </row>
    <row r="95" spans="1:20">
      <c r="A95" s="179" t="s">
        <v>243</v>
      </c>
      <c r="B95" s="185"/>
      <c r="C95" s="150" t="s">
        <v>166</v>
      </c>
      <c r="D95" s="150"/>
      <c r="E95" s="53">
        <f>SUM(E66:E94)</f>
        <v>1723143700.8466914</v>
      </c>
      <c r="F95" s="177"/>
      <c r="G95" s="155"/>
      <c r="H95" s="53">
        <f t="shared" ref="H95:S95" si="29">SUM(H66:H94)</f>
        <v>1187937238.5455537</v>
      </c>
      <c r="I95" s="155"/>
      <c r="J95" s="53">
        <f t="shared" si="29"/>
        <v>91793595.923731163</v>
      </c>
      <c r="K95" s="53">
        <f t="shared" si="29"/>
        <v>26614067.004447006</v>
      </c>
      <c r="L95" s="53">
        <f t="shared" si="29"/>
        <v>196474424.23811659</v>
      </c>
      <c r="M95" s="53"/>
      <c r="N95" s="53">
        <f t="shared" si="29"/>
        <v>0</v>
      </c>
      <c r="O95" s="53">
        <f t="shared" si="29"/>
        <v>196474424.23811659</v>
      </c>
      <c r="P95" s="53">
        <f t="shared" si="29"/>
        <v>0</v>
      </c>
      <c r="Q95" s="53">
        <f t="shared" si="29"/>
        <v>196474424.23811659</v>
      </c>
      <c r="R95" s="53">
        <f t="shared" si="29"/>
        <v>-29629476.722630076</v>
      </c>
      <c r="S95" s="53">
        <f t="shared" si="29"/>
        <v>-850000.00000000035</v>
      </c>
      <c r="T95" s="53">
        <f>SUM(T66:T94)</f>
        <v>25137282.808960456</v>
      </c>
    </row>
    <row r="96" spans="1:20">
      <c r="E96" s="53"/>
      <c r="F96" s="53"/>
      <c r="G96" s="53"/>
      <c r="H96" s="53"/>
      <c r="I96" s="53"/>
      <c r="J96" s="53"/>
      <c r="K96" s="53"/>
      <c r="L96" s="59"/>
    </row>
    <row r="97" spans="1:17">
      <c r="A97" s="229"/>
      <c r="E97" s="53"/>
      <c r="F97" s="53"/>
      <c r="G97" s="53"/>
      <c r="H97" s="53"/>
      <c r="I97" s="53"/>
      <c r="J97" s="53"/>
      <c r="K97" s="53"/>
      <c r="L97" s="59"/>
      <c r="M97" s="189"/>
      <c r="N97" s="189"/>
      <c r="O97" s="189"/>
    </row>
    <row r="98" spans="1:17">
      <c r="K98" s="185"/>
      <c r="L98" s="185"/>
      <c r="M98" s="185"/>
      <c r="N98" s="185"/>
      <c r="O98" s="185"/>
    </row>
    <row r="99" spans="1:17">
      <c r="K99" s="185"/>
      <c r="L99" s="185"/>
      <c r="M99" s="185"/>
      <c r="N99" s="185"/>
      <c r="O99" s="185"/>
    </row>
    <row r="101" spans="1:17" ht="13.5" thickBot="1">
      <c r="A101" s="230" t="s">
        <v>182</v>
      </c>
    </row>
    <row r="102" spans="1:17">
      <c r="A102" s="231" t="s">
        <v>58</v>
      </c>
      <c r="C102" s="1034" t="s">
        <v>374</v>
      </c>
      <c r="D102" s="1034"/>
      <c r="E102" s="1034"/>
      <c r="F102" s="1034"/>
      <c r="G102" s="1034"/>
      <c r="H102" s="1034"/>
      <c r="I102" s="1034"/>
      <c r="J102" s="1034"/>
      <c r="K102" s="1034"/>
      <c r="L102" s="1034"/>
      <c r="M102" s="1034"/>
      <c r="N102" s="1034"/>
      <c r="O102" s="1034"/>
      <c r="P102" s="1034"/>
      <c r="Q102" s="1034"/>
    </row>
    <row r="103" spans="1:17">
      <c r="A103" s="231" t="s">
        <v>59</v>
      </c>
      <c r="C103" s="1034" t="s">
        <v>357</v>
      </c>
      <c r="D103" s="1034"/>
      <c r="E103" s="1034"/>
      <c r="F103" s="1034"/>
      <c r="G103" s="1034"/>
      <c r="H103" s="1034"/>
      <c r="I103" s="1034"/>
      <c r="J103" s="1034"/>
      <c r="K103" s="1034"/>
      <c r="L103" s="1034"/>
      <c r="M103" s="1034"/>
      <c r="N103" s="1034"/>
      <c r="O103" s="1034"/>
      <c r="P103" s="1034"/>
      <c r="Q103" s="1034"/>
    </row>
    <row r="104" spans="1:17">
      <c r="A104" s="231" t="s">
        <v>60</v>
      </c>
      <c r="C104" s="1035" t="s">
        <v>364</v>
      </c>
      <c r="D104" s="1035"/>
      <c r="E104" s="1035"/>
      <c r="F104" s="1035"/>
      <c r="G104" s="1035"/>
      <c r="H104" s="1035"/>
      <c r="I104" s="1035"/>
      <c r="J104" s="1035"/>
      <c r="K104" s="1035"/>
      <c r="L104" s="1035"/>
      <c r="M104" s="1035"/>
      <c r="N104" s="1035"/>
      <c r="O104" s="1035"/>
      <c r="P104" s="1035"/>
      <c r="Q104" s="1035"/>
    </row>
    <row r="105" spans="1:17">
      <c r="C105" s="148" t="s">
        <v>358</v>
      </c>
    </row>
    <row r="106" spans="1:17">
      <c r="A106" s="231" t="s">
        <v>61</v>
      </c>
      <c r="C106" s="1035" t="s">
        <v>1142</v>
      </c>
      <c r="D106" s="1035"/>
      <c r="E106" s="1035"/>
      <c r="F106" s="1035"/>
      <c r="G106" s="1035"/>
      <c r="H106" s="1035"/>
      <c r="I106" s="1035"/>
      <c r="J106" s="1035"/>
      <c r="K106" s="1035"/>
      <c r="L106" s="1035"/>
      <c r="M106" s="1035"/>
      <c r="N106" s="1035"/>
      <c r="O106" s="1035"/>
      <c r="P106" s="1035"/>
      <c r="Q106" s="1035"/>
    </row>
    <row r="107" spans="1:17">
      <c r="A107" s="177" t="s">
        <v>62</v>
      </c>
      <c r="C107" s="1033" t="s">
        <v>923</v>
      </c>
      <c r="D107" s="1033"/>
      <c r="E107" s="1033"/>
      <c r="F107" s="1033"/>
      <c r="G107" s="1033"/>
      <c r="H107" s="1033"/>
      <c r="I107" s="1033"/>
      <c r="J107" s="1033"/>
      <c r="K107" s="1033"/>
      <c r="L107" s="1033"/>
      <c r="M107" s="1033"/>
      <c r="N107" s="1033"/>
      <c r="O107" s="1033"/>
      <c r="P107" s="1033"/>
      <c r="Q107" s="1033"/>
    </row>
    <row r="108" spans="1:17">
      <c r="A108" s="177" t="s">
        <v>63</v>
      </c>
      <c r="C108" s="1033" t="s">
        <v>1390</v>
      </c>
      <c r="D108" s="1033"/>
      <c r="E108" s="1033"/>
      <c r="F108" s="1033"/>
      <c r="G108" s="1033"/>
      <c r="H108" s="1033"/>
      <c r="I108" s="1033"/>
      <c r="J108" s="1033"/>
      <c r="K108" s="1033"/>
      <c r="L108" s="1033"/>
      <c r="M108" s="1033"/>
      <c r="N108" s="1033"/>
      <c r="O108" s="1033"/>
      <c r="P108" s="1033"/>
      <c r="Q108" s="1033"/>
    </row>
    <row r="109" spans="1:17">
      <c r="A109" s="177" t="s">
        <v>64</v>
      </c>
      <c r="C109" s="1033" t="s">
        <v>1391</v>
      </c>
      <c r="D109" s="1033"/>
      <c r="E109" s="1033"/>
      <c r="F109" s="1033"/>
      <c r="G109" s="1033"/>
      <c r="H109" s="1033"/>
      <c r="I109" s="1033"/>
      <c r="J109" s="1033"/>
      <c r="K109" s="1033"/>
      <c r="L109" s="1033"/>
      <c r="M109" s="1033"/>
      <c r="N109" s="1033"/>
      <c r="O109" s="1033"/>
      <c r="P109" s="1033"/>
      <c r="Q109" s="1033"/>
    </row>
    <row r="110" spans="1:17">
      <c r="A110" s="177" t="s">
        <v>65</v>
      </c>
      <c r="C110" s="1033" t="s">
        <v>375</v>
      </c>
      <c r="D110" s="1033"/>
      <c r="E110" s="1033"/>
      <c r="F110" s="1033"/>
      <c r="G110" s="1033"/>
      <c r="H110" s="1033"/>
      <c r="I110" s="1033"/>
      <c r="J110" s="1033"/>
      <c r="K110" s="1033"/>
      <c r="L110" s="1033"/>
      <c r="M110" s="1033"/>
      <c r="N110" s="1033"/>
      <c r="O110" s="1033"/>
      <c r="P110" s="1033"/>
      <c r="Q110" s="1033"/>
    </row>
    <row r="111" spans="1:17">
      <c r="A111" s="177" t="s">
        <v>66</v>
      </c>
      <c r="C111" s="148" t="s">
        <v>315</v>
      </c>
    </row>
    <row r="112" spans="1:17">
      <c r="A112" s="160" t="s">
        <v>67</v>
      </c>
      <c r="C112" s="148" t="s">
        <v>429</v>
      </c>
      <c r="P112" s="155"/>
      <c r="Q112" s="192"/>
    </row>
    <row r="113" spans="1:17">
      <c r="A113" s="160" t="s">
        <v>99</v>
      </c>
      <c r="C113" s="148" t="s">
        <v>311</v>
      </c>
      <c r="D113" s="160"/>
      <c r="E113" s="177"/>
      <c r="F113" s="177"/>
      <c r="G113" s="155"/>
      <c r="J113" s="175"/>
      <c r="P113" s="155"/>
      <c r="Q113" s="172"/>
    </row>
    <row r="114" spans="1:17">
      <c r="A114" s="177" t="s">
        <v>117</v>
      </c>
      <c r="C114" s="21" t="s">
        <v>1114</v>
      </c>
      <c r="G114" s="232"/>
    </row>
    <row r="115" spans="1:17">
      <c r="A115" s="177" t="s">
        <v>406</v>
      </c>
      <c r="C115" s="148" t="s">
        <v>407</v>
      </c>
      <c r="K115" s="232"/>
    </row>
    <row r="116" spans="1:17">
      <c r="A116" s="177" t="s">
        <v>120</v>
      </c>
      <c r="C116" s="148" t="s">
        <v>410</v>
      </c>
    </row>
    <row r="117" spans="1:17">
      <c r="C117" s="148" t="s">
        <v>408</v>
      </c>
    </row>
    <row r="118" spans="1:17">
      <c r="A118" s="177" t="s">
        <v>121</v>
      </c>
      <c r="C118" s="1032" t="s">
        <v>767</v>
      </c>
      <c r="D118" s="1032"/>
      <c r="E118" s="1032"/>
      <c r="F118" s="1032"/>
      <c r="G118" s="1032"/>
    </row>
    <row r="119" spans="1:17">
      <c r="A119" s="177" t="s">
        <v>122</v>
      </c>
      <c r="C119" s="1032" t="s">
        <v>1227</v>
      </c>
      <c r="D119" s="1032"/>
      <c r="E119" s="1032"/>
      <c r="F119" s="1032"/>
      <c r="G119" s="1032"/>
    </row>
  </sheetData>
  <sheetProtection algorithmName="SHA-512" hashValue="gnAsV+cOk7mvOZjkNpC+b8kEgmPCEiscRKDgB4KW1UPEuC6zK5JSoxBaXx0DSQVGBLHxZ3XxJa1SyVXtfawArQ==" saltValue="vNn+z7JI2dm2La2mM7FmdQ=="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38" fitToHeight="2" orientation="landscape" r:id="rId2"/>
  <rowBreaks count="1" manualBreakCount="1">
    <brk id="5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8"/>
  <sheetViews>
    <sheetView view="pageBreakPreview" topLeftCell="A4" zoomScale="70" zoomScaleNormal="100" zoomScaleSheetLayoutView="70" workbookViewId="0">
      <selection activeCell="D32" sqref="D32"/>
    </sheetView>
  </sheetViews>
  <sheetFormatPr defaultColWidth="8.77734375" defaultRowHeight="15.75"/>
  <cols>
    <col min="1" max="1" width="5.5546875" style="11" customWidth="1"/>
    <col min="2" max="2" width="21.5546875" style="7" customWidth="1"/>
    <col min="3" max="3" width="38.44140625" style="7" customWidth="1"/>
    <col min="4" max="4" width="25.21875" style="7" customWidth="1"/>
    <col min="5" max="5" width="13.5546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77734375" style="7"/>
  </cols>
  <sheetData>
    <row r="1" spans="1:11">
      <c r="A1" s="233"/>
      <c r="B1" s="16"/>
      <c r="C1" s="234"/>
      <c r="D1" s="234"/>
      <c r="E1" s="234"/>
      <c r="F1" s="235"/>
      <c r="G1" s="234"/>
      <c r="H1" s="234"/>
      <c r="I1" s="234"/>
      <c r="J1" s="236"/>
      <c r="K1" s="16"/>
    </row>
    <row r="2" spans="1:11">
      <c r="A2" s="233"/>
      <c r="B2" s="233"/>
      <c r="C2" s="234"/>
      <c r="D2" s="234"/>
      <c r="E2" s="234"/>
      <c r="F2" s="235"/>
      <c r="G2" s="234"/>
      <c r="H2" s="234"/>
      <c r="I2" s="234"/>
      <c r="J2" s="236"/>
      <c r="K2" s="16"/>
    </row>
    <row r="3" spans="1:11">
      <c r="A3" s="233"/>
      <c r="B3" s="16"/>
      <c r="C3" s="234"/>
      <c r="D3" s="237" t="s">
        <v>2</v>
      </c>
      <c r="E3" s="237"/>
      <c r="F3" s="235" t="s">
        <v>251</v>
      </c>
      <c r="G3" s="16"/>
      <c r="H3" s="237"/>
      <c r="I3" s="237"/>
      <c r="J3" s="238"/>
      <c r="K3" s="239" t="s">
        <v>419</v>
      </c>
    </row>
    <row r="4" spans="1:11">
      <c r="A4" s="240"/>
      <c r="B4" s="238"/>
      <c r="C4" s="238"/>
      <c r="D4" s="238"/>
      <c r="E4" s="238"/>
      <c r="F4" s="235" t="s">
        <v>316</v>
      </c>
      <c r="G4" s="16"/>
      <c r="H4" s="238"/>
      <c r="I4" s="238"/>
      <c r="J4" s="238"/>
      <c r="K4" s="239"/>
    </row>
    <row r="5" spans="1:11">
      <c r="A5" s="233"/>
      <c r="B5" s="238"/>
      <c r="C5" s="238"/>
      <c r="D5" s="238"/>
      <c r="E5" s="16"/>
      <c r="F5" s="241" t="str">
        <f>+'Attachment H-7'!D5</f>
        <v>PECO Energy Company</v>
      </c>
      <c r="G5" s="16"/>
      <c r="H5" s="238"/>
      <c r="I5" s="238"/>
      <c r="J5" s="238"/>
      <c r="K5" s="238"/>
    </row>
    <row r="6" spans="1:11">
      <c r="A6" s="233"/>
      <c r="B6" s="16"/>
      <c r="C6" s="16"/>
      <c r="D6" s="16"/>
      <c r="E6" s="16"/>
      <c r="F6" s="16"/>
      <c r="G6" s="16"/>
      <c r="H6" s="16"/>
      <c r="I6" s="16"/>
      <c r="J6" s="242"/>
      <c r="K6" s="16"/>
    </row>
    <row r="7" spans="1:11">
      <c r="A7" s="233">
        <v>1</v>
      </c>
      <c r="B7" s="16" t="s">
        <v>304</v>
      </c>
      <c r="C7" s="16" t="s">
        <v>1107</v>
      </c>
      <c r="D7" s="16"/>
      <c r="E7" s="16"/>
      <c r="F7" s="16"/>
      <c r="G7" s="16"/>
      <c r="H7" s="16"/>
      <c r="I7" s="16"/>
      <c r="J7" s="16"/>
      <c r="K7" s="233">
        <f>+'Attachment H-7'!I101</f>
        <v>993281070.21843135</v>
      </c>
    </row>
    <row r="8" spans="1:11">
      <c r="A8" s="233"/>
      <c r="B8" s="16"/>
      <c r="C8" s="16"/>
      <c r="D8" s="16"/>
      <c r="E8" s="16"/>
      <c r="F8" s="16"/>
      <c r="G8" s="16"/>
      <c r="H8" s="16"/>
      <c r="I8" s="16"/>
      <c r="J8" s="16"/>
      <c r="K8" s="242"/>
    </row>
    <row r="9" spans="1:11" ht="16.5" thickBot="1">
      <c r="A9" s="243">
        <f>+A7+1</f>
        <v>2</v>
      </c>
      <c r="B9" s="244" t="s">
        <v>252</v>
      </c>
      <c r="C9" s="245"/>
      <c r="D9" s="245"/>
      <c r="E9" s="245"/>
      <c r="F9" s="245"/>
      <c r="G9" s="245"/>
      <c r="H9" s="245"/>
      <c r="I9" s="245"/>
      <c r="J9" s="246" t="s">
        <v>44</v>
      </c>
      <c r="K9" s="242"/>
    </row>
    <row r="10" spans="1:11">
      <c r="A10" s="243"/>
      <c r="B10" s="244"/>
      <c r="C10" s="245"/>
      <c r="D10" s="245"/>
      <c r="E10" s="245"/>
      <c r="F10" s="245"/>
      <c r="G10" s="245"/>
      <c r="H10" s="247" t="s">
        <v>52</v>
      </c>
      <c r="I10" s="245"/>
      <c r="J10" s="245"/>
      <c r="K10" s="242"/>
    </row>
    <row r="11" spans="1:11" ht="16.5" thickBot="1">
      <c r="A11" s="243"/>
      <c r="B11" s="244"/>
      <c r="C11" s="245"/>
      <c r="D11" s="245"/>
      <c r="E11" s="248" t="s">
        <v>44</v>
      </c>
      <c r="F11" s="248" t="s">
        <v>53</v>
      </c>
      <c r="G11" s="245"/>
      <c r="H11" s="248"/>
      <c r="I11" s="245"/>
      <c r="J11" s="248" t="s">
        <v>54</v>
      </c>
      <c r="K11" s="242"/>
    </row>
    <row r="12" spans="1:11">
      <c r="A12" s="243">
        <f>+A9+1</f>
        <v>3</v>
      </c>
      <c r="B12" s="244" t="s">
        <v>235</v>
      </c>
      <c r="C12" s="249" t="s">
        <v>1105</v>
      </c>
      <c r="D12" s="249"/>
      <c r="E12" s="250">
        <f>+'Attachment H-7'!D203</f>
        <v>3409418609</v>
      </c>
      <c r="F12" s="251">
        <f>+'Attachment H-7'!E203</f>
        <v>0.45590031584441404</v>
      </c>
      <c r="G12" s="252"/>
      <c r="H12" s="253">
        <f>+'Attachment H-7'!G203</f>
        <v>4.0263337461005806E-2</v>
      </c>
      <c r="I12" s="252"/>
      <c r="J12" s="254">
        <f>F12*H12</f>
        <v>1.8356068265422774E-2</v>
      </c>
      <c r="K12" s="242"/>
    </row>
    <row r="13" spans="1:11">
      <c r="A13" s="243">
        <f>+A12+1</f>
        <v>4</v>
      </c>
      <c r="B13" s="244" t="s">
        <v>305</v>
      </c>
      <c r="C13" s="249" t="s">
        <v>1105</v>
      </c>
      <c r="D13" s="249"/>
      <c r="E13" s="250">
        <f>+'Attachment H-7'!D204</f>
        <v>0</v>
      </c>
      <c r="F13" s="251">
        <f>+'Attachment H-7'!E204</f>
        <v>0</v>
      </c>
      <c r="G13" s="252"/>
      <c r="H13" s="253">
        <f>+'Attachment H-7'!G204</f>
        <v>0</v>
      </c>
      <c r="I13" s="252"/>
      <c r="J13" s="254">
        <f>F13*H13</f>
        <v>0</v>
      </c>
      <c r="K13" s="242"/>
    </row>
    <row r="14" spans="1:11" ht="32.25" thickBot="1">
      <c r="A14" s="250">
        <f>+A13+1</f>
        <v>5</v>
      </c>
      <c r="B14" s="244" t="s">
        <v>279</v>
      </c>
      <c r="C14" s="249" t="s">
        <v>1106</v>
      </c>
      <c r="D14" s="255" t="s">
        <v>1118</v>
      </c>
      <c r="E14" s="250">
        <f>+'Attachment H-7'!D205</f>
        <v>4069011412.8900013</v>
      </c>
      <c r="F14" s="251">
        <f>+'Attachment H-7'!E205</f>
        <v>0.54409968415558596</v>
      </c>
      <c r="G14" s="252"/>
      <c r="H14" s="253">
        <f>+'Attachment H-7'!G205+0.01</f>
        <v>0.11349999999999999</v>
      </c>
      <c r="I14" s="252"/>
      <c r="J14" s="256">
        <f>F14*H14</f>
        <v>6.1755314151659003E-2</v>
      </c>
      <c r="K14" s="242"/>
    </row>
    <row r="15" spans="1:11">
      <c r="A15" s="243">
        <f>+A14+1</f>
        <v>6</v>
      </c>
      <c r="B15" s="244" t="s">
        <v>377</v>
      </c>
      <c r="C15" s="257"/>
      <c r="D15" s="257"/>
      <c r="E15" s="250">
        <f>SUM(E12:E14)</f>
        <v>7478430021.8900013</v>
      </c>
      <c r="F15" s="252" t="s">
        <v>2</v>
      </c>
      <c r="G15" s="252"/>
      <c r="H15" s="252"/>
      <c r="I15" s="252"/>
      <c r="J15" s="254">
        <f>SUM(J12:J14)</f>
        <v>8.0111382417081781E-2</v>
      </c>
      <c r="K15" s="242"/>
    </row>
    <row r="16" spans="1:11">
      <c r="A16" s="243">
        <f t="shared" ref="A16:A40" si="0">+A15+1</f>
        <v>7</v>
      </c>
      <c r="B16" s="244" t="s">
        <v>259</v>
      </c>
      <c r="C16" s="257"/>
      <c r="D16" s="257"/>
      <c r="E16" s="258"/>
      <c r="F16" s="245"/>
      <c r="G16" s="245"/>
      <c r="H16" s="245"/>
      <c r="I16" s="245"/>
      <c r="J16" s="252"/>
      <c r="K16" s="252">
        <f>+J15*K7</f>
        <v>79573119.66391702</v>
      </c>
    </row>
    <row r="17" spans="1:11">
      <c r="A17" s="243"/>
      <c r="B17" s="16"/>
      <c r="C17" s="16"/>
      <c r="D17" s="16"/>
      <c r="E17" s="16"/>
      <c r="F17" s="16"/>
      <c r="G17" s="16"/>
      <c r="H17" s="16"/>
      <c r="I17" s="16"/>
      <c r="J17" s="16"/>
      <c r="K17" s="242"/>
    </row>
    <row r="18" spans="1:11">
      <c r="A18" s="243">
        <f>+A16+1</f>
        <v>8</v>
      </c>
      <c r="B18" s="244" t="s">
        <v>36</v>
      </c>
      <c r="C18" s="259"/>
      <c r="D18" s="259"/>
      <c r="E18" s="245"/>
      <c r="F18" s="245"/>
      <c r="G18" s="257"/>
      <c r="H18" s="260"/>
      <c r="I18" s="245"/>
      <c r="J18" s="257"/>
      <c r="K18" s="242"/>
    </row>
    <row r="19" spans="1:11">
      <c r="A19" s="243">
        <f t="shared" si="0"/>
        <v>9</v>
      </c>
      <c r="B19" s="261" t="s">
        <v>310</v>
      </c>
      <c r="C19" s="245"/>
      <c r="D19" s="4"/>
      <c r="E19" s="262">
        <f>IF('Attachment H-7'!D232&gt;0,1-(((1-'Attachment H-7'!D233)*(1-'Attachment H-7'!D232))/(1-'Attachment H-7'!D232*'Attachment H-7'!D233*'Attachment H-7'!D234)),0)</f>
        <v>0.28892099999999998</v>
      </c>
      <c r="F19" s="263"/>
      <c r="G19" s="257"/>
      <c r="H19" s="260"/>
      <c r="I19" s="245"/>
      <c r="J19" s="257"/>
      <c r="K19" s="242"/>
    </row>
    <row r="20" spans="1:11">
      <c r="A20" s="243">
        <f t="shared" si="0"/>
        <v>10</v>
      </c>
      <c r="B20" s="257" t="s">
        <v>37</v>
      </c>
      <c r="C20" s="245"/>
      <c r="D20" s="4"/>
      <c r="E20" s="262">
        <f>IF(J15&gt;0,(E19/(1-E19))*(1-J12/J15),0)</f>
        <v>0.31321414406908332</v>
      </c>
      <c r="F20" s="245"/>
      <c r="G20" s="257"/>
      <c r="H20" s="260"/>
      <c r="I20" s="245"/>
      <c r="J20" s="257"/>
      <c r="K20" s="242"/>
    </row>
    <row r="21" spans="1:11">
      <c r="A21" s="243">
        <f t="shared" si="0"/>
        <v>11</v>
      </c>
      <c r="B21" s="259" t="s">
        <v>306</v>
      </c>
      <c r="C21" s="259"/>
      <c r="D21" s="4"/>
      <c r="E21" s="245"/>
      <c r="F21" s="245"/>
      <c r="G21" s="257"/>
      <c r="H21" s="260"/>
      <c r="I21" s="245"/>
      <c r="J21" s="257"/>
      <c r="K21" s="242"/>
    </row>
    <row r="22" spans="1:11">
      <c r="A22" s="243">
        <f t="shared" si="0"/>
        <v>12</v>
      </c>
      <c r="B22" s="264" t="s">
        <v>307</v>
      </c>
      <c r="C22" s="259"/>
      <c r="D22" s="259"/>
      <c r="E22" s="245"/>
      <c r="F22" s="245"/>
      <c r="G22" s="257"/>
      <c r="H22" s="260"/>
      <c r="I22" s="245"/>
      <c r="J22" s="257"/>
      <c r="K22" s="242"/>
    </row>
    <row r="23" spans="1:11">
      <c r="A23" s="243">
        <f t="shared" si="0"/>
        <v>13</v>
      </c>
      <c r="B23" s="265" t="str">
        <f>"      1 / (1 - T)  =  (from line "&amp;A19&amp;")"</f>
        <v xml:space="preserve">      1 / (1 - T)  =  (from line 9)</v>
      </c>
      <c r="C23" s="259"/>
      <c r="D23" s="259"/>
      <c r="E23" s="263">
        <f>IF(E19&gt;0,1/(1-E19),0)</f>
        <v>1.4063135038441579</v>
      </c>
      <c r="F23" s="245"/>
      <c r="G23" s="257"/>
      <c r="H23" s="260"/>
      <c r="I23" s="245"/>
      <c r="J23" s="257"/>
      <c r="K23" s="242"/>
    </row>
    <row r="24" spans="1:11">
      <c r="A24" s="243">
        <f t="shared" si="0"/>
        <v>14</v>
      </c>
      <c r="B24" s="264" t="s">
        <v>253</v>
      </c>
      <c r="C24" s="259"/>
      <c r="D24" s="259" t="s">
        <v>1108</v>
      </c>
      <c r="E24" s="266">
        <f>+'Attachment H-7'!D157</f>
        <v>-2976.3507628454327</v>
      </c>
      <c r="F24" s="245"/>
      <c r="G24" s="257"/>
      <c r="H24" s="260"/>
      <c r="I24" s="245"/>
      <c r="J24" s="257"/>
      <c r="K24" s="242"/>
    </row>
    <row r="25" spans="1:11">
      <c r="A25" s="243">
        <f t="shared" si="0"/>
        <v>15</v>
      </c>
      <c r="B25" s="264" t="s">
        <v>254</v>
      </c>
      <c r="C25" s="259"/>
      <c r="D25" s="259" t="s">
        <v>1109</v>
      </c>
      <c r="E25" s="266">
        <f>+'Attachment H-7'!D158</f>
        <v>-3250819.9806056628</v>
      </c>
      <c r="F25" s="245"/>
      <c r="G25" s="257"/>
      <c r="H25" s="267"/>
      <c r="I25" s="245"/>
      <c r="J25" s="257"/>
      <c r="K25" s="242"/>
    </row>
    <row r="26" spans="1:11">
      <c r="A26" s="243">
        <f t="shared" si="0"/>
        <v>16</v>
      </c>
      <c r="B26" s="264" t="s">
        <v>308</v>
      </c>
      <c r="C26" s="259"/>
      <c r="D26" s="259" t="s">
        <v>1110</v>
      </c>
      <c r="E26" s="266">
        <f>+'Attachment H-7'!D159</f>
        <v>282655.2075020941</v>
      </c>
      <c r="F26" s="245"/>
      <c r="G26" s="257"/>
      <c r="H26" s="260"/>
      <c r="I26" s="245"/>
      <c r="J26" s="257"/>
      <c r="K26" s="242"/>
    </row>
    <row r="27" spans="1:11">
      <c r="A27" s="243">
        <f t="shared" si="0"/>
        <v>17</v>
      </c>
      <c r="B27" s="265" t="str">
        <f>"Income Tax Calculation = line "&amp;A20&amp;" * line "&amp;A16&amp;""</f>
        <v>Income Tax Calculation = line 10 * line 7</v>
      </c>
      <c r="C27" s="268"/>
      <c r="D27" s="16"/>
      <c r="E27" s="269">
        <f>+E20*K16</f>
        <v>24923426.566440511</v>
      </c>
      <c r="F27" s="270"/>
      <c r="G27" s="270" t="s">
        <v>22</v>
      </c>
      <c r="H27" s="271"/>
      <c r="I27" s="270"/>
      <c r="J27" s="269">
        <f>+E20*K16</f>
        <v>24923426.566440511</v>
      </c>
      <c r="K27" s="242"/>
    </row>
    <row r="28" spans="1:11">
      <c r="A28" s="243">
        <f t="shared" si="0"/>
        <v>18</v>
      </c>
      <c r="B28" s="249" t="str">
        <f>"ITC adjustment (line "&amp;A23&amp;" * line "&amp;A24&amp;")"</f>
        <v>ITC adjustment (line 13 * line 14)</v>
      </c>
      <c r="C28" s="268"/>
      <c r="D28" s="268"/>
      <c r="E28" s="269">
        <f>+E$23*E24</f>
        <v>-4185.6822699663926</v>
      </c>
      <c r="F28" s="270"/>
      <c r="G28" s="272" t="s">
        <v>15</v>
      </c>
      <c r="H28" s="254">
        <v>1</v>
      </c>
      <c r="I28" s="270"/>
      <c r="J28" s="269">
        <f>+E28*H28</f>
        <v>-4185.6822699663926</v>
      </c>
      <c r="K28" s="242"/>
    </row>
    <row r="29" spans="1:11">
      <c r="A29" s="243">
        <f t="shared" si="0"/>
        <v>19</v>
      </c>
      <c r="B29" s="249" t="str">
        <f>"Excess Deferred Income Tax Adjustment (line "&amp;A23&amp;" * line "&amp;A25&amp;")"</f>
        <v>Excess Deferred Income Tax Adjustment (line 13 * line 15)</v>
      </c>
      <c r="C29" s="268"/>
      <c r="D29" s="268"/>
      <c r="E29" s="269">
        <f>+E$23*E25</f>
        <v>-4571672.0372921471</v>
      </c>
      <c r="F29" s="270"/>
      <c r="G29" s="272" t="s">
        <v>15</v>
      </c>
      <c r="H29" s="254">
        <f>H28</f>
        <v>1</v>
      </c>
      <c r="I29" s="270"/>
      <c r="J29" s="269">
        <f>+E29*H29</f>
        <v>-4571672.0372921471</v>
      </c>
      <c r="K29" s="242"/>
    </row>
    <row r="30" spans="1:11">
      <c r="A30" s="243">
        <f t="shared" si="0"/>
        <v>20</v>
      </c>
      <c r="B30" s="249" t="str">
        <f>"Permanent Differences Tax Adjustment (line "&amp;A23&amp;" * "&amp;A26&amp;")"</f>
        <v>Permanent Differences Tax Adjustment (line 13 * 16)</v>
      </c>
      <c r="C30" s="268"/>
      <c r="D30" s="268"/>
      <c r="E30" s="273">
        <f>+E$23*E26</f>
        <v>397501.83524206746</v>
      </c>
      <c r="F30" s="270"/>
      <c r="G30" s="272" t="s">
        <v>15</v>
      </c>
      <c r="H30" s="254">
        <f>H29</f>
        <v>1</v>
      </c>
      <c r="I30" s="270"/>
      <c r="J30" s="273">
        <f>+E30*H30</f>
        <v>397501.83524206746</v>
      </c>
      <c r="K30" s="242"/>
    </row>
    <row r="31" spans="1:11">
      <c r="A31" s="243">
        <f t="shared" si="0"/>
        <v>21</v>
      </c>
      <c r="B31" s="265" t="str">
        <f>"Total Income Taxes (sum lines "&amp;A27&amp;" - "&amp;A30&amp;")"</f>
        <v>Total Income Taxes (sum lines 17 - 20)</v>
      </c>
      <c r="C31" s="249"/>
      <c r="D31" s="249"/>
      <c r="E31" s="266">
        <f>SUM(E27:E30)</f>
        <v>20745070.682120461</v>
      </c>
      <c r="F31" s="270"/>
      <c r="G31" s="270" t="s">
        <v>2</v>
      </c>
      <c r="H31" s="271" t="s">
        <v>2</v>
      </c>
      <c r="I31" s="270"/>
      <c r="J31" s="266">
        <f>SUM(J27:J30)</f>
        <v>20745070.682120461</v>
      </c>
      <c r="K31" s="233">
        <f>+J31</f>
        <v>20745070.682120461</v>
      </c>
    </row>
    <row r="32" spans="1:11">
      <c r="A32" s="243"/>
      <c r="B32" s="16"/>
      <c r="C32" s="16"/>
      <c r="D32" s="16"/>
      <c r="E32" s="16"/>
      <c r="F32" s="16"/>
      <c r="G32" s="16"/>
      <c r="H32" s="16"/>
      <c r="I32" s="16"/>
      <c r="J32" s="16"/>
      <c r="K32" s="274"/>
    </row>
    <row r="33" spans="1:11">
      <c r="A33" s="243">
        <f>+A31+1</f>
        <v>22</v>
      </c>
      <c r="B33" s="249" t="s">
        <v>255</v>
      </c>
      <c r="C33" s="16"/>
      <c r="D33" s="16" t="s">
        <v>431</v>
      </c>
      <c r="E33" s="16"/>
      <c r="F33" s="16"/>
      <c r="G33" s="16"/>
      <c r="H33" s="16"/>
      <c r="I33" s="16"/>
      <c r="J33" s="16"/>
      <c r="K33" s="233">
        <f>+K31+K16</f>
        <v>100318190.34603748</v>
      </c>
    </row>
    <row r="34" spans="1:11">
      <c r="A34" s="243"/>
      <c r="B34" s="16"/>
      <c r="C34" s="16"/>
      <c r="D34" s="16"/>
      <c r="E34" s="16"/>
      <c r="F34" s="16"/>
      <c r="G34" s="16"/>
      <c r="H34" s="16"/>
      <c r="I34" s="16"/>
      <c r="J34" s="16"/>
      <c r="K34" s="274"/>
    </row>
    <row r="35" spans="1:11">
      <c r="A35" s="243">
        <f>+A33+1</f>
        <v>23</v>
      </c>
      <c r="B35" s="16" t="s">
        <v>1112</v>
      </c>
      <c r="C35" s="16"/>
      <c r="D35" s="16"/>
      <c r="E35" s="16"/>
      <c r="F35" s="16"/>
      <c r="G35" s="16"/>
      <c r="H35" s="16"/>
      <c r="I35" s="16"/>
      <c r="J35" s="16"/>
      <c r="K35" s="233">
        <f>+'Attachment H-7'!I167</f>
        <v>74168680.498081312</v>
      </c>
    </row>
    <row r="36" spans="1:11">
      <c r="A36" s="243">
        <f t="shared" si="0"/>
        <v>24</v>
      </c>
      <c r="B36" s="16" t="s">
        <v>1113</v>
      </c>
      <c r="C36" s="16"/>
      <c r="D36" s="16"/>
      <c r="E36" s="16"/>
      <c r="F36" s="16"/>
      <c r="G36" s="16"/>
      <c r="H36" s="16"/>
      <c r="I36" s="16"/>
      <c r="J36" s="16"/>
      <c r="K36" s="233">
        <f>+'Attachment H-7'!I164</f>
        <v>18549174.068337161</v>
      </c>
    </row>
    <row r="37" spans="1:11">
      <c r="A37" s="243">
        <f t="shared" si="0"/>
        <v>25</v>
      </c>
      <c r="B37" s="249" t="s">
        <v>256</v>
      </c>
      <c r="C37" s="16"/>
      <c r="D37" s="16" t="s">
        <v>432</v>
      </c>
      <c r="E37" s="16"/>
      <c r="F37" s="16"/>
      <c r="G37" s="16"/>
      <c r="H37" s="16"/>
      <c r="I37" s="16"/>
      <c r="J37" s="16"/>
      <c r="K37" s="275">
        <f>SUM(K35:K36)</f>
        <v>92717854.566418469</v>
      </c>
    </row>
    <row r="38" spans="1:11">
      <c r="A38" s="243">
        <f t="shared" si="0"/>
        <v>26</v>
      </c>
      <c r="B38" s="249" t="s">
        <v>257</v>
      </c>
      <c r="C38" s="16"/>
      <c r="D38" s="16" t="s">
        <v>433</v>
      </c>
      <c r="E38" s="16"/>
      <c r="F38" s="16"/>
      <c r="G38" s="16"/>
      <c r="H38" s="16"/>
      <c r="I38" s="16"/>
      <c r="J38" s="16"/>
      <c r="K38" s="233">
        <f>+K33-K37</f>
        <v>7600335.7796190083</v>
      </c>
    </row>
    <row r="39" spans="1:11">
      <c r="A39" s="243">
        <f t="shared" si="0"/>
        <v>27</v>
      </c>
      <c r="B39" s="16" t="s">
        <v>309</v>
      </c>
      <c r="C39" s="16"/>
      <c r="D39" s="16"/>
      <c r="E39" s="16"/>
      <c r="F39" s="16"/>
      <c r="G39" s="16"/>
      <c r="H39" s="16"/>
      <c r="I39" s="16"/>
      <c r="J39" s="16"/>
      <c r="K39" s="276">
        <f>+K7</f>
        <v>993281070.21843135</v>
      </c>
    </row>
    <row r="40" spans="1:11">
      <c r="A40" s="243">
        <f t="shared" si="0"/>
        <v>28</v>
      </c>
      <c r="B40" s="16" t="s">
        <v>258</v>
      </c>
      <c r="C40" s="16"/>
      <c r="D40" s="16"/>
      <c r="E40" s="16" t="s">
        <v>434</v>
      </c>
      <c r="F40" s="16"/>
      <c r="G40" s="16"/>
      <c r="H40" s="16"/>
      <c r="I40" s="16"/>
      <c r="J40" s="16"/>
      <c r="K40" s="277">
        <f>IF(K39=0,0,K38/K39)</f>
        <v>7.6517473326534122E-3</v>
      </c>
    </row>
    <row r="41" spans="1:11">
      <c r="A41" s="233"/>
      <c r="B41" s="16"/>
      <c r="C41" s="16"/>
      <c r="D41" s="16"/>
      <c r="E41" s="16"/>
      <c r="F41" s="16"/>
      <c r="G41" s="16"/>
      <c r="H41" s="16"/>
      <c r="I41" s="16"/>
      <c r="J41" s="16"/>
      <c r="K41" s="242"/>
    </row>
    <row r="42" spans="1:11" ht="16.5" thickBot="1">
      <c r="A42" s="278" t="s">
        <v>288</v>
      </c>
      <c r="B42" s="16"/>
      <c r="C42" s="16"/>
      <c r="D42" s="16"/>
      <c r="E42" s="16"/>
      <c r="F42" s="16"/>
      <c r="G42" s="16"/>
      <c r="H42" s="16"/>
      <c r="I42" s="16"/>
      <c r="J42" s="16"/>
      <c r="K42" s="242"/>
    </row>
    <row r="43" spans="1:11">
      <c r="A43" s="243" t="s">
        <v>58</v>
      </c>
      <c r="B43" s="233" t="s">
        <v>287</v>
      </c>
      <c r="C43" s="16"/>
      <c r="D43" s="16"/>
      <c r="E43" s="16"/>
      <c r="F43" s="16"/>
      <c r="G43" s="16"/>
      <c r="H43" s="16"/>
      <c r="I43" s="16"/>
      <c r="J43" s="16"/>
      <c r="K43" s="242"/>
    </row>
    <row r="44" spans="1:11">
      <c r="A44" s="243"/>
      <c r="B44" s="16" t="s">
        <v>379</v>
      </c>
      <c r="C44" s="16"/>
      <c r="D44" s="16"/>
      <c r="E44" s="16"/>
      <c r="F44" s="16"/>
      <c r="G44" s="16"/>
      <c r="H44" s="16"/>
      <c r="I44" s="16"/>
      <c r="J44" s="16"/>
      <c r="K44" s="242"/>
    </row>
    <row r="45" spans="1:11">
      <c r="A45" s="243"/>
      <c r="B45" s="16" t="s">
        <v>290</v>
      </c>
      <c r="C45" s="16"/>
      <c r="D45" s="16"/>
      <c r="E45" s="16"/>
      <c r="F45" s="16"/>
      <c r="G45" s="16"/>
      <c r="H45" s="16"/>
      <c r="I45" s="16"/>
      <c r="J45" s="16"/>
      <c r="K45" s="242"/>
    </row>
    <row r="46" spans="1:11">
      <c r="A46" s="243"/>
      <c r="B46" s="16" t="s">
        <v>378</v>
      </c>
      <c r="C46" s="16"/>
      <c r="D46" s="16"/>
      <c r="E46" s="16"/>
      <c r="F46" s="16"/>
      <c r="G46" s="16"/>
      <c r="H46" s="16"/>
      <c r="I46" s="16"/>
      <c r="J46" s="16"/>
      <c r="K46" s="242"/>
    </row>
    <row r="47" spans="1:11">
      <c r="A47" s="243" t="s">
        <v>59</v>
      </c>
      <c r="B47" s="16" t="s">
        <v>289</v>
      </c>
      <c r="C47" s="16"/>
      <c r="D47" s="16"/>
      <c r="E47" s="16"/>
      <c r="F47" s="16"/>
      <c r="G47" s="16"/>
      <c r="H47" s="16"/>
      <c r="I47" s="16"/>
      <c r="J47" s="16"/>
      <c r="K47" s="242"/>
    </row>
    <row r="48" spans="1:11">
      <c r="A48" s="233"/>
      <c r="B48" s="16" t="s">
        <v>971</v>
      </c>
      <c r="C48" s="16"/>
      <c r="D48" s="16"/>
      <c r="E48" s="16"/>
      <c r="F48" s="16"/>
      <c r="G48" s="16"/>
      <c r="H48" s="16"/>
      <c r="I48" s="16"/>
      <c r="J48" s="16"/>
      <c r="K48" s="242"/>
    </row>
    <row r="68" ht="24" customHeight="1"/>
  </sheetData>
  <sheetProtection algorithmName="SHA-512" hashValue="t0d3/9X9gOPNB/Ult6eJm3QPvf2GTdQTtWrU8um2xYcsomDGfEXtU3v94SuILjkzY+wXw2uVCQN+gu4exKn9rg==" saltValue="/hontfKKys8e5CtVpeoBFw==" spinCount="100000" sheet="1" objects="1" scenarios="1"/>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78"/>
  <sheetViews>
    <sheetView view="pageBreakPreview" zoomScale="70" zoomScaleNormal="65" zoomScaleSheetLayoutView="70" workbookViewId="0">
      <selection activeCell="G65" sqref="G65"/>
    </sheetView>
  </sheetViews>
  <sheetFormatPr defaultColWidth="8.88671875" defaultRowHeight="12.75"/>
  <cols>
    <col min="1" max="1" width="6" style="13" customWidth="1"/>
    <col min="2" max="2" width="37.5546875" style="13" customWidth="1"/>
    <col min="3" max="3" width="11.21875" style="13" customWidth="1"/>
    <col min="4" max="4" width="18.6640625" style="13" customWidth="1"/>
    <col min="5" max="5" width="22.21875" style="13" customWidth="1"/>
    <col min="6" max="6" width="15.21875" style="13" customWidth="1"/>
    <col min="7" max="7" width="18.33203125" style="13" customWidth="1"/>
    <col min="8" max="8" width="14.44140625" style="13" customWidth="1"/>
    <col min="9" max="9" width="18.5546875" style="13" customWidth="1"/>
    <col min="10" max="10" width="13.77734375" style="13" customWidth="1"/>
    <col min="11" max="11" width="14.44140625" style="13" customWidth="1"/>
    <col min="12" max="12" width="13.5546875" style="13" customWidth="1"/>
    <col min="13" max="13" width="9.5546875" style="13" bestFit="1" customWidth="1"/>
    <col min="14" max="16384" width="8.88671875" style="13"/>
  </cols>
  <sheetData>
    <row r="1" spans="1:13">
      <c r="A1" s="148"/>
      <c r="B1" s="148"/>
      <c r="C1" s="148"/>
      <c r="D1" s="148"/>
      <c r="E1" s="148"/>
      <c r="F1" s="148"/>
      <c r="G1" s="148"/>
      <c r="H1" s="148"/>
      <c r="I1" s="148"/>
      <c r="J1" s="150" t="s">
        <v>419</v>
      </c>
      <c r="K1" s="148"/>
    </row>
    <row r="2" spans="1:13">
      <c r="A2" s="148"/>
      <c r="B2" s="148"/>
      <c r="C2" s="148"/>
      <c r="D2" s="148"/>
      <c r="E2" s="148"/>
      <c r="F2" s="148"/>
      <c r="G2" s="148"/>
      <c r="H2" s="148"/>
      <c r="I2" s="148"/>
      <c r="J2" s="148"/>
      <c r="K2" s="148"/>
    </row>
    <row r="3" spans="1:13">
      <c r="A3" s="148"/>
      <c r="B3" s="148"/>
      <c r="C3" s="148"/>
      <c r="D3" s="148"/>
      <c r="E3" s="148"/>
      <c r="F3" s="148"/>
      <c r="G3" s="148"/>
      <c r="H3" s="148"/>
      <c r="I3" s="148"/>
      <c r="J3" s="148"/>
      <c r="K3" s="148"/>
    </row>
    <row r="4" spans="1:13">
      <c r="A4" s="148"/>
      <c r="B4" s="148"/>
      <c r="C4" s="148"/>
      <c r="D4" s="148"/>
      <c r="E4" s="148"/>
      <c r="F4" s="148"/>
      <c r="G4" s="148"/>
      <c r="H4" s="148"/>
      <c r="I4" s="148"/>
      <c r="J4" s="148"/>
      <c r="K4" s="148"/>
    </row>
    <row r="5" spans="1:13">
      <c r="A5" s="279"/>
      <c r="B5" s="148"/>
      <c r="C5" s="148"/>
      <c r="D5" s="150"/>
      <c r="E5" s="151" t="s">
        <v>190</v>
      </c>
      <c r="F5" s="150"/>
      <c r="G5" s="150"/>
      <c r="H5" s="148"/>
      <c r="I5" s="150"/>
      <c r="J5" s="150"/>
      <c r="K5" s="150"/>
      <c r="L5" s="1"/>
    </row>
    <row r="6" spans="1:13">
      <c r="A6" s="279"/>
      <c r="B6" s="148"/>
      <c r="C6" s="148"/>
      <c r="D6" s="150"/>
      <c r="E6" s="280" t="s">
        <v>292</v>
      </c>
      <c r="F6" s="155"/>
      <c r="G6" s="155"/>
      <c r="H6" s="148"/>
      <c r="I6" s="155"/>
      <c r="J6" s="155"/>
      <c r="K6" s="155"/>
      <c r="L6" s="1"/>
    </row>
    <row r="7" spans="1:13">
      <c r="A7" s="279"/>
      <c r="B7" s="148"/>
      <c r="C7" s="152"/>
      <c r="D7" s="152"/>
      <c r="E7" s="24" t="str">
        <f>+'2-Incentive ROE'!F5</f>
        <v>PECO Energy Company</v>
      </c>
      <c r="F7" s="152"/>
      <c r="G7" s="152"/>
      <c r="H7" s="148"/>
      <c r="I7" s="152"/>
      <c r="J7" s="152"/>
      <c r="K7" s="152"/>
      <c r="L7" s="2"/>
    </row>
    <row r="8" spans="1:13">
      <c r="A8" s="279"/>
      <c r="B8" s="148"/>
      <c r="C8" s="148"/>
      <c r="D8" s="148"/>
      <c r="E8" s="165"/>
      <c r="F8" s="165"/>
      <c r="G8" s="165"/>
      <c r="H8" s="148"/>
      <c r="I8" s="152"/>
      <c r="J8" s="152"/>
      <c r="K8" s="152"/>
      <c r="L8" s="2"/>
    </row>
    <row r="9" spans="1:13">
      <c r="A9" s="281"/>
      <c r="B9" s="88"/>
      <c r="C9" s="88"/>
      <c r="D9" s="88"/>
      <c r="E9" s="88"/>
      <c r="F9" s="88"/>
      <c r="G9" s="88"/>
      <c r="H9" s="88"/>
      <c r="I9" s="88"/>
      <c r="J9" s="88"/>
      <c r="K9" s="282"/>
      <c r="L9" s="6"/>
    </row>
    <row r="10" spans="1:13">
      <c r="A10" s="281"/>
      <c r="B10" s="88"/>
      <c r="C10" s="88"/>
      <c r="D10" s="1039" t="s">
        <v>417</v>
      </c>
      <c r="E10" s="1040"/>
      <c r="F10" s="283"/>
      <c r="G10" s="284" t="s">
        <v>342</v>
      </c>
      <c r="H10" s="283"/>
      <c r="I10" s="285"/>
      <c r="J10" s="285"/>
      <c r="K10" s="286"/>
    </row>
    <row r="11" spans="1:13" ht="15.75">
      <c r="A11" s="281">
        <v>1</v>
      </c>
      <c r="B11" s="88" t="s">
        <v>416</v>
      </c>
      <c r="C11" s="88"/>
      <c r="D11" s="1041" t="s">
        <v>418</v>
      </c>
      <c r="E11" s="1042"/>
      <c r="F11" s="287" t="s">
        <v>380</v>
      </c>
      <c r="G11" s="288" t="s">
        <v>1267</v>
      </c>
      <c r="H11" s="289" t="s">
        <v>344</v>
      </c>
      <c r="I11" s="290"/>
      <c r="J11" s="290"/>
      <c r="K11" s="291"/>
    </row>
    <row r="12" spans="1:13">
      <c r="A12" s="281">
        <v>2</v>
      </c>
      <c r="B12" s="88"/>
      <c r="C12" s="88"/>
      <c r="D12" s="292"/>
      <c r="E12" s="292"/>
      <c r="F12" s="293"/>
      <c r="G12" s="294"/>
      <c r="H12" s="292"/>
      <c r="I12" s="292"/>
      <c r="J12" s="292"/>
      <c r="K12" s="283"/>
    </row>
    <row r="13" spans="1:13">
      <c r="A13" s="148"/>
      <c r="B13" s="295" t="s">
        <v>58</v>
      </c>
      <c r="C13" s="295" t="s">
        <v>59</v>
      </c>
      <c r="D13" s="288" t="s">
        <v>60</v>
      </c>
      <c r="E13" s="288" t="s">
        <v>61</v>
      </c>
      <c r="F13" s="284" t="s">
        <v>62</v>
      </c>
      <c r="G13" s="295" t="s">
        <v>63</v>
      </c>
      <c r="H13" s="296" t="s">
        <v>64</v>
      </c>
      <c r="I13" s="296" t="s">
        <v>65</v>
      </c>
      <c r="J13" s="296" t="s">
        <v>66</v>
      </c>
      <c r="K13" s="297" t="s">
        <v>67</v>
      </c>
      <c r="M13" s="14"/>
    </row>
    <row r="14" spans="1:13">
      <c r="A14" s="281"/>
      <c r="B14" s="292"/>
      <c r="C14" s="284"/>
      <c r="D14" s="284"/>
      <c r="E14" s="298" t="s">
        <v>381</v>
      </c>
      <c r="F14" s="284"/>
      <c r="G14" s="284"/>
      <c r="H14" s="292"/>
      <c r="I14" s="284"/>
      <c r="J14" s="292"/>
      <c r="K14" s="292"/>
    </row>
    <row r="15" spans="1:13">
      <c r="A15" s="281"/>
      <c r="B15" s="292"/>
      <c r="C15" s="284"/>
      <c r="D15" s="296" t="s">
        <v>412</v>
      </c>
      <c r="E15" s="297" t="s">
        <v>13</v>
      </c>
      <c r="F15" s="296" t="s">
        <v>347</v>
      </c>
      <c r="G15" s="296" t="s">
        <v>411</v>
      </c>
      <c r="H15" s="296" t="s">
        <v>345</v>
      </c>
      <c r="I15" s="296"/>
      <c r="J15" s="296" t="s">
        <v>297</v>
      </c>
      <c r="K15" s="296"/>
    </row>
    <row r="16" spans="1:13" ht="25.5" customHeight="1">
      <c r="A16" s="281"/>
      <c r="B16" s="1037" t="s">
        <v>426</v>
      </c>
      <c r="C16" s="1043" t="s">
        <v>699</v>
      </c>
      <c r="D16" s="296" t="s">
        <v>346</v>
      </c>
      <c r="E16" s="297" t="s">
        <v>382</v>
      </c>
      <c r="F16" s="296" t="s">
        <v>350</v>
      </c>
      <c r="G16" s="296" t="s">
        <v>346</v>
      </c>
      <c r="H16" s="296" t="s">
        <v>303</v>
      </c>
      <c r="I16" s="284" t="s">
        <v>365</v>
      </c>
      <c r="J16" s="296" t="s">
        <v>348</v>
      </c>
      <c r="K16" s="296" t="s">
        <v>383</v>
      </c>
    </row>
    <row r="17" spans="1:13" ht="15.75">
      <c r="A17" s="281"/>
      <c r="B17" s="1038"/>
      <c r="C17" s="1044"/>
      <c r="D17" s="288" t="s">
        <v>349</v>
      </c>
      <c r="E17" s="297" t="s">
        <v>343</v>
      </c>
      <c r="F17" s="299"/>
      <c r="G17" s="288" t="s">
        <v>384</v>
      </c>
      <c r="H17" s="288" t="s">
        <v>413</v>
      </c>
      <c r="I17" s="296" t="s">
        <v>385</v>
      </c>
      <c r="J17" s="288" t="s">
        <v>386</v>
      </c>
      <c r="K17" s="288" t="s">
        <v>414</v>
      </c>
    </row>
    <row r="18" spans="1:13">
      <c r="A18" s="281">
        <v>3</v>
      </c>
      <c r="B18" s="294" t="s">
        <v>447</v>
      </c>
      <c r="C18" s="294" t="s">
        <v>447</v>
      </c>
      <c r="D18" s="998">
        <v>162880138.64824608</v>
      </c>
      <c r="E18" s="999">
        <v>0.82867798586298014</v>
      </c>
      <c r="F18" s="998">
        <v>163487627.09</v>
      </c>
      <c r="G18" s="321">
        <f>'[7]Attachment H-7'!$I$24</f>
        <v>140573022.62866056</v>
      </c>
      <c r="H18" s="998">
        <v>-22914604.461339444</v>
      </c>
      <c r="I18" s="897">
        <v>0</v>
      </c>
      <c r="J18" s="300">
        <f>+'6-True-Up Interest'!G41</f>
        <v>-1700263.651031387</v>
      </c>
      <c r="K18" s="1001">
        <v>-24614868.11237083</v>
      </c>
      <c r="M18" s="1002"/>
    </row>
    <row r="19" spans="1:13">
      <c r="A19" s="215" t="s">
        <v>387</v>
      </c>
      <c r="B19" s="894" t="s">
        <v>1235</v>
      </c>
      <c r="C19" s="894" t="s">
        <v>720</v>
      </c>
      <c r="D19" s="998">
        <v>6756243.2984312074</v>
      </c>
      <c r="E19" s="895">
        <v>3.4373436411637773E-2</v>
      </c>
      <c r="F19" s="998">
        <v>5297646.5600000015</v>
      </c>
      <c r="G19" s="321">
        <f>'[7]1-Project Rev Req'!T67</f>
        <v>4860792.4133368675</v>
      </c>
      <c r="H19" s="998">
        <v>-436854.14666313399</v>
      </c>
      <c r="I19" s="895">
        <v>0</v>
      </c>
      <c r="J19" s="300">
        <f>+'6-True-Up Interest'!G42</f>
        <v>-32414.577682404546</v>
      </c>
      <c r="K19" s="1001">
        <v>-469268.72434553853</v>
      </c>
      <c r="M19" s="1002"/>
    </row>
    <row r="20" spans="1:13">
      <c r="A20" s="215" t="s">
        <v>388</v>
      </c>
      <c r="B20" s="894" t="s">
        <v>1235</v>
      </c>
      <c r="C20" s="894" t="s">
        <v>720</v>
      </c>
      <c r="D20" s="998">
        <v>882294.20917428425</v>
      </c>
      <c r="E20" s="895">
        <v>4.4888087293201099E-3</v>
      </c>
      <c r="F20" s="998">
        <v>2315583.3400000003</v>
      </c>
      <c r="G20" s="321">
        <f>'[7]1-Project Rev Req'!T68</f>
        <v>751795.87712843437</v>
      </c>
      <c r="H20" s="998">
        <v>-1563787.4628715659</v>
      </c>
      <c r="I20" s="895">
        <v>0</v>
      </c>
      <c r="J20" s="300">
        <f>+'6-True-Up Interest'!G43</f>
        <v>-116033.02974507021</v>
      </c>
      <c r="K20" s="1001">
        <v>-1679820.4926166362</v>
      </c>
      <c r="M20" s="1002"/>
    </row>
    <row r="21" spans="1:13">
      <c r="A21" s="215" t="s">
        <v>389</v>
      </c>
      <c r="B21" s="894" t="s">
        <v>803</v>
      </c>
      <c r="C21" s="894" t="s">
        <v>722</v>
      </c>
      <c r="D21" s="998">
        <v>735439.84105925821</v>
      </c>
      <c r="E21" s="895">
        <v>3.7416643383913211E-3</v>
      </c>
      <c r="F21" s="998">
        <v>663817.95000000007</v>
      </c>
      <c r="G21" s="321">
        <f>'[7]1-Project Rev Req'!T69</f>
        <v>-212340.05760196949</v>
      </c>
      <c r="H21" s="998">
        <v>-876158.00760196953</v>
      </c>
      <c r="I21" s="895">
        <v>0</v>
      </c>
      <c r="J21" s="300">
        <f>+'6-True-Up Interest'!G44</f>
        <v>-65010.924164066142</v>
      </c>
      <c r="K21" s="1001">
        <v>-941168.93176603562</v>
      </c>
      <c r="M21" s="1002"/>
    </row>
    <row r="22" spans="1:13">
      <c r="A22" s="215" t="s">
        <v>821</v>
      </c>
      <c r="B22" s="894" t="s">
        <v>803</v>
      </c>
      <c r="C22" s="894" t="s">
        <v>1643</v>
      </c>
      <c r="D22" s="998">
        <v>245146.61368641935</v>
      </c>
      <c r="E22" s="895">
        <v>1.2472214461304401E-3</v>
      </c>
      <c r="F22" s="998">
        <v>254119.91000000003</v>
      </c>
      <c r="G22" s="321">
        <f>'[7]1-Project Rev Req'!T70</f>
        <v>294725.62935934361</v>
      </c>
      <c r="H22" s="998">
        <v>40605.71935934358</v>
      </c>
      <c r="I22" s="895">
        <v>0</v>
      </c>
      <c r="J22" s="300">
        <f>+'6-True-Up Interest'!G45</f>
        <v>3012.9443764632942</v>
      </c>
      <c r="K22" s="1001">
        <v>43618.663735806877</v>
      </c>
      <c r="M22" s="1002"/>
    </row>
    <row r="23" spans="1:13">
      <c r="A23" s="215" t="s">
        <v>822</v>
      </c>
      <c r="B23" s="894" t="s">
        <v>804</v>
      </c>
      <c r="C23" s="894" t="s">
        <v>723</v>
      </c>
      <c r="D23" s="998">
        <v>474738.53619456571</v>
      </c>
      <c r="E23" s="895">
        <v>2.4153059866608142E-3</v>
      </c>
      <c r="F23" s="998">
        <v>473078.77999999991</v>
      </c>
      <c r="G23" s="321">
        <f>'[7]1-Project Rev Req'!T71</f>
        <v>362772.22265336796</v>
      </c>
      <c r="H23" s="998">
        <v>-110306.55734663195</v>
      </c>
      <c r="I23" s="895">
        <v>0</v>
      </c>
      <c r="J23" s="300">
        <f>+'6-True-Up Interest'!G46</f>
        <v>-8184.7465551200912</v>
      </c>
      <c r="K23" s="1001">
        <v>-118491.30390175204</v>
      </c>
      <c r="M23" s="1002"/>
    </row>
    <row r="24" spans="1:13">
      <c r="A24" s="215" t="s">
        <v>823</v>
      </c>
      <c r="B24" s="894" t="s">
        <v>805</v>
      </c>
      <c r="C24" s="894" t="s">
        <v>724</v>
      </c>
      <c r="D24" s="998">
        <v>639847.90394802857</v>
      </c>
      <c r="E24" s="895">
        <v>3.2553255215933686E-3</v>
      </c>
      <c r="F24" s="998">
        <v>637066.2200000002</v>
      </c>
      <c r="G24" s="321">
        <f>'[7]1-Project Rev Req'!T72</f>
        <v>484680.86585206044</v>
      </c>
      <c r="H24" s="998">
        <v>-152385.35414793977</v>
      </c>
      <c r="I24" s="895">
        <v>0</v>
      </c>
      <c r="J24" s="300">
        <f>+'6-True-Up Interest'!G47</f>
        <v>-11306.993277777132</v>
      </c>
      <c r="K24" s="1001">
        <v>-163692.3474257169</v>
      </c>
      <c r="M24" s="1002"/>
    </row>
    <row r="25" spans="1:13">
      <c r="A25" s="215" t="s">
        <v>824</v>
      </c>
      <c r="B25" s="894" t="s">
        <v>806</v>
      </c>
      <c r="C25" s="894" t="s">
        <v>802</v>
      </c>
      <c r="D25" s="998">
        <v>2188057.0818003179</v>
      </c>
      <c r="E25" s="895">
        <v>1.1132080010167907E-2</v>
      </c>
      <c r="F25" s="998">
        <v>2244497.5300000003</v>
      </c>
      <c r="G25" s="321">
        <f>'[7]1-Project Rev Req'!T73</f>
        <v>2232037.491079892</v>
      </c>
      <c r="H25" s="998">
        <v>-12460.038920108229</v>
      </c>
      <c r="I25" s="895">
        <v>0</v>
      </c>
      <c r="J25" s="300">
        <f>+'6-True-Up Interest'!G48</f>
        <v>-924.53488787203071</v>
      </c>
      <c r="K25" s="1001">
        <v>-13384.57380798026</v>
      </c>
      <c r="M25" s="1002"/>
    </row>
    <row r="26" spans="1:13">
      <c r="A26" s="215" t="s">
        <v>825</v>
      </c>
      <c r="B26" s="894" t="s">
        <v>917</v>
      </c>
      <c r="C26" s="894" t="s">
        <v>918</v>
      </c>
      <c r="D26" s="998">
        <v>4796812.7509493344</v>
      </c>
      <c r="E26" s="895">
        <v>2.440452937974804E-2</v>
      </c>
      <c r="F26" s="998">
        <v>4927933.95</v>
      </c>
      <c r="G26" s="321">
        <f>'[7]1-Project Rev Req'!T74</f>
        <v>5833988.5758353882</v>
      </c>
      <c r="H26" s="998">
        <v>906054.62583538797</v>
      </c>
      <c r="I26" s="895">
        <v>0</v>
      </c>
      <c r="J26" s="300">
        <f>+'6-True-Up Interest'!G49</f>
        <v>67229.253236985795</v>
      </c>
      <c r="K26" s="1001">
        <v>973283.87907237373</v>
      </c>
      <c r="M26" s="1002"/>
    </row>
    <row r="27" spans="1:13">
      <c r="A27" s="215" t="s">
        <v>826</v>
      </c>
      <c r="B27" s="894" t="s">
        <v>807</v>
      </c>
      <c r="C27" s="894" t="s">
        <v>725</v>
      </c>
      <c r="D27" s="998">
        <v>2945771.99562902</v>
      </c>
      <c r="E27" s="895">
        <v>1.4987072238569181E-2</v>
      </c>
      <c r="F27" s="998">
        <v>2945211.95</v>
      </c>
      <c r="G27" s="321">
        <f>'[7]1-Project Rev Req'!T75</f>
        <v>2041570.9948370946</v>
      </c>
      <c r="H27" s="998">
        <v>-903640.95516290562</v>
      </c>
      <c r="I27" s="895">
        <v>0</v>
      </c>
      <c r="J27" s="300">
        <f>+'6-True-Up Interest'!G50</f>
        <v>-67050.158873087596</v>
      </c>
      <c r="K27" s="1001">
        <v>-970691.11403599323</v>
      </c>
      <c r="M27" s="1002"/>
    </row>
    <row r="28" spans="1:13" ht="12.75" customHeight="1">
      <c r="A28" s="215" t="s">
        <v>827</v>
      </c>
      <c r="B28" s="894" t="s">
        <v>808</v>
      </c>
      <c r="C28" s="894" t="s">
        <v>726</v>
      </c>
      <c r="D28" s="998">
        <v>2690817.9838898126</v>
      </c>
      <c r="E28" s="895">
        <v>1.3689954132647135E-2</v>
      </c>
      <c r="F28" s="998">
        <v>2684828.3100000005</v>
      </c>
      <c r="G28" s="321">
        <f>'[7]1-Project Rev Req'!T76</f>
        <v>1966325.494582911</v>
      </c>
      <c r="H28" s="998">
        <v>-718502.8154170895</v>
      </c>
      <c r="I28" s="895">
        <v>0</v>
      </c>
      <c r="J28" s="300">
        <f>+'6-True-Up Interest'!G51</f>
        <v>-53312.908903948039</v>
      </c>
      <c r="K28" s="1001">
        <v>-771815.72432103753</v>
      </c>
      <c r="M28" s="1002"/>
    </row>
    <row r="29" spans="1:13">
      <c r="A29" s="215" t="s">
        <v>828</v>
      </c>
      <c r="B29" s="894" t="s">
        <v>809</v>
      </c>
      <c r="C29" s="894" t="s">
        <v>727</v>
      </c>
      <c r="D29" s="998">
        <v>2746065.0881683328</v>
      </c>
      <c r="E29" s="895">
        <v>1.3971032350520933E-2</v>
      </c>
      <c r="F29" s="998">
        <v>2739628.87</v>
      </c>
      <c r="G29" s="321">
        <f>'[7]1-Project Rev Req'!T77</f>
        <v>2072238.8699722334</v>
      </c>
      <c r="H29" s="998">
        <v>-667390.00002776668</v>
      </c>
      <c r="I29" s="895">
        <v>0</v>
      </c>
      <c r="J29" s="300">
        <f>+'6-True-Up Interest'!G52</f>
        <v>-49520.338002060293</v>
      </c>
      <c r="K29" s="1001">
        <v>-716910.33802982699</v>
      </c>
      <c r="M29" s="1002"/>
    </row>
    <row r="30" spans="1:13">
      <c r="A30" s="215" t="s">
        <v>829</v>
      </c>
      <c r="B30" s="894" t="s">
        <v>810</v>
      </c>
      <c r="C30" s="894" t="s">
        <v>728</v>
      </c>
      <c r="D30" s="998">
        <v>1782467.4530592288</v>
      </c>
      <c r="E30" s="895">
        <v>9.0685798227207199E-3</v>
      </c>
      <c r="F30" s="998">
        <v>1778033.1499999997</v>
      </c>
      <c r="G30" s="321">
        <f>'[7]1-Project Rev Req'!T78</f>
        <v>1296926.5019694043</v>
      </c>
      <c r="H30" s="998">
        <v>-481106.64803059539</v>
      </c>
      <c r="I30" s="895">
        <v>0</v>
      </c>
      <c r="J30" s="300">
        <f>+'6-True-Up Interest'!G53</f>
        <v>-35698.113283870181</v>
      </c>
      <c r="K30" s="1001">
        <v>-516804.76131446555</v>
      </c>
      <c r="M30" s="1002"/>
    </row>
    <row r="31" spans="1:13">
      <c r="A31" s="215" t="s">
        <v>830</v>
      </c>
      <c r="B31" s="894" t="s">
        <v>811</v>
      </c>
      <c r="C31" s="894" t="s">
        <v>729</v>
      </c>
      <c r="D31" s="998">
        <v>1251556.6700393222</v>
      </c>
      <c r="E31" s="895">
        <v>6.3674888118885574E-3</v>
      </c>
      <c r="F31" s="998">
        <v>1247275.0799999998</v>
      </c>
      <c r="G31" s="321">
        <f>'[7]1-Project Rev Req'!T79</f>
        <v>941243.77039111056</v>
      </c>
      <c r="H31" s="998">
        <v>-306031.30960888928</v>
      </c>
      <c r="I31" s="895">
        <v>0</v>
      </c>
      <c r="J31" s="300">
        <f>+'6-True-Up Interest'!G54</f>
        <v>-22707.523172979589</v>
      </c>
      <c r="K31" s="1001">
        <v>-328738.83278186887</v>
      </c>
      <c r="M31" s="1002"/>
    </row>
    <row r="32" spans="1:13">
      <c r="A32" s="215" t="s">
        <v>1647</v>
      </c>
      <c r="B32" s="894" t="s">
        <v>812</v>
      </c>
      <c r="C32" s="894" t="s">
        <v>730</v>
      </c>
      <c r="D32" s="998">
        <v>265191.74624229473</v>
      </c>
      <c r="E32" s="895">
        <v>1.3492041691967071E-3</v>
      </c>
      <c r="F32" s="998">
        <v>264288.37</v>
      </c>
      <c r="G32" s="321">
        <f>'[7]1-Project Rev Req'!T80</f>
        <v>199945.06750085199</v>
      </c>
      <c r="H32" s="998">
        <v>-64343.302499148005</v>
      </c>
      <c r="I32" s="895">
        <v>0</v>
      </c>
      <c r="J32" s="300">
        <f>+'6-True-Up Interest'!G55</f>
        <v>-4774.2730454367829</v>
      </c>
      <c r="K32" s="1001">
        <v>-69117.57554458479</v>
      </c>
      <c r="M32" s="1002"/>
    </row>
    <row r="33" spans="1:13">
      <c r="A33" s="215" t="s">
        <v>831</v>
      </c>
      <c r="B33" s="894" t="s">
        <v>813</v>
      </c>
      <c r="C33" s="894" t="s">
        <v>731</v>
      </c>
      <c r="D33" s="998">
        <v>331812.31959832303</v>
      </c>
      <c r="E33" s="895">
        <v>1.6881466762689464E-3</v>
      </c>
      <c r="F33" s="998">
        <v>330403.71000000008</v>
      </c>
      <c r="G33" s="321">
        <f>'[7]1-Project Rev Req'!T81</f>
        <v>249333.61280964853</v>
      </c>
      <c r="H33" s="998">
        <v>-81070.097190351546</v>
      </c>
      <c r="I33" s="895">
        <v>0</v>
      </c>
      <c r="J33" s="300">
        <f>+'6-True-Up Interest'!G56</f>
        <v>-6015.4012115240848</v>
      </c>
      <c r="K33" s="1001">
        <v>-87085.498401875637</v>
      </c>
      <c r="M33" s="1002"/>
    </row>
    <row r="34" spans="1:13">
      <c r="A34" s="215" t="s">
        <v>832</v>
      </c>
      <c r="B34" s="894" t="s">
        <v>1047</v>
      </c>
      <c r="C34" s="894" t="s">
        <v>732</v>
      </c>
      <c r="D34" s="998">
        <v>371342.74958606169</v>
      </c>
      <c r="E34" s="895">
        <v>1.8892638743165278E-3</v>
      </c>
      <c r="F34" s="998">
        <v>369948.66</v>
      </c>
      <c r="G34" s="321">
        <f>'[7]1-Project Rev Req'!T82</f>
        <v>282508.09173887642</v>
      </c>
      <c r="H34" s="998">
        <v>-87440.568261123553</v>
      </c>
      <c r="I34" s="895">
        <v>0</v>
      </c>
      <c r="J34" s="300">
        <f>+'6-True-Up Interest'!G57</f>
        <v>-6488.0901649753678</v>
      </c>
      <c r="K34" s="1001">
        <v>-93928.658426098918</v>
      </c>
      <c r="M34" s="1002"/>
    </row>
    <row r="35" spans="1:13">
      <c r="A35" s="215" t="s">
        <v>833</v>
      </c>
      <c r="B35" s="894" t="s">
        <v>812</v>
      </c>
      <c r="C35" s="894" t="s">
        <v>733</v>
      </c>
      <c r="D35" s="998">
        <v>363012.3395647516</v>
      </c>
      <c r="E35" s="895">
        <v>1.8468816203771438E-3</v>
      </c>
      <c r="F35" s="998">
        <v>361746.56000000006</v>
      </c>
      <c r="G35" s="321">
        <f>'[7]1-Project Rev Req'!T83</f>
        <v>273778.77776958153</v>
      </c>
      <c r="H35" s="998">
        <v>-87967.782230418525</v>
      </c>
      <c r="I35" s="895">
        <v>0</v>
      </c>
      <c r="J35" s="300">
        <f>+'6-True-Up Interest'!G58</f>
        <v>-6527.2094414970552</v>
      </c>
      <c r="K35" s="1001">
        <v>-94494.991671915574</v>
      </c>
      <c r="M35" s="1002"/>
    </row>
    <row r="36" spans="1:13">
      <c r="A36" s="215" t="s">
        <v>834</v>
      </c>
      <c r="B36" s="894" t="s">
        <v>814</v>
      </c>
      <c r="C36" s="894" t="s">
        <v>734</v>
      </c>
      <c r="D36" s="998">
        <v>495601.62566474092</v>
      </c>
      <c r="E36" s="895">
        <v>2.5214501924829898E-3</v>
      </c>
      <c r="F36" s="998">
        <v>493472.43000000011</v>
      </c>
      <c r="G36" s="321">
        <f>'[7]1-Project Rev Req'!T84</f>
        <v>380653.67941487179</v>
      </c>
      <c r="H36" s="998">
        <v>-112818.75058512832</v>
      </c>
      <c r="I36" s="895">
        <v>0</v>
      </c>
      <c r="J36" s="300">
        <f>+'6-True-Up Interest'!G59</f>
        <v>-8371.1512934165221</v>
      </c>
      <c r="K36" s="1001">
        <v>-121189.90187854484</v>
      </c>
      <c r="M36" s="1002"/>
    </row>
    <row r="37" spans="1:13">
      <c r="A37" s="215" t="s">
        <v>835</v>
      </c>
      <c r="B37" s="894" t="s">
        <v>815</v>
      </c>
      <c r="C37" s="894" t="s">
        <v>735</v>
      </c>
      <c r="D37" s="998">
        <v>667605.55388090399</v>
      </c>
      <c r="E37" s="895">
        <v>3.3965468738684922E-3</v>
      </c>
      <c r="F37" s="998">
        <v>664875.10000000009</v>
      </c>
      <c r="G37" s="321">
        <f>'[7]1-Project Rev Req'!T85</f>
        <v>512090.35562623583</v>
      </c>
      <c r="H37" s="998">
        <v>-152784.74437376426</v>
      </c>
      <c r="I37" s="895">
        <v>0</v>
      </c>
      <c r="J37" s="300">
        <f>+'6-True-Up Interest'!G60</f>
        <v>-11336.62803253331</v>
      </c>
      <c r="K37" s="1001">
        <v>-164121.37240629757</v>
      </c>
      <c r="M37" s="1002"/>
    </row>
    <row r="38" spans="1:13">
      <c r="A38" s="215" t="s">
        <v>1642</v>
      </c>
      <c r="B38" s="894" t="s">
        <v>816</v>
      </c>
      <c r="C38" s="894" t="s">
        <v>737</v>
      </c>
      <c r="D38" s="998">
        <v>378186.04370144312</v>
      </c>
      <c r="E38" s="895">
        <v>1.9240801952704843E-3</v>
      </c>
      <c r="F38" s="998">
        <v>376684.79999999999</v>
      </c>
      <c r="G38" s="321">
        <f>'[7]1-Project Rev Req'!T86</f>
        <v>289866.99034198211</v>
      </c>
      <c r="H38" s="998">
        <v>-86817.809658017883</v>
      </c>
      <c r="I38" s="895">
        <v>0</v>
      </c>
      <c r="J38" s="300">
        <f>+'6-True-Up Interest'!G61</f>
        <v>-6441.8814766249279</v>
      </c>
      <c r="K38" s="1001">
        <v>-93259.69113464281</v>
      </c>
      <c r="M38" s="1002"/>
    </row>
    <row r="39" spans="1:13">
      <c r="A39" s="215" t="s">
        <v>836</v>
      </c>
      <c r="B39" s="894" t="s">
        <v>1048</v>
      </c>
      <c r="C39" s="894" t="s">
        <v>1660</v>
      </c>
      <c r="D39" s="998">
        <v>316077.96362168423</v>
      </c>
      <c r="E39" s="895">
        <v>1.6080956981215713E-3</v>
      </c>
      <c r="F39" s="998">
        <v>314786.56000000011</v>
      </c>
      <c r="G39" s="321">
        <f>'[7]1-Project Rev Req'!T87</f>
        <v>240774.24025798577</v>
      </c>
      <c r="H39" s="998">
        <v>-74012.319742014341</v>
      </c>
      <c r="I39" s="895">
        <v>0</v>
      </c>
      <c r="J39" s="300">
        <f>+'6-True-Up Interest'!G62</f>
        <v>-5491.7141248574644</v>
      </c>
      <c r="K39" s="1001">
        <v>-79504.033866871803</v>
      </c>
      <c r="M39" s="1002"/>
    </row>
    <row r="40" spans="1:13">
      <c r="A40" s="215" t="s">
        <v>837</v>
      </c>
      <c r="B40" s="894" t="s">
        <v>817</v>
      </c>
      <c r="C40" s="894" t="s">
        <v>738</v>
      </c>
      <c r="D40" s="998">
        <v>314952.75846255128</v>
      </c>
      <c r="E40" s="895">
        <v>1.6023710422323311E-3</v>
      </c>
      <c r="F40" s="998">
        <v>314437.42</v>
      </c>
      <c r="G40" s="321">
        <f>'[7]1-Project Rev Req'!T88</f>
        <v>223707.89410680759</v>
      </c>
      <c r="H40" s="998">
        <v>-90729.525893192389</v>
      </c>
      <c r="I40" s="895">
        <v>0</v>
      </c>
      <c r="J40" s="300">
        <f>+'6-True-Up Interest'!G63</f>
        <v>-6732.1308212748754</v>
      </c>
      <c r="K40" s="1001">
        <v>-97461.656714467259</v>
      </c>
      <c r="M40" s="1002"/>
    </row>
    <row r="41" spans="1:13">
      <c r="A41" s="215" t="s">
        <v>838</v>
      </c>
      <c r="B41" s="894" t="s">
        <v>1236</v>
      </c>
      <c r="C41" s="894" t="s">
        <v>721</v>
      </c>
      <c r="D41" s="998">
        <v>800827.77572171763</v>
      </c>
      <c r="E41" s="895">
        <v>4.0743356047932087E-3</v>
      </c>
      <c r="F41" s="998">
        <v>829979.68</v>
      </c>
      <c r="G41" s="321">
        <f>'[7]1-Project Rev Req'!T89</f>
        <v>962765.43706294429</v>
      </c>
      <c r="H41" s="998">
        <v>132785.75706294423</v>
      </c>
      <c r="I41" s="895">
        <v>0</v>
      </c>
      <c r="J41" s="300">
        <f>+'6-True-Up Interest'!G64</f>
        <v>9852.7031740704624</v>
      </c>
      <c r="K41" s="1001">
        <v>142638.46023701469</v>
      </c>
      <c r="M41" s="1002"/>
    </row>
    <row r="42" spans="1:13">
      <c r="A42" s="215" t="s">
        <v>839</v>
      </c>
      <c r="B42" s="894" t="s">
        <v>1237</v>
      </c>
      <c r="C42" s="894" t="s">
        <v>736</v>
      </c>
      <c r="D42" s="998">
        <v>598700.693825264</v>
      </c>
      <c r="E42" s="895">
        <v>3.045982703669751E-3</v>
      </c>
      <c r="F42" s="998">
        <v>619768.58999999985</v>
      </c>
      <c r="G42" s="321">
        <f>'[7]1-Project Rev Req'!T90</f>
        <v>720915.5366721052</v>
      </c>
      <c r="H42" s="998">
        <v>101146.94667210535</v>
      </c>
      <c r="I42" s="895">
        <v>0</v>
      </c>
      <c r="J42" s="300">
        <f>+'6-True-Up Interest'!G65</f>
        <v>7505.1034430702166</v>
      </c>
      <c r="K42" s="1001">
        <v>108652.05011517556</v>
      </c>
      <c r="M42" s="1002"/>
    </row>
    <row r="43" spans="1:13">
      <c r="A43" s="215" t="s">
        <v>840</v>
      </c>
      <c r="B43" s="894" t="s">
        <v>1640</v>
      </c>
      <c r="C43" s="894" t="s">
        <v>1641</v>
      </c>
      <c r="D43" s="998">
        <v>635490.45159396029</v>
      </c>
      <c r="E43" s="895">
        <v>3.2331563064255126E-3</v>
      </c>
      <c r="F43" s="1000">
        <v>370702.77999999997</v>
      </c>
      <c r="G43" s="321">
        <f>'[7]1-Project Rev Req'!T91</f>
        <v>1534796.8906452763</v>
      </c>
      <c r="H43" s="998">
        <v>1164094.1106452763</v>
      </c>
      <c r="I43" s="895">
        <v>0</v>
      </c>
      <c r="J43" s="300">
        <f>+'6-True-Up Interest'!G66</f>
        <v>86375.783009879509</v>
      </c>
      <c r="K43" s="1001">
        <v>1250469.8936551558</v>
      </c>
      <c r="M43" s="1002"/>
    </row>
    <row r="44" spans="1:13" ht="13.5" customHeight="1">
      <c r="A44" s="1007" t="s">
        <v>1658</v>
      </c>
      <c r="B44" s="894" t="s">
        <v>1656</v>
      </c>
      <c r="C44" s="894" t="s">
        <v>1657</v>
      </c>
      <c r="D44" s="998">
        <v>0</v>
      </c>
      <c r="E44" s="895">
        <v>0</v>
      </c>
      <c r="F44" s="1000">
        <v>0</v>
      </c>
      <c r="G44" s="321">
        <f>'[7]1-Project Rev Req'!T92</f>
        <v>53694.81224853747</v>
      </c>
      <c r="H44" s="998">
        <v>53694.81224853747</v>
      </c>
      <c r="I44" s="895">
        <v>0</v>
      </c>
      <c r="J44" s="300">
        <f>+'6-True-Up Interest'!G67</f>
        <v>3984.1550688414804</v>
      </c>
      <c r="K44" s="1001">
        <v>57678.967317378949</v>
      </c>
      <c r="M44" s="1002"/>
    </row>
    <row r="45" spans="1:13" ht="13.5" customHeight="1">
      <c r="A45" s="281"/>
      <c r="B45" s="894"/>
      <c r="C45" s="894"/>
      <c r="D45" s="896"/>
      <c r="E45" s="895"/>
      <c r="F45" s="895"/>
      <c r="G45" s="322"/>
      <c r="H45" s="898"/>
      <c r="I45" s="895"/>
      <c r="J45" s="301"/>
      <c r="K45" s="899"/>
      <c r="M45" s="1002"/>
    </row>
    <row r="46" spans="1:13">
      <c r="A46" s="281"/>
      <c r="B46" s="894"/>
      <c r="C46" s="894"/>
      <c r="D46" s="896"/>
      <c r="E46" s="895"/>
      <c r="F46" s="895"/>
      <c r="G46" s="322"/>
      <c r="H46" s="898"/>
      <c r="I46" s="895"/>
      <c r="J46" s="301"/>
      <c r="K46" s="899"/>
      <c r="M46" s="1002"/>
    </row>
    <row r="47" spans="1:13">
      <c r="A47" s="281"/>
      <c r="B47" s="302"/>
      <c r="C47" s="302"/>
      <c r="D47" s="303"/>
      <c r="E47" s="304"/>
      <c r="F47" s="302"/>
      <c r="G47" s="305"/>
      <c r="H47" s="306"/>
      <c r="I47" s="302"/>
      <c r="J47" s="302"/>
      <c r="K47" s="302"/>
      <c r="M47" s="1002"/>
    </row>
    <row r="48" spans="1:13">
      <c r="A48" s="281">
        <v>4</v>
      </c>
      <c r="B48" s="88" t="s">
        <v>359</v>
      </c>
      <c r="C48" s="88"/>
      <c r="D48" s="32">
        <f>SUM(D18:D47)</f>
        <v>196554200.09573889</v>
      </c>
      <c r="E48" s="307">
        <f>SUM(E18:E47)</f>
        <v>1</v>
      </c>
      <c r="F48" s="32">
        <f>SUM(F18:F47)</f>
        <v>197007443.35000002</v>
      </c>
      <c r="G48" s="32">
        <f>SUM(G18:G47)</f>
        <v>169424612.6642524</v>
      </c>
      <c r="H48" s="32">
        <f>SUM(H18:H47)</f>
        <v>-27582830.685747597</v>
      </c>
      <c r="I48" s="32"/>
      <c r="J48" s="32">
        <f>SUM(J18:J47)</f>
        <v>-2046646.0368824722</v>
      </c>
      <c r="K48" s="32">
        <f>SUM(K18:K47)</f>
        <v>-29629476.722630076</v>
      </c>
      <c r="M48" s="32"/>
    </row>
    <row r="49" spans="1:12">
      <c r="A49" s="281"/>
      <c r="B49" s="88"/>
      <c r="C49" s="88"/>
      <c r="D49" s="307"/>
      <c r="E49" s="307"/>
      <c r="F49" s="307"/>
      <c r="G49" s="307"/>
      <c r="H49" s="307"/>
      <c r="I49" s="307"/>
      <c r="J49" s="307"/>
      <c r="K49" s="307"/>
    </row>
    <row r="50" spans="1:12">
      <c r="A50" s="281"/>
      <c r="B50" s="88"/>
      <c r="C50" s="88"/>
      <c r="D50" s="307"/>
      <c r="E50" s="307"/>
      <c r="F50" s="307"/>
      <c r="G50" s="307" t="s">
        <v>351</v>
      </c>
      <c r="H50" s="307"/>
      <c r="I50" s="307"/>
      <c r="J50" s="307">
        <f>'6-True-Up Interest'!E26</f>
        <v>4.3647058823529416E-3</v>
      </c>
      <c r="K50" s="307"/>
    </row>
    <row r="51" spans="1:12">
      <c r="A51" s="281"/>
      <c r="B51" s="88"/>
      <c r="C51" s="88"/>
      <c r="D51" s="307"/>
      <c r="E51" s="307"/>
      <c r="F51" s="307"/>
      <c r="G51" s="307" t="s">
        <v>352</v>
      </c>
      <c r="H51" s="307"/>
      <c r="I51" s="307"/>
      <c r="J51" s="32">
        <f>+J48</f>
        <v>-2046646.0368824722</v>
      </c>
      <c r="K51" s="307"/>
    </row>
    <row r="52" spans="1:12">
      <c r="A52" s="281"/>
      <c r="B52" s="308" t="s">
        <v>182</v>
      </c>
      <c r="C52" s="88"/>
      <c r="D52" s="88"/>
      <c r="E52" s="88"/>
      <c r="F52" s="88"/>
      <c r="G52" s="88"/>
      <c r="H52" s="88"/>
      <c r="I52" s="88"/>
      <c r="J52" s="88"/>
      <c r="K52" s="88"/>
      <c r="L52" s="6"/>
    </row>
    <row r="53" spans="1:12">
      <c r="A53" s="281"/>
      <c r="B53" s="88" t="s">
        <v>1143</v>
      </c>
      <c r="C53" s="88"/>
      <c r="D53" s="88"/>
      <c r="E53" s="88"/>
      <c r="F53" s="88"/>
      <c r="G53" s="88"/>
      <c r="H53" s="88"/>
      <c r="I53" s="88"/>
      <c r="J53" s="88"/>
      <c r="K53" s="88"/>
      <c r="L53" s="6"/>
    </row>
    <row r="54" spans="1:12">
      <c r="A54" s="281"/>
      <c r="B54" s="88" t="s">
        <v>1279</v>
      </c>
      <c r="C54" s="88"/>
      <c r="D54" s="88"/>
      <c r="E54" s="88"/>
      <c r="F54" s="88"/>
      <c r="G54" s="88"/>
      <c r="H54" s="88"/>
      <c r="I54" s="88"/>
      <c r="J54" s="88"/>
      <c r="K54" s="88"/>
      <c r="L54" s="6"/>
    </row>
    <row r="55" spans="1:12">
      <c r="A55" s="281"/>
      <c r="B55" s="88" t="s">
        <v>1184</v>
      </c>
      <c r="C55" s="88"/>
      <c r="D55" s="88"/>
      <c r="E55" s="88"/>
      <c r="F55" s="88"/>
      <c r="G55" s="88"/>
      <c r="H55" s="88"/>
      <c r="I55" s="88"/>
      <c r="J55" s="88"/>
      <c r="K55" s="88"/>
      <c r="L55" s="6"/>
    </row>
    <row r="56" spans="1:12">
      <c r="A56" s="281"/>
      <c r="B56" s="148" t="s">
        <v>1185</v>
      </c>
      <c r="C56" s="88"/>
      <c r="D56" s="88"/>
      <c r="E56" s="88"/>
      <c r="F56" s="88"/>
      <c r="G56" s="88"/>
      <c r="H56" s="88"/>
      <c r="I56" s="88"/>
      <c r="J56" s="88"/>
      <c r="K56" s="88"/>
      <c r="L56" s="6"/>
    </row>
    <row r="57" spans="1:12">
      <c r="A57" s="281"/>
      <c r="B57" s="148"/>
      <c r="C57" s="88"/>
      <c r="D57" s="88"/>
      <c r="E57" s="88"/>
      <c r="F57" s="88"/>
      <c r="G57" s="88"/>
      <c r="H57" s="88"/>
      <c r="I57" s="88"/>
      <c r="J57" s="88"/>
      <c r="K57" s="88"/>
      <c r="L57" s="6"/>
    </row>
    <row r="58" spans="1:12">
      <c r="A58" s="281"/>
      <c r="B58" s="88" t="s">
        <v>409</v>
      </c>
      <c r="C58" s="88"/>
      <c r="D58" s="88"/>
      <c r="E58" s="88"/>
      <c r="F58" s="88"/>
      <c r="G58" s="88"/>
      <c r="H58" s="88"/>
      <c r="I58" s="88"/>
      <c r="J58" s="88"/>
      <c r="K58" s="88"/>
      <c r="L58" s="6"/>
    </row>
    <row r="59" spans="1:12">
      <c r="A59" s="281"/>
      <c r="B59" s="12" t="s">
        <v>415</v>
      </c>
      <c r="C59" s="88"/>
      <c r="D59" s="88"/>
      <c r="E59" s="88"/>
      <c r="F59" s="88"/>
      <c r="G59" s="88"/>
      <c r="H59" s="88"/>
      <c r="I59" s="88"/>
      <c r="J59" s="88"/>
      <c r="K59" s="88"/>
      <c r="L59" s="6"/>
    </row>
    <row r="60" spans="1:12">
      <c r="A60" s="281"/>
      <c r="B60" s="148"/>
      <c r="C60" s="148"/>
      <c r="D60" s="148"/>
      <c r="E60" s="148"/>
      <c r="F60" s="148"/>
      <c r="G60" s="148"/>
      <c r="H60" s="148"/>
      <c r="I60" s="148"/>
      <c r="J60" s="88"/>
      <c r="K60" s="88"/>
      <c r="L60" s="6"/>
    </row>
    <row r="61" spans="1:12">
      <c r="A61" s="281"/>
      <c r="B61" s="148"/>
      <c r="C61" s="88"/>
      <c r="D61" s="88"/>
      <c r="E61" s="88"/>
      <c r="F61" s="88"/>
      <c r="G61" s="88"/>
      <c r="H61" s="88"/>
      <c r="I61" s="88"/>
      <c r="J61" s="88"/>
      <c r="K61" s="88"/>
      <c r="L61" s="6"/>
    </row>
    <row r="62" spans="1:12">
      <c r="A62" s="281"/>
      <c r="B62" s="148"/>
      <c r="C62" s="88"/>
      <c r="D62" s="88"/>
      <c r="E62" s="88"/>
      <c r="F62" s="88"/>
      <c r="G62" s="88"/>
      <c r="H62" s="88"/>
      <c r="I62" s="88"/>
      <c r="J62" s="88"/>
      <c r="K62" s="88"/>
      <c r="L62" s="6"/>
    </row>
    <row r="63" spans="1:12">
      <c r="A63" s="281"/>
      <c r="B63" s="309"/>
      <c r="C63" s="309"/>
      <c r="D63" s="41"/>
      <c r="E63" s="41"/>
      <c r="F63" s="41"/>
      <c r="G63" s="41"/>
      <c r="H63" s="41"/>
      <c r="I63" s="309"/>
      <c r="J63" s="309"/>
      <c r="K63" s="148"/>
    </row>
    <row r="64" spans="1:12">
      <c r="A64" s="310" t="s">
        <v>974</v>
      </c>
      <c r="B64" s="148"/>
      <c r="C64" s="309"/>
      <c r="D64" s="41"/>
      <c r="E64" s="41"/>
      <c r="F64" s="41"/>
      <c r="G64" s="41"/>
      <c r="H64" s="41"/>
      <c r="I64" s="309"/>
      <c r="J64" s="309"/>
      <c r="K64" s="148"/>
    </row>
    <row r="65" spans="1:11">
      <c r="A65" s="281"/>
      <c r="B65" s="177" t="s">
        <v>198</v>
      </c>
      <c r="C65" s="311" t="s">
        <v>199</v>
      </c>
      <c r="D65" s="312" t="s">
        <v>200</v>
      </c>
      <c r="E65" s="312" t="s">
        <v>201</v>
      </c>
      <c r="F65" s="177"/>
      <c r="G65" s="148"/>
      <c r="H65" s="148"/>
      <c r="I65" s="148"/>
      <c r="J65" s="309"/>
      <c r="K65" s="148"/>
    </row>
    <row r="66" spans="1:11">
      <c r="A66" s="281"/>
      <c r="B66" s="313" t="str">
        <f>+A64</f>
        <v>Prior Period Adjustments</v>
      </c>
      <c r="C66" s="314" t="s">
        <v>11</v>
      </c>
      <c r="D66" s="314" t="s">
        <v>297</v>
      </c>
      <c r="E66" s="314" t="s">
        <v>13</v>
      </c>
      <c r="F66" s="148"/>
      <c r="G66" s="148"/>
      <c r="H66" s="148"/>
      <c r="I66" s="148"/>
      <c r="J66" s="309"/>
      <c r="K66" s="148"/>
    </row>
    <row r="67" spans="1:11">
      <c r="A67" s="281"/>
      <c r="B67" s="315" t="s">
        <v>390</v>
      </c>
      <c r="C67" s="316" t="s">
        <v>353</v>
      </c>
      <c r="D67" s="315" t="s">
        <v>390</v>
      </c>
      <c r="E67" s="316" t="s">
        <v>354</v>
      </c>
      <c r="F67" s="148"/>
      <c r="G67" s="148"/>
      <c r="H67" s="148"/>
      <c r="I67" s="148"/>
      <c r="J67" s="309"/>
      <c r="K67" s="148"/>
    </row>
    <row r="68" spans="1:11">
      <c r="A68" s="281" t="s">
        <v>132</v>
      </c>
      <c r="B68" s="900">
        <v>0</v>
      </c>
      <c r="C68" s="901">
        <v>0</v>
      </c>
      <c r="D68" s="901">
        <v>0</v>
      </c>
      <c r="E68" s="893">
        <v>0</v>
      </c>
      <c r="F68" s="148"/>
      <c r="G68" s="148"/>
      <c r="H68" s="148"/>
      <c r="I68" s="148"/>
      <c r="J68" s="309"/>
      <c r="K68" s="148"/>
    </row>
    <row r="69" spans="1:11">
      <c r="A69" s="281"/>
      <c r="B69" s="317"/>
      <c r="C69" s="226"/>
      <c r="D69" s="226"/>
      <c r="E69" s="227"/>
      <c r="F69" s="148"/>
      <c r="G69" s="148"/>
      <c r="H69" s="148"/>
      <c r="I69" s="148"/>
      <c r="J69" s="309"/>
      <c r="K69" s="148"/>
    </row>
    <row r="70" spans="1:11">
      <c r="A70" s="281"/>
      <c r="B70" s="148"/>
      <c r="C70" s="309"/>
      <c r="D70" s="309"/>
      <c r="E70" s="309"/>
      <c r="F70" s="309"/>
      <c r="G70" s="309"/>
      <c r="H70" s="39"/>
      <c r="I70" s="148"/>
      <c r="J70" s="309"/>
      <c r="K70" s="148"/>
    </row>
    <row r="71" spans="1:11" ht="66" customHeight="1" thickBot="1">
      <c r="A71" s="318" t="s">
        <v>182</v>
      </c>
      <c r="B71" s="148"/>
      <c r="C71" s="21"/>
      <c r="D71" s="319"/>
      <c r="E71" s="319"/>
      <c r="F71" s="319"/>
      <c r="G71" s="319"/>
      <c r="H71" s="319"/>
      <c r="I71" s="319"/>
      <c r="J71" s="309"/>
      <c r="K71" s="148"/>
    </row>
    <row r="72" spans="1:11" ht="49.9" customHeight="1">
      <c r="A72" s="231" t="s">
        <v>58</v>
      </c>
      <c r="B72" s="1045" t="s">
        <v>425</v>
      </c>
      <c r="C72" s="1045"/>
      <c r="D72" s="1045"/>
      <c r="E72" s="1045"/>
      <c r="F72" s="1045"/>
      <c r="G72" s="1045"/>
      <c r="H72" s="1045"/>
      <c r="I72" s="1045"/>
      <c r="J72" s="1045"/>
      <c r="K72" s="1045"/>
    </row>
    <row r="73" spans="1:11" ht="27" customHeight="1">
      <c r="A73" s="320" t="s">
        <v>59</v>
      </c>
      <c r="B73" s="1036" t="s">
        <v>1402</v>
      </c>
      <c r="C73" s="1036"/>
      <c r="D73" s="1036"/>
      <c r="E73" s="1036"/>
      <c r="F73" s="1036"/>
      <c r="G73" s="1036"/>
      <c r="H73" s="1036"/>
      <c r="I73" s="1036"/>
      <c r="J73" s="1036"/>
      <c r="K73" s="1036"/>
    </row>
    <row r="74" spans="1:11">
      <c r="A74" s="320" t="s">
        <v>60</v>
      </c>
      <c r="B74" s="1036" t="s">
        <v>1558</v>
      </c>
      <c r="C74" s="1036"/>
      <c r="D74" s="1036"/>
      <c r="E74" s="1036"/>
      <c r="F74" s="1036"/>
      <c r="G74" s="1036"/>
      <c r="H74" s="1036"/>
      <c r="I74" s="1036"/>
      <c r="J74" s="1036"/>
      <c r="K74" s="1036"/>
    </row>
    <row r="78" spans="1:11" ht="24" customHeight="1"/>
  </sheetData>
  <sheetProtection algorithmName="SHA-512" hashValue="hV3roc966VWlN6uUqnjTSx71QJO9xxaCxUITCdAjaYAD1bZ14Lc5gluAIo2GV9CdKRU4W4AA3frhwckc6eQTtg==" saltValue="6GGhJopFV/CHWS9meflD+Q=="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18"/>
  <sheetViews>
    <sheetView view="pageBreakPreview" topLeftCell="A67" zoomScale="70" zoomScaleNormal="85" zoomScaleSheetLayoutView="70" workbookViewId="0">
      <selection activeCell="J90" sqref="J90:K117"/>
    </sheetView>
  </sheetViews>
  <sheetFormatPr defaultColWidth="8.88671875" defaultRowHeight="12.75"/>
  <cols>
    <col min="1" max="1" width="4.88671875" style="323" customWidth="1"/>
    <col min="2" max="2" width="29" style="21" bestFit="1" customWidth="1"/>
    <col min="3" max="3" width="35.5546875" style="21" customWidth="1"/>
    <col min="4" max="4" width="19.21875" style="21" customWidth="1"/>
    <col min="5" max="5" width="20.33203125" style="21" customWidth="1"/>
    <col min="6" max="6" width="19.6640625" style="21" customWidth="1"/>
    <col min="7" max="7" width="21.109375" style="21" customWidth="1"/>
    <col min="8" max="9" width="21.44140625" style="21" customWidth="1"/>
    <col min="10" max="12" width="18.44140625" style="21" customWidth="1"/>
    <col min="13" max="14" width="11.77734375" style="21" customWidth="1"/>
    <col min="15" max="16384" width="8.88671875" style="21"/>
  </cols>
  <sheetData>
    <row r="1" spans="1:12">
      <c r="C1" s="324"/>
      <c r="D1" s="324"/>
      <c r="E1" s="324"/>
      <c r="G1" s="151" t="s">
        <v>191</v>
      </c>
      <c r="H1" s="324"/>
      <c r="I1" s="324"/>
      <c r="L1" s="325" t="s">
        <v>422</v>
      </c>
    </row>
    <row r="2" spans="1:12">
      <c r="A2" s="326"/>
      <c r="C2" s="324"/>
      <c r="D2" s="324"/>
      <c r="E2" s="324"/>
      <c r="F2" s="324"/>
      <c r="G2" s="327" t="s">
        <v>260</v>
      </c>
      <c r="H2" s="324"/>
      <c r="I2" s="324"/>
      <c r="J2" s="324"/>
      <c r="L2" s="328"/>
    </row>
    <row r="3" spans="1:12">
      <c r="A3" s="326"/>
      <c r="C3" s="324"/>
      <c r="D3" s="324"/>
      <c r="E3" s="324"/>
      <c r="F3" s="324"/>
      <c r="G3" s="24" t="str">
        <f>+'Attachment H-7'!D5</f>
        <v>PECO Energy Company</v>
      </c>
      <c r="H3" s="324"/>
      <c r="I3" s="324"/>
      <c r="J3" s="324"/>
    </row>
    <row r="4" spans="1:12">
      <c r="A4" s="326"/>
      <c r="C4" s="324"/>
      <c r="D4" s="324"/>
      <c r="E4" s="324"/>
      <c r="F4" s="324"/>
      <c r="G4" s="324"/>
      <c r="H4" s="324"/>
      <c r="I4" s="324"/>
      <c r="J4" s="324"/>
    </row>
    <row r="5" spans="1:12">
      <c r="A5" s="326"/>
      <c r="B5" s="329"/>
      <c r="C5" s="329"/>
      <c r="D5" s="329"/>
      <c r="E5" s="329"/>
      <c r="F5" s="329"/>
      <c r="G5" s="329"/>
      <c r="H5" s="329"/>
      <c r="I5" s="329"/>
      <c r="J5" s="329"/>
    </row>
    <row r="6" spans="1:12">
      <c r="A6" s="326"/>
      <c r="B6" s="329"/>
      <c r="C6" s="1050" t="s">
        <v>209</v>
      </c>
      <c r="D6" s="1051"/>
      <c r="E6" s="1052"/>
      <c r="F6" s="330" t="s">
        <v>211</v>
      </c>
      <c r="G6" s="330" t="s">
        <v>212</v>
      </c>
      <c r="H6" s="330" t="s">
        <v>210</v>
      </c>
      <c r="I6" s="330"/>
      <c r="J6" s="1047" t="s">
        <v>208</v>
      </c>
      <c r="K6" s="1048"/>
      <c r="L6" s="1049"/>
    </row>
    <row r="7" spans="1:12" s="334" customFormat="1" ht="25.5">
      <c r="A7" s="331" t="s">
        <v>197</v>
      </c>
      <c r="B7" s="332" t="s">
        <v>167</v>
      </c>
      <c r="C7" s="332" t="s">
        <v>17</v>
      </c>
      <c r="D7" s="332" t="s">
        <v>660</v>
      </c>
      <c r="E7" s="333" t="s">
        <v>702</v>
      </c>
      <c r="F7" s="332" t="s">
        <v>391</v>
      </c>
      <c r="G7" s="332" t="s">
        <v>168</v>
      </c>
      <c r="H7" s="332" t="s">
        <v>169</v>
      </c>
      <c r="I7" s="332" t="s">
        <v>170</v>
      </c>
      <c r="J7" s="332" t="s">
        <v>17</v>
      </c>
      <c r="K7" s="332" t="s">
        <v>660</v>
      </c>
      <c r="L7" s="333" t="s">
        <v>702</v>
      </c>
    </row>
    <row r="8" spans="1:12" s="126" customFormat="1">
      <c r="A8" s="326"/>
      <c r="B8" s="330" t="s">
        <v>198</v>
      </c>
      <c r="C8" s="330" t="s">
        <v>199</v>
      </c>
      <c r="D8" s="330" t="s">
        <v>200</v>
      </c>
      <c r="E8" s="332" t="s">
        <v>1146</v>
      </c>
      <c r="F8" s="332" t="s">
        <v>203</v>
      </c>
      <c r="G8" s="332" t="s">
        <v>202</v>
      </c>
      <c r="H8" s="332" t="s">
        <v>204</v>
      </c>
      <c r="I8" s="335" t="s">
        <v>1145</v>
      </c>
      <c r="J8" s="335" t="s">
        <v>1147</v>
      </c>
      <c r="K8" s="335" t="s">
        <v>1148</v>
      </c>
      <c r="L8" s="335" t="s">
        <v>1149</v>
      </c>
    </row>
    <row r="9" spans="1:12" s="126" customFormat="1">
      <c r="A9" s="326"/>
      <c r="B9" s="336" t="s">
        <v>393</v>
      </c>
      <c r="C9" s="327">
        <v>2</v>
      </c>
      <c r="D9" s="327">
        <v>4</v>
      </c>
      <c r="E9" s="337">
        <v>5</v>
      </c>
      <c r="F9" s="338">
        <v>27</v>
      </c>
      <c r="G9" s="338">
        <v>31</v>
      </c>
      <c r="H9" s="338">
        <v>34</v>
      </c>
      <c r="I9" s="338">
        <v>35</v>
      </c>
      <c r="J9" s="339">
        <v>9</v>
      </c>
      <c r="K9" s="339">
        <v>11</v>
      </c>
      <c r="L9" s="337">
        <v>12</v>
      </c>
    </row>
    <row r="10" spans="1:12" s="126" customFormat="1" ht="77.25" customHeight="1">
      <c r="A10" s="326"/>
      <c r="B10" s="330"/>
      <c r="C10" s="340" t="s">
        <v>667</v>
      </c>
      <c r="D10" s="341" t="s">
        <v>666</v>
      </c>
      <c r="E10" s="342" t="s">
        <v>1119</v>
      </c>
      <c r="F10" s="342" t="s">
        <v>103</v>
      </c>
      <c r="G10" s="341" t="s">
        <v>1652</v>
      </c>
      <c r="H10" s="341" t="s">
        <v>1565</v>
      </c>
      <c r="I10" s="341" t="s">
        <v>302</v>
      </c>
      <c r="J10" s="341" t="s">
        <v>449</v>
      </c>
      <c r="K10" s="341" t="s">
        <v>659</v>
      </c>
      <c r="L10" s="342" t="s">
        <v>1119</v>
      </c>
    </row>
    <row r="11" spans="1:12">
      <c r="A11" s="326">
        <v>1</v>
      </c>
      <c r="B11" s="343" t="s">
        <v>195</v>
      </c>
      <c r="C11" s="918">
        <v>1694670228.3199997</v>
      </c>
      <c r="D11" s="918">
        <v>283844047.89000005</v>
      </c>
      <c r="E11" s="918">
        <v>681307080.68196797</v>
      </c>
      <c r="F11" s="918">
        <v>0</v>
      </c>
      <c r="G11" s="918">
        <v>244519.27000000002</v>
      </c>
      <c r="H11" s="918">
        <v>9885239.8551747575</v>
      </c>
      <c r="I11" s="918">
        <v>1484479.2265494026</v>
      </c>
      <c r="J11" s="918">
        <v>521171514.73999995</v>
      </c>
      <c r="K11" s="918">
        <v>84322356.420000017</v>
      </c>
      <c r="L11" s="918">
        <v>301612460.62303203</v>
      </c>
    </row>
    <row r="12" spans="1:12">
      <c r="A12" s="326">
        <v>2</v>
      </c>
      <c r="B12" s="343" t="s">
        <v>84</v>
      </c>
      <c r="C12" s="918">
        <v>1700330179.9856236</v>
      </c>
      <c r="D12" s="918">
        <v>284174590.03000003</v>
      </c>
      <c r="E12" s="918">
        <v>693139410.67149997</v>
      </c>
      <c r="F12" s="918">
        <v>0</v>
      </c>
      <c r="G12" s="880">
        <v>244519.27</v>
      </c>
      <c r="H12" s="918">
        <v>9714961.4211877212</v>
      </c>
      <c r="I12" s="880">
        <v>1317061.1338664084</v>
      </c>
      <c r="J12" s="918">
        <v>523476302.80112225</v>
      </c>
      <c r="K12" s="918">
        <v>85713317.242030919</v>
      </c>
      <c r="L12" s="918">
        <v>304796796.57044077</v>
      </c>
    </row>
    <row r="13" spans="1:12">
      <c r="A13" s="326">
        <v>3</v>
      </c>
      <c r="B13" s="324" t="s">
        <v>83</v>
      </c>
      <c r="C13" s="918">
        <v>1703001389.8491645</v>
      </c>
      <c r="D13" s="918">
        <v>284552364.59000003</v>
      </c>
      <c r="E13" s="918">
        <v>697339740.16844797</v>
      </c>
      <c r="F13" s="918">
        <v>0</v>
      </c>
      <c r="G13" s="880">
        <v>244519.27000000002</v>
      </c>
      <c r="H13" s="918">
        <v>9727194.1069677472</v>
      </c>
      <c r="I13" s="880">
        <v>1002601.0976729067</v>
      </c>
      <c r="J13" s="918">
        <v>525789983.26248753</v>
      </c>
      <c r="K13" s="918">
        <v>87086779.940500334</v>
      </c>
      <c r="L13" s="918">
        <v>308059662.68598706</v>
      </c>
    </row>
    <row r="14" spans="1:12">
      <c r="A14" s="326">
        <v>4</v>
      </c>
      <c r="B14" s="324" t="s">
        <v>171</v>
      </c>
      <c r="C14" s="918">
        <v>1706917856.9961262</v>
      </c>
      <c r="D14" s="918">
        <v>284999401.47000003</v>
      </c>
      <c r="E14" s="918">
        <v>707304207.59970391</v>
      </c>
      <c r="F14" s="918">
        <v>0</v>
      </c>
      <c r="G14" s="880">
        <v>253019.2699999999</v>
      </c>
      <c r="H14" s="918">
        <v>9618713.129190078</v>
      </c>
      <c r="I14" s="880">
        <v>2599275.3021326112</v>
      </c>
      <c r="J14" s="918">
        <v>528105666.44168162</v>
      </c>
      <c r="K14" s="918">
        <v>88443588.259149209</v>
      </c>
      <c r="L14" s="918">
        <v>311343671.2316944</v>
      </c>
    </row>
    <row r="15" spans="1:12">
      <c r="A15" s="326">
        <v>5</v>
      </c>
      <c r="B15" s="324" t="s">
        <v>74</v>
      </c>
      <c r="C15" s="918">
        <v>1711729114.4985113</v>
      </c>
      <c r="D15" s="918">
        <v>285454288.79000002</v>
      </c>
      <c r="E15" s="918">
        <v>712439103.04158795</v>
      </c>
      <c r="F15" s="918">
        <v>0</v>
      </c>
      <c r="G15" s="880">
        <v>875689.92700000003</v>
      </c>
      <c r="H15" s="918">
        <v>9691537.8215295412</v>
      </c>
      <c r="I15" s="880">
        <v>1983986.339323564</v>
      </c>
      <c r="J15" s="918">
        <v>530425602.53506327</v>
      </c>
      <c r="K15" s="918">
        <v>89784447.441327721</v>
      </c>
      <c r="L15" s="918">
        <v>314643435.2259146</v>
      </c>
    </row>
    <row r="16" spans="1:12">
      <c r="A16" s="326">
        <v>6</v>
      </c>
      <c r="B16" s="324" t="s">
        <v>73</v>
      </c>
      <c r="C16" s="918">
        <v>1715119979.6670816</v>
      </c>
      <c r="D16" s="918">
        <v>285894159.35000002</v>
      </c>
      <c r="E16" s="918">
        <v>717311223.41314805</v>
      </c>
      <c r="F16" s="918">
        <v>0</v>
      </c>
      <c r="G16" s="880">
        <v>4376463.051</v>
      </c>
      <c r="H16" s="918">
        <v>9890740.6606808621</v>
      </c>
      <c r="I16" s="880">
        <v>1518989.2374021458</v>
      </c>
      <c r="J16" s="918">
        <v>532749239.54703569</v>
      </c>
      <c r="K16" s="918">
        <v>91109774.316735283</v>
      </c>
      <c r="L16" s="918">
        <v>317909594.49938691</v>
      </c>
    </row>
    <row r="17" spans="1:12">
      <c r="A17" s="326">
        <v>7</v>
      </c>
      <c r="B17" s="324" t="s">
        <v>93</v>
      </c>
      <c r="C17" s="918">
        <v>1720095982.9980345</v>
      </c>
      <c r="D17" s="918">
        <v>286352270.51000005</v>
      </c>
      <c r="E17" s="918">
        <v>722444132.40729606</v>
      </c>
      <c r="F17" s="918">
        <v>0</v>
      </c>
      <c r="G17" s="880">
        <v>7519830.3399999999</v>
      </c>
      <c r="H17" s="918">
        <v>10174824.795840582</v>
      </c>
      <c r="I17" s="880">
        <v>1785545.6428876633</v>
      </c>
      <c r="J17" s="918">
        <v>535076730.52721053</v>
      </c>
      <c r="K17" s="918">
        <v>92420003.915550351</v>
      </c>
      <c r="L17" s="918">
        <v>321146881.70514339</v>
      </c>
    </row>
    <row r="18" spans="1:12">
      <c r="A18" s="326">
        <v>8</v>
      </c>
      <c r="B18" s="324" t="s">
        <v>81</v>
      </c>
      <c r="C18" s="918">
        <v>1724868798.5615909</v>
      </c>
      <c r="D18" s="918">
        <v>286799508.06000006</v>
      </c>
      <c r="E18" s="918">
        <v>727403894.12589598</v>
      </c>
      <c r="F18" s="918">
        <v>0</v>
      </c>
      <c r="G18" s="880">
        <v>7533308.6500000004</v>
      </c>
      <c r="H18" s="918">
        <v>10287886.179575404</v>
      </c>
      <c r="I18" s="880">
        <v>1276264.7692013583</v>
      </c>
      <c r="J18" s="918">
        <v>537409502.01611173</v>
      </c>
      <c r="K18" s="918">
        <v>93715561.328785777</v>
      </c>
      <c r="L18" s="918">
        <v>324399337.38044763</v>
      </c>
    </row>
    <row r="19" spans="1:12">
      <c r="A19" s="326">
        <v>9</v>
      </c>
      <c r="B19" s="324" t="s">
        <v>172</v>
      </c>
      <c r="C19" s="918">
        <v>1728766411.4963632</v>
      </c>
      <c r="D19" s="918">
        <v>287199066.83000004</v>
      </c>
      <c r="E19" s="918">
        <v>731862643.77480805</v>
      </c>
      <c r="F19" s="918">
        <v>0</v>
      </c>
      <c r="G19" s="880">
        <v>7555758.8200000003</v>
      </c>
      <c r="H19" s="918">
        <v>10196294.186683077</v>
      </c>
      <c r="I19" s="880">
        <v>1511606.576030324</v>
      </c>
      <c r="J19" s="918">
        <v>539746381.95373905</v>
      </c>
      <c r="K19" s="918">
        <v>94996628.858629405</v>
      </c>
      <c r="L19" s="918">
        <v>327668989.89261723</v>
      </c>
    </row>
    <row r="20" spans="1:12">
      <c r="A20" s="326">
        <v>10</v>
      </c>
      <c r="B20" s="324" t="s">
        <v>79</v>
      </c>
      <c r="C20" s="918">
        <v>1733850282.433089</v>
      </c>
      <c r="D20" s="918">
        <v>287612119.75000006</v>
      </c>
      <c r="E20" s="918">
        <v>736624542.22957599</v>
      </c>
      <c r="F20" s="918">
        <v>0</v>
      </c>
      <c r="G20" s="880">
        <v>7556902.9800000004</v>
      </c>
      <c r="H20" s="918">
        <v>10763579.597017746</v>
      </c>
      <c r="I20" s="880">
        <v>1626103.5199789712</v>
      </c>
      <c r="J20" s="918">
        <v>542087686.68405628</v>
      </c>
      <c r="K20" s="918">
        <v>96263455.767050147</v>
      </c>
      <c r="L20" s="918">
        <v>330955185.16058689</v>
      </c>
    </row>
    <row r="21" spans="1:12">
      <c r="A21" s="326">
        <v>11</v>
      </c>
      <c r="B21" s="324" t="s">
        <v>85</v>
      </c>
      <c r="C21" s="918">
        <v>1739233116.3988383</v>
      </c>
      <c r="D21" s="918">
        <v>288019091.26000005</v>
      </c>
      <c r="E21" s="918">
        <v>744735109.74236405</v>
      </c>
      <c r="F21" s="918">
        <v>0</v>
      </c>
      <c r="G21" s="880">
        <v>7912555.120000001</v>
      </c>
      <c r="H21" s="918">
        <v>10665700.721769322</v>
      </c>
      <c r="I21" s="880">
        <v>2594869.9771281602</v>
      </c>
      <c r="J21" s="918">
        <v>544434963.68461871</v>
      </c>
      <c r="K21" s="918">
        <v>97516418.505075097</v>
      </c>
      <c r="L21" s="918">
        <v>334274737.35239261</v>
      </c>
    </row>
    <row r="22" spans="1:12">
      <c r="A22" s="326">
        <v>12</v>
      </c>
      <c r="B22" s="324" t="s">
        <v>78</v>
      </c>
      <c r="C22" s="918">
        <v>1748731034.4357243</v>
      </c>
      <c r="D22" s="918">
        <v>288382327.28000003</v>
      </c>
      <c r="E22" s="918">
        <v>749153791.95742798</v>
      </c>
      <c r="F22" s="918">
        <v>0</v>
      </c>
      <c r="G22" s="880">
        <v>8909221.7599999998</v>
      </c>
      <c r="H22" s="918">
        <v>10032544.268456001</v>
      </c>
      <c r="I22" s="880">
        <v>1841107.1326724009</v>
      </c>
      <c r="J22" s="918">
        <v>546792823.00397933</v>
      </c>
      <c r="K22" s="918">
        <v>98755690.141976163</v>
      </c>
      <c r="L22" s="918">
        <v>337585038.9919275</v>
      </c>
    </row>
    <row r="23" spans="1:12">
      <c r="A23" s="326">
        <v>13</v>
      </c>
      <c r="B23" s="324" t="s">
        <v>196</v>
      </c>
      <c r="C23" s="918">
        <v>1773553735.3668497</v>
      </c>
      <c r="D23" s="918">
        <v>288770626.87</v>
      </c>
      <c r="E23" s="918">
        <v>784730979.51280069</v>
      </c>
      <c r="F23" s="918">
        <v>0</v>
      </c>
      <c r="G23" s="918">
        <v>8944463.7600000016</v>
      </c>
      <c r="H23" s="918">
        <v>11025144.834843833</v>
      </c>
      <c r="I23" s="918">
        <v>1171935.4774477254</v>
      </c>
      <c r="J23" s="918">
        <v>549181631.56275344</v>
      </c>
      <c r="K23" s="918">
        <v>99981530.574654758</v>
      </c>
      <c r="L23" s="918">
        <v>341065612.54771847</v>
      </c>
    </row>
    <row r="24" spans="1:12" ht="13.5" thickBot="1">
      <c r="A24" s="326">
        <v>14</v>
      </c>
      <c r="B24" s="325" t="s">
        <v>261</v>
      </c>
      <c r="C24" s="344">
        <f t="shared" ref="C24:E24" si="0">SUM(C11:C23)/13</f>
        <v>1723143700.8466916</v>
      </c>
      <c r="D24" s="344">
        <f t="shared" si="0"/>
        <v>286311835.59076923</v>
      </c>
      <c r="E24" s="344">
        <f t="shared" si="0"/>
        <v>723522758.40973258</v>
      </c>
      <c r="F24" s="344">
        <f t="shared" ref="F24:L24" si="1">SUM(F11:F23)/13</f>
        <v>0</v>
      </c>
      <c r="G24" s="344">
        <f t="shared" si="1"/>
        <v>4782367.0375384623</v>
      </c>
      <c r="H24" s="344">
        <f t="shared" si="1"/>
        <v>10128797.044532049</v>
      </c>
      <c r="I24" s="344">
        <f t="shared" si="1"/>
        <v>1670294.2640225876</v>
      </c>
      <c r="J24" s="344">
        <f t="shared" si="1"/>
        <v>535111386.82768154</v>
      </c>
      <c r="K24" s="344">
        <f t="shared" si="1"/>
        <v>92316119.439343467</v>
      </c>
      <c r="L24" s="344">
        <f t="shared" si="1"/>
        <v>321189338.7590223</v>
      </c>
    </row>
    <row r="25" spans="1:12" ht="13.5" thickTop="1">
      <c r="A25" s="326"/>
      <c r="B25" s="324"/>
      <c r="C25" s="345"/>
      <c r="D25" s="346"/>
      <c r="E25" s="346"/>
      <c r="F25" s="346"/>
      <c r="G25" s="345"/>
      <c r="H25" s="345"/>
      <c r="I25" s="345"/>
    </row>
    <row r="26" spans="1:12">
      <c r="A26" s="326"/>
      <c r="B26" s="347"/>
      <c r="C26" s="1053" t="s">
        <v>213</v>
      </c>
      <c r="D26" s="1053"/>
      <c r="E26" s="1053"/>
      <c r="F26" s="1053"/>
      <c r="G26" s="1053"/>
      <c r="H26" s="1053"/>
      <c r="I26" s="1053"/>
    </row>
    <row r="27" spans="1:12" ht="72" customHeight="1">
      <c r="A27" s="326" t="s">
        <v>197</v>
      </c>
      <c r="B27" s="330" t="s">
        <v>167</v>
      </c>
      <c r="C27" s="335" t="s">
        <v>173</v>
      </c>
      <c r="D27" s="335" t="s">
        <v>174</v>
      </c>
      <c r="E27" s="335" t="s">
        <v>339</v>
      </c>
      <c r="F27" s="335" t="s">
        <v>340</v>
      </c>
      <c r="G27" s="335" t="s">
        <v>341</v>
      </c>
      <c r="H27" s="335" t="s">
        <v>392</v>
      </c>
      <c r="I27" s="335" t="s">
        <v>263</v>
      </c>
      <c r="J27" s="1013" t="s">
        <v>654</v>
      </c>
    </row>
    <row r="28" spans="1:12" s="126" customFormat="1">
      <c r="A28" s="326"/>
      <c r="B28" s="330" t="s">
        <v>198</v>
      </c>
      <c r="C28" s="335" t="s">
        <v>199</v>
      </c>
      <c r="D28" s="335" t="s">
        <v>200</v>
      </c>
      <c r="E28" s="335" t="s">
        <v>201</v>
      </c>
      <c r="F28" s="335" t="s">
        <v>203</v>
      </c>
      <c r="G28" s="335" t="s">
        <v>202</v>
      </c>
      <c r="H28" s="335" t="s">
        <v>204</v>
      </c>
      <c r="I28" s="335" t="s">
        <v>205</v>
      </c>
      <c r="J28" s="1013" t="s">
        <v>206</v>
      </c>
    </row>
    <row r="29" spans="1:12" s="126" customFormat="1">
      <c r="A29" s="326"/>
      <c r="B29" s="336" t="s">
        <v>393</v>
      </c>
      <c r="C29" s="348">
        <v>28</v>
      </c>
      <c r="D29" s="348">
        <v>29</v>
      </c>
      <c r="E29" s="348">
        <v>22</v>
      </c>
      <c r="F29" s="348">
        <v>23</v>
      </c>
      <c r="G29" s="348">
        <v>24</v>
      </c>
      <c r="H29" s="348">
        <v>25</v>
      </c>
      <c r="I29" s="348">
        <v>26</v>
      </c>
      <c r="J29" s="282" t="s">
        <v>653</v>
      </c>
    </row>
    <row r="30" spans="1:12" s="126" customFormat="1" ht="51" customHeight="1">
      <c r="A30" s="326"/>
      <c r="B30" s="330"/>
      <c r="C30" s="332" t="s">
        <v>337</v>
      </c>
      <c r="D30" s="335" t="s">
        <v>338</v>
      </c>
      <c r="E30" s="335" t="s">
        <v>705</v>
      </c>
      <c r="F30" s="335" t="s">
        <v>706</v>
      </c>
      <c r="G30" s="335" t="s">
        <v>707</v>
      </c>
      <c r="H30" s="335" t="s">
        <v>708</v>
      </c>
      <c r="I30" s="335" t="s">
        <v>795</v>
      </c>
      <c r="J30" s="333" t="s">
        <v>1333</v>
      </c>
    </row>
    <row r="31" spans="1:12">
      <c r="A31" s="326">
        <v>15</v>
      </c>
      <c r="B31" s="343" t="s">
        <v>195</v>
      </c>
      <c r="C31" s="918">
        <v>0</v>
      </c>
      <c r="D31" s="918">
        <v>0</v>
      </c>
      <c r="E31" s="349"/>
      <c r="F31" s="349"/>
      <c r="G31" s="349"/>
      <c r="H31" s="349"/>
      <c r="I31" s="918">
        <v>0</v>
      </c>
      <c r="J31" s="918">
        <v>26305594.65084628</v>
      </c>
    </row>
    <row r="32" spans="1:12">
      <c r="A32" s="326">
        <v>16</v>
      </c>
      <c r="B32" s="343" t="s">
        <v>84</v>
      </c>
      <c r="C32" s="918">
        <v>0</v>
      </c>
      <c r="D32" s="918">
        <v>0</v>
      </c>
      <c r="E32" s="349"/>
      <c r="F32" s="349"/>
      <c r="G32" s="349"/>
      <c r="H32" s="349"/>
      <c r="I32" s="918">
        <v>0</v>
      </c>
      <c r="J32" s="918">
        <v>28171954.41185379</v>
      </c>
    </row>
    <row r="33" spans="1:15">
      <c r="A33" s="326">
        <v>17</v>
      </c>
      <c r="B33" s="324" t="s">
        <v>83</v>
      </c>
      <c r="C33" s="918">
        <v>0</v>
      </c>
      <c r="D33" s="918">
        <v>0</v>
      </c>
      <c r="E33" s="349"/>
      <c r="F33" s="349"/>
      <c r="G33" s="349"/>
      <c r="H33" s="349"/>
      <c r="I33" s="918">
        <v>0</v>
      </c>
      <c r="J33" s="918">
        <v>28143643.00532287</v>
      </c>
    </row>
    <row r="34" spans="1:15">
      <c r="A34" s="326">
        <v>18</v>
      </c>
      <c r="B34" s="324" t="s">
        <v>171</v>
      </c>
      <c r="C34" s="918">
        <v>0</v>
      </c>
      <c r="D34" s="918">
        <v>0</v>
      </c>
      <c r="E34" s="349"/>
      <c r="F34" s="349"/>
      <c r="G34" s="349"/>
      <c r="H34" s="349"/>
      <c r="I34" s="918">
        <v>0</v>
      </c>
      <c r="J34" s="918">
        <v>28080733.257917397</v>
      </c>
    </row>
    <row r="35" spans="1:15">
      <c r="A35" s="326">
        <v>19</v>
      </c>
      <c r="B35" s="324" t="s">
        <v>74</v>
      </c>
      <c r="C35" s="918">
        <v>0</v>
      </c>
      <c r="D35" s="918">
        <v>0</v>
      </c>
      <c r="E35" s="349"/>
      <c r="F35" s="349"/>
      <c r="G35" s="349"/>
      <c r="H35" s="349"/>
      <c r="I35" s="918">
        <v>0</v>
      </c>
      <c r="J35" s="918">
        <v>28031892.826613057</v>
      </c>
    </row>
    <row r="36" spans="1:15">
      <c r="A36" s="326">
        <v>20</v>
      </c>
      <c r="B36" s="324" t="s">
        <v>73</v>
      </c>
      <c r="C36" s="918">
        <v>0</v>
      </c>
      <c r="D36" s="918">
        <v>0</v>
      </c>
      <c r="E36" s="349"/>
      <c r="F36" s="349"/>
      <c r="G36" s="349"/>
      <c r="H36" s="349"/>
      <c r="I36" s="918">
        <v>0</v>
      </c>
      <c r="J36" s="918">
        <v>27983969.044575453</v>
      </c>
    </row>
    <row r="37" spans="1:15">
      <c r="A37" s="326">
        <v>21</v>
      </c>
      <c r="B37" s="324" t="s">
        <v>93</v>
      </c>
      <c r="C37" s="918">
        <v>0</v>
      </c>
      <c r="D37" s="918">
        <v>0</v>
      </c>
      <c r="E37" s="349"/>
      <c r="F37" s="349"/>
      <c r="G37" s="349"/>
      <c r="H37" s="349"/>
      <c r="I37" s="918">
        <v>0</v>
      </c>
      <c r="J37" s="918">
        <v>27935128.613271113</v>
      </c>
    </row>
    <row r="38" spans="1:15">
      <c r="A38" s="326">
        <v>22</v>
      </c>
      <c r="B38" s="324" t="s">
        <v>81</v>
      </c>
      <c r="C38" s="918">
        <v>0</v>
      </c>
      <c r="D38" s="918">
        <v>0</v>
      </c>
      <c r="E38" s="349"/>
      <c r="F38" s="349"/>
      <c r="G38" s="349"/>
      <c r="H38" s="349"/>
      <c r="I38" s="918">
        <v>0</v>
      </c>
      <c r="J38" s="918">
        <v>27886288.181966778</v>
      </c>
    </row>
    <row r="39" spans="1:15">
      <c r="A39" s="326">
        <v>23</v>
      </c>
      <c r="B39" s="324" t="s">
        <v>172</v>
      </c>
      <c r="C39" s="918">
        <v>0</v>
      </c>
      <c r="D39" s="918">
        <v>0</v>
      </c>
      <c r="E39" s="349"/>
      <c r="F39" s="349"/>
      <c r="G39" s="349"/>
      <c r="H39" s="349"/>
      <c r="I39" s="918">
        <v>0</v>
      </c>
      <c r="J39" s="918">
        <v>27837448.855049156</v>
      </c>
    </row>
    <row r="40" spans="1:15">
      <c r="A40" s="326">
        <v>24</v>
      </c>
      <c r="B40" s="324" t="s">
        <v>79</v>
      </c>
      <c r="C40" s="918">
        <v>0</v>
      </c>
      <c r="D40" s="918">
        <v>0</v>
      </c>
      <c r="E40" s="349"/>
      <c r="F40" s="349"/>
      <c r="G40" s="349"/>
      <c r="H40" s="349"/>
      <c r="I40" s="918">
        <v>0</v>
      </c>
      <c r="J40" s="918">
        <v>27651853.385147657</v>
      </c>
    </row>
    <row r="41" spans="1:15">
      <c r="A41" s="326">
        <v>25</v>
      </c>
      <c r="B41" s="324" t="s">
        <v>85</v>
      </c>
      <c r="C41" s="918">
        <v>0</v>
      </c>
      <c r="D41" s="918">
        <v>0</v>
      </c>
      <c r="E41" s="349"/>
      <c r="F41" s="349"/>
      <c r="G41" s="349"/>
      <c r="H41" s="349"/>
      <c r="I41" s="918">
        <v>0</v>
      </c>
      <c r="J41" s="918">
        <v>27605311.032583959</v>
      </c>
    </row>
    <row r="42" spans="1:15">
      <c r="A42" s="326">
        <v>26</v>
      </c>
      <c r="B42" s="324" t="s">
        <v>78</v>
      </c>
      <c r="C42" s="918">
        <v>0</v>
      </c>
      <c r="D42" s="918">
        <v>0</v>
      </c>
      <c r="E42" s="349"/>
      <c r="F42" s="349"/>
      <c r="G42" s="349"/>
      <c r="H42" s="349"/>
      <c r="I42" s="918">
        <v>0</v>
      </c>
      <c r="J42" s="918">
        <v>27556340.687709428</v>
      </c>
    </row>
    <row r="43" spans="1:15">
      <c r="A43" s="326">
        <v>27</v>
      </c>
      <c r="B43" s="324" t="s">
        <v>196</v>
      </c>
      <c r="C43" s="918">
        <v>0</v>
      </c>
      <c r="D43" s="918">
        <v>0</v>
      </c>
      <c r="E43" s="349"/>
      <c r="F43" s="349"/>
      <c r="G43" s="349"/>
      <c r="H43" s="349"/>
      <c r="I43" s="918">
        <v>0</v>
      </c>
      <c r="J43" s="918">
        <v>27501525.352393467</v>
      </c>
    </row>
    <row r="44" spans="1:15" ht="13.5" thickBot="1">
      <c r="A44" s="326">
        <v>28</v>
      </c>
      <c r="B44" s="350" t="s">
        <v>262</v>
      </c>
      <c r="C44" s="344">
        <f t="shared" ref="C44:I44" si="2">SUM(C31:C43)/13</f>
        <v>0</v>
      </c>
      <c r="D44" s="351">
        <f t="shared" si="2"/>
        <v>0</v>
      </c>
      <c r="E44" s="351" t="str">
        <f>+'4A - ADIT Summary'!M90</f>
        <v>Zero</v>
      </c>
      <c r="F44" s="344">
        <f>'4A - ADIT Summary'!M30</f>
        <v>-211876798.40933394</v>
      </c>
      <c r="G44" s="344">
        <f>'4A - ADIT Summary'!M34</f>
        <v>-10877541.139514307</v>
      </c>
      <c r="H44" s="344">
        <f>'4A - ADIT Summary'!M57</f>
        <v>14605420.952301415</v>
      </c>
      <c r="I44" s="344">
        <f t="shared" si="2"/>
        <v>0</v>
      </c>
      <c r="J44" s="344">
        <f>SUM(J31:J43)/13</f>
        <v>27745514.100403879</v>
      </c>
    </row>
    <row r="45" spans="1:15" ht="13.5" thickTop="1">
      <c r="A45" s="326"/>
      <c r="B45" s="324" t="s">
        <v>704</v>
      </c>
      <c r="E45" s="1054"/>
      <c r="F45" s="1054"/>
      <c r="G45" s="1054"/>
      <c r="H45" s="1054"/>
      <c r="I45" s="346"/>
      <c r="J45" s="328"/>
    </row>
    <row r="46" spans="1:15">
      <c r="A46" s="326"/>
      <c r="J46" s="282"/>
    </row>
    <row r="47" spans="1:15">
      <c r="F47" s="151" t="s">
        <v>191</v>
      </c>
    </row>
    <row r="48" spans="1:15">
      <c r="A48" s="326"/>
      <c r="C48" s="352"/>
      <c r="D48" s="352"/>
      <c r="E48" s="352"/>
      <c r="F48" s="327" t="s">
        <v>260</v>
      </c>
      <c r="G48" s="352"/>
      <c r="L48" s="126"/>
      <c r="M48" s="126"/>
      <c r="N48" s="126"/>
      <c r="O48" s="126"/>
    </row>
    <row r="49" spans="1:16" ht="18" customHeight="1">
      <c r="A49" s="326"/>
      <c r="C49" s="352"/>
      <c r="D49" s="352"/>
      <c r="E49" s="352"/>
      <c r="F49" s="24" t="str">
        <f>'Attachment H-7'!$D$5</f>
        <v>PECO Energy Company</v>
      </c>
      <c r="G49" s="352"/>
      <c r="K49" s="126"/>
      <c r="L49" s="126"/>
      <c r="M49" s="126"/>
      <c r="N49" s="126"/>
      <c r="O49" s="126"/>
    </row>
    <row r="50" spans="1:16">
      <c r="A50" s="326"/>
      <c r="B50" s="282" t="s">
        <v>394</v>
      </c>
      <c r="C50" s="352"/>
      <c r="D50" s="352"/>
      <c r="E50" s="352"/>
      <c r="F50" s="24"/>
      <c r="G50" s="352"/>
      <c r="K50" s="126"/>
      <c r="L50" s="126"/>
      <c r="M50" s="126"/>
      <c r="N50" s="126"/>
      <c r="O50" s="126"/>
    </row>
    <row r="51" spans="1:16">
      <c r="A51" s="326"/>
      <c r="B51" s="282" t="s">
        <v>198</v>
      </c>
      <c r="C51" s="282" t="s">
        <v>199</v>
      </c>
      <c r="D51" s="282" t="s">
        <v>200</v>
      </c>
      <c r="E51" s="282" t="s">
        <v>201</v>
      </c>
      <c r="F51" s="282" t="s">
        <v>203</v>
      </c>
      <c r="G51" s="282" t="s">
        <v>202</v>
      </c>
      <c r="H51" s="282" t="s">
        <v>204</v>
      </c>
      <c r="I51" s="282" t="s">
        <v>205</v>
      </c>
      <c r="J51" s="328" t="s">
        <v>154</v>
      </c>
      <c r="L51" s="126"/>
      <c r="M51" s="126"/>
      <c r="N51" s="126"/>
      <c r="O51" s="126"/>
      <c r="P51" s="126"/>
    </row>
    <row r="52" spans="1:16" ht="63.75">
      <c r="A52" s="326">
        <v>29</v>
      </c>
      <c r="B52" s="353" t="s">
        <v>325</v>
      </c>
      <c r="C52" s="354"/>
      <c r="D52" s="355" t="s">
        <v>11</v>
      </c>
      <c r="E52" s="355" t="s">
        <v>1270</v>
      </c>
      <c r="F52" s="355" t="s">
        <v>326</v>
      </c>
      <c r="G52" s="355" t="s">
        <v>423</v>
      </c>
      <c r="H52" s="356" t="s">
        <v>327</v>
      </c>
      <c r="I52" s="356" t="s">
        <v>328</v>
      </c>
      <c r="J52" s="353"/>
      <c r="K52" s="353"/>
      <c r="L52" s="353"/>
      <c r="M52" s="357"/>
      <c r="N52" s="126"/>
      <c r="O52" s="126"/>
      <c r="P52" s="126"/>
    </row>
    <row r="53" spans="1:16">
      <c r="A53" s="326" t="s">
        <v>329</v>
      </c>
      <c r="B53" s="62"/>
      <c r="C53" s="906" t="s">
        <v>1238</v>
      </c>
      <c r="D53" s="907">
        <v>-1267913.0840380234</v>
      </c>
      <c r="E53" s="908">
        <v>1</v>
      </c>
      <c r="F53" s="909">
        <v>1</v>
      </c>
      <c r="G53" s="910">
        <v>1</v>
      </c>
      <c r="H53" s="358">
        <f>'Attachment H-7'!I197</f>
        <v>9.4490855863003556E-2</v>
      </c>
      <c r="I53" s="359">
        <f>+H53*E53*D53*F53*G53</f>
        <v>-119806.19247065319</v>
      </c>
      <c r="J53" s="353"/>
      <c r="K53" s="62"/>
      <c r="L53" s="62"/>
      <c r="M53" s="357"/>
      <c r="N53" s="126"/>
      <c r="O53" s="126"/>
      <c r="P53" s="126"/>
    </row>
    <row r="54" spans="1:16">
      <c r="A54" s="326" t="s">
        <v>330</v>
      </c>
      <c r="B54" s="62"/>
      <c r="C54" s="906" t="s">
        <v>1239</v>
      </c>
      <c r="D54" s="907">
        <v>-605746.89988323103</v>
      </c>
      <c r="E54" s="908">
        <v>1</v>
      </c>
      <c r="F54" s="909">
        <v>1</v>
      </c>
      <c r="G54" s="910">
        <v>1</v>
      </c>
      <c r="H54" s="358">
        <f>H53</f>
        <v>9.4490855863003556E-2</v>
      </c>
      <c r="I54" s="359">
        <f t="shared" ref="I54:I65" si="3">+H54*E54*D54*F54*G54</f>
        <v>-57237.543006327629</v>
      </c>
      <c r="J54" s="353"/>
      <c r="K54" s="62"/>
      <c r="L54" s="62"/>
      <c r="M54" s="357"/>
      <c r="N54" s="126"/>
      <c r="O54" s="126"/>
      <c r="P54" s="126"/>
    </row>
    <row r="55" spans="1:16">
      <c r="A55" s="326" t="s">
        <v>331</v>
      </c>
      <c r="B55" s="62"/>
      <c r="C55" s="906" t="s">
        <v>919</v>
      </c>
      <c r="D55" s="907">
        <v>-1144403.4726259164</v>
      </c>
      <c r="E55" s="908">
        <v>1</v>
      </c>
      <c r="F55" s="909">
        <v>1</v>
      </c>
      <c r="G55" s="910">
        <v>1</v>
      </c>
      <c r="H55" s="358">
        <f t="shared" ref="H55:H58" si="4">H54</f>
        <v>9.4490855863003556E-2</v>
      </c>
      <c r="I55" s="359">
        <f t="shared" si="3"/>
        <v>-108135.6635810162</v>
      </c>
      <c r="J55" s="353"/>
      <c r="K55" s="62"/>
      <c r="L55" s="62"/>
      <c r="M55" s="357"/>
      <c r="N55" s="126"/>
      <c r="O55" s="126"/>
      <c r="P55" s="126"/>
    </row>
    <row r="56" spans="1:16">
      <c r="A56" s="326" t="s">
        <v>332</v>
      </c>
      <c r="B56" s="62"/>
      <c r="C56" s="906" t="s">
        <v>920</v>
      </c>
      <c r="D56" s="907">
        <v>-9790517.2649732847</v>
      </c>
      <c r="E56" s="908">
        <v>1</v>
      </c>
      <c r="F56" s="909">
        <v>1</v>
      </c>
      <c r="G56" s="910">
        <v>1</v>
      </c>
      <c r="H56" s="358">
        <f t="shared" si="4"/>
        <v>9.4490855863003556E-2</v>
      </c>
      <c r="I56" s="359">
        <f t="shared" si="3"/>
        <v>-925114.35570883844</v>
      </c>
      <c r="J56" s="353"/>
      <c r="K56" s="62"/>
      <c r="L56" s="62"/>
      <c r="M56" s="357"/>
      <c r="N56" s="126"/>
      <c r="O56" s="126"/>
      <c r="P56" s="126"/>
    </row>
    <row r="57" spans="1:16">
      <c r="A57" s="326" t="s">
        <v>333</v>
      </c>
      <c r="B57" s="62"/>
      <c r="C57" s="906" t="s">
        <v>921</v>
      </c>
      <c r="D57" s="907">
        <v>-20865.525722165967</v>
      </c>
      <c r="E57" s="908">
        <v>1</v>
      </c>
      <c r="F57" s="909">
        <v>1</v>
      </c>
      <c r="G57" s="910">
        <v>1</v>
      </c>
      <c r="H57" s="358">
        <f t="shared" si="4"/>
        <v>9.4490855863003556E-2</v>
      </c>
      <c r="I57" s="359">
        <f t="shared" si="3"/>
        <v>-1971.6013835189776</v>
      </c>
      <c r="J57" s="353"/>
      <c r="K57" s="62"/>
      <c r="L57" s="62"/>
      <c r="M57" s="357"/>
      <c r="N57" s="126"/>
      <c r="O57" s="126"/>
      <c r="P57" s="126"/>
    </row>
    <row r="58" spans="1:16">
      <c r="A58" s="326" t="s">
        <v>334</v>
      </c>
      <c r="B58" s="62"/>
      <c r="C58" s="906" t="s">
        <v>796</v>
      </c>
      <c r="D58" s="907">
        <v>-20868831.425313223</v>
      </c>
      <c r="E58" s="908">
        <v>1</v>
      </c>
      <c r="F58" s="909">
        <v>1</v>
      </c>
      <c r="G58" s="910">
        <v>1</v>
      </c>
      <c r="H58" s="358">
        <f t="shared" si="4"/>
        <v>9.4490855863003556E-2</v>
      </c>
      <c r="I58" s="359">
        <f t="shared" si="3"/>
        <v>-1971913.7422385907</v>
      </c>
      <c r="J58" s="353"/>
      <c r="K58" s="62"/>
      <c r="L58" s="62"/>
      <c r="M58" s="357"/>
      <c r="N58" s="126"/>
      <c r="O58" s="126"/>
      <c r="P58" s="126"/>
    </row>
    <row r="59" spans="1:16">
      <c r="A59" s="326" t="s">
        <v>1181</v>
      </c>
      <c r="B59" s="62"/>
      <c r="C59" s="906" t="s">
        <v>922</v>
      </c>
      <c r="D59" s="907">
        <v>0</v>
      </c>
      <c r="E59" s="908">
        <v>1</v>
      </c>
      <c r="F59" s="909">
        <v>1</v>
      </c>
      <c r="G59" s="910">
        <v>1</v>
      </c>
      <c r="H59" s="358">
        <v>1</v>
      </c>
      <c r="I59" s="359">
        <f t="shared" si="3"/>
        <v>0</v>
      </c>
      <c r="J59" s="353"/>
      <c r="K59" s="62"/>
      <c r="L59" s="62"/>
      <c r="M59" s="357"/>
      <c r="N59" s="126"/>
      <c r="O59" s="126"/>
      <c r="P59" s="126"/>
    </row>
    <row r="60" spans="1:16">
      <c r="A60" s="326" t="s">
        <v>1182</v>
      </c>
      <c r="B60" s="62"/>
      <c r="C60" s="911" t="s">
        <v>1628</v>
      </c>
      <c r="D60" s="907">
        <v>-20099009.054899056</v>
      </c>
      <c r="E60" s="908">
        <v>1</v>
      </c>
      <c r="F60" s="909">
        <v>1</v>
      </c>
      <c r="G60" s="910">
        <v>1</v>
      </c>
      <c r="H60" s="358">
        <f>H58</f>
        <v>9.4490855863003556E-2</v>
      </c>
      <c r="I60" s="359">
        <f t="shared" si="3"/>
        <v>-1899172.56759567</v>
      </c>
      <c r="J60" s="353"/>
      <c r="K60" s="62"/>
      <c r="L60" s="62"/>
      <c r="M60" s="357"/>
      <c r="N60" s="126"/>
      <c r="O60" s="126"/>
      <c r="P60" s="126"/>
    </row>
    <row r="61" spans="1:16">
      <c r="A61" s="326" t="s">
        <v>1257</v>
      </c>
      <c r="B61" s="62"/>
      <c r="C61" s="911" t="s">
        <v>1629</v>
      </c>
      <c r="D61" s="907">
        <v>-1255216.9099539334</v>
      </c>
      <c r="E61" s="908">
        <v>1</v>
      </c>
      <c r="F61" s="909">
        <v>1</v>
      </c>
      <c r="G61" s="910">
        <v>1</v>
      </c>
      <c r="H61" s="358">
        <f>H60</f>
        <v>9.4490855863003556E-2</v>
      </c>
      <c r="I61" s="359">
        <f t="shared" si="3"/>
        <v>-118606.52011526184</v>
      </c>
      <c r="J61" s="353"/>
      <c r="K61" s="62"/>
      <c r="L61" s="62"/>
      <c r="M61" s="357"/>
      <c r="N61" s="126"/>
      <c r="O61" s="126"/>
      <c r="P61" s="126"/>
    </row>
    <row r="62" spans="1:16">
      <c r="A62" s="326" t="s">
        <v>1258</v>
      </c>
      <c r="B62" s="62"/>
      <c r="C62" s="911" t="s">
        <v>1630</v>
      </c>
      <c r="D62" s="907">
        <v>-1223348.4248534336</v>
      </c>
      <c r="E62" s="908">
        <v>1</v>
      </c>
      <c r="F62" s="909">
        <v>1</v>
      </c>
      <c r="G62" s="910">
        <v>1</v>
      </c>
      <c r="H62" s="358">
        <f>H61</f>
        <v>9.4490855863003556E-2</v>
      </c>
      <c r="I62" s="359">
        <f t="shared" si="3"/>
        <v>-115595.23968305823</v>
      </c>
      <c r="J62" s="353"/>
      <c r="K62" s="62"/>
      <c r="L62" s="62"/>
      <c r="M62" s="357"/>
      <c r="N62" s="126"/>
      <c r="O62" s="126"/>
      <c r="P62" s="126"/>
    </row>
    <row r="63" spans="1:16">
      <c r="A63" s="326" t="s">
        <v>1588</v>
      </c>
      <c r="B63" s="62"/>
      <c r="C63" s="911" t="s">
        <v>1631</v>
      </c>
      <c r="D63" s="907">
        <v>-277222.80528260273</v>
      </c>
      <c r="E63" s="908">
        <v>1</v>
      </c>
      <c r="F63" s="909">
        <v>1</v>
      </c>
      <c r="G63" s="910">
        <v>1</v>
      </c>
      <c r="H63" s="358">
        <f t="shared" ref="H63:H65" si="5">H62</f>
        <v>9.4490855863003556E-2</v>
      </c>
      <c r="I63" s="359">
        <f t="shared" si="3"/>
        <v>-26195.020135895917</v>
      </c>
      <c r="J63" s="353"/>
      <c r="K63" s="62"/>
      <c r="L63" s="62"/>
      <c r="M63" s="357"/>
      <c r="N63" s="126"/>
      <c r="O63" s="126"/>
      <c r="P63" s="126"/>
    </row>
    <row r="64" spans="1:16">
      <c r="A64" s="326" t="s">
        <v>1586</v>
      </c>
      <c r="B64" s="62"/>
      <c r="C64" s="911" t="s">
        <v>1632</v>
      </c>
      <c r="D64" s="907">
        <v>-4196387.5129533038</v>
      </c>
      <c r="E64" s="908">
        <v>1</v>
      </c>
      <c r="F64" s="909">
        <v>1</v>
      </c>
      <c r="G64" s="910">
        <v>1</v>
      </c>
      <c r="H64" s="358">
        <f t="shared" si="5"/>
        <v>9.4490855863003556E-2</v>
      </c>
      <c r="I64" s="359">
        <f t="shared" si="3"/>
        <v>-396520.24763177859</v>
      </c>
      <c r="J64" s="353"/>
      <c r="K64" s="62"/>
      <c r="L64" s="62"/>
      <c r="M64" s="357"/>
      <c r="N64" s="126"/>
      <c r="O64" s="126"/>
      <c r="P64" s="126"/>
    </row>
    <row r="65" spans="1:16">
      <c r="A65" s="326" t="s">
        <v>1587</v>
      </c>
      <c r="B65" s="62"/>
      <c r="C65" s="911" t="s">
        <v>1633</v>
      </c>
      <c r="D65" s="907">
        <v>-151547.50756459308</v>
      </c>
      <c r="E65" s="908">
        <v>1</v>
      </c>
      <c r="F65" s="909">
        <v>1</v>
      </c>
      <c r="G65" s="910">
        <v>1</v>
      </c>
      <c r="H65" s="358">
        <f t="shared" si="5"/>
        <v>9.4490855863003556E-2</v>
      </c>
      <c r="I65" s="359">
        <f t="shared" si="3"/>
        <v>-14319.853693683406</v>
      </c>
      <c r="J65" s="353"/>
      <c r="K65" s="62"/>
      <c r="L65" s="62"/>
      <c r="M65" s="357"/>
      <c r="N65" s="126"/>
      <c r="O65" s="126"/>
      <c r="P65" s="126"/>
    </row>
    <row r="66" spans="1:16" ht="3.6" customHeight="1">
      <c r="A66" s="326"/>
      <c r="B66" s="62"/>
      <c r="C66" s="911"/>
      <c r="D66" s="912"/>
      <c r="E66" s="908"/>
      <c r="F66" s="909"/>
      <c r="G66" s="910"/>
      <c r="H66" s="358"/>
      <c r="I66" s="359"/>
      <c r="J66" s="353"/>
      <c r="K66" s="62"/>
      <c r="L66" s="62"/>
      <c r="M66" s="357"/>
      <c r="N66" s="126"/>
      <c r="O66" s="126"/>
      <c r="P66" s="126"/>
    </row>
    <row r="67" spans="1:16" ht="3.6" customHeight="1">
      <c r="A67" s="326"/>
      <c r="B67" s="62"/>
      <c r="C67" s="911"/>
      <c r="D67" s="912"/>
      <c r="E67" s="908"/>
      <c r="F67" s="909"/>
      <c r="G67" s="910"/>
      <c r="H67" s="358"/>
      <c r="I67" s="359"/>
      <c r="J67" s="353"/>
      <c r="K67" s="62"/>
      <c r="L67" s="62"/>
      <c r="M67" s="357"/>
      <c r="N67" s="126"/>
      <c r="O67" s="126"/>
      <c r="P67" s="126"/>
    </row>
    <row r="68" spans="1:16" ht="3.6" customHeight="1">
      <c r="A68" s="326"/>
      <c r="B68" s="62"/>
      <c r="C68" s="911"/>
      <c r="D68" s="912"/>
      <c r="E68" s="908"/>
      <c r="F68" s="909"/>
      <c r="G68" s="910"/>
      <c r="H68" s="358"/>
      <c r="I68" s="359"/>
      <c r="J68" s="353"/>
      <c r="K68" s="62"/>
      <c r="L68" s="62"/>
      <c r="M68" s="357"/>
      <c r="N68" s="126"/>
      <c r="O68" s="126"/>
      <c r="P68" s="126"/>
    </row>
    <row r="69" spans="1:16" ht="3.6" customHeight="1">
      <c r="A69" s="326"/>
      <c r="B69" s="62"/>
      <c r="C69" s="906"/>
      <c r="D69" s="878"/>
      <c r="E69" s="907"/>
      <c r="F69" s="913"/>
      <c r="G69" s="913"/>
      <c r="H69" s="178"/>
      <c r="I69" s="359"/>
      <c r="J69" s="353"/>
      <c r="K69" s="62"/>
      <c r="L69" s="62"/>
      <c r="M69" s="357"/>
      <c r="N69" s="126"/>
      <c r="O69" s="126"/>
      <c r="P69" s="126"/>
    </row>
    <row r="70" spans="1:16">
      <c r="A70" s="326" t="s">
        <v>1131</v>
      </c>
      <c r="B70" s="62"/>
      <c r="C70" s="914" t="s">
        <v>296</v>
      </c>
      <c r="D70" s="915">
        <v>0</v>
      </c>
      <c r="E70" s="916">
        <v>0</v>
      </c>
      <c r="F70" s="917"/>
      <c r="G70" s="917"/>
      <c r="H70" s="360"/>
      <c r="I70" s="361">
        <f>+H70*E70*D70</f>
        <v>0</v>
      </c>
      <c r="J70" s="353"/>
      <c r="K70" s="62"/>
      <c r="L70" s="62"/>
      <c r="M70" s="357"/>
      <c r="N70" s="126"/>
      <c r="O70" s="126"/>
      <c r="P70" s="126"/>
    </row>
    <row r="71" spans="1:16">
      <c r="A71" s="326">
        <v>31</v>
      </c>
      <c r="B71" s="62"/>
      <c r="C71" s="353" t="s">
        <v>13</v>
      </c>
      <c r="D71" s="56">
        <f>SUM(D53:D70)</f>
        <v>-60901009.888062768</v>
      </c>
      <c r="E71" s="162"/>
      <c r="F71" s="126"/>
      <c r="G71" s="126"/>
      <c r="H71" s="162"/>
      <c r="I71" s="359">
        <f>SUM(I53:I70)</f>
        <v>-5754588.5472442936</v>
      </c>
      <c r="J71" s="353"/>
      <c r="K71" s="62"/>
      <c r="L71" s="62"/>
      <c r="M71" s="357"/>
      <c r="N71" s="126"/>
      <c r="O71" s="126"/>
      <c r="P71" s="126"/>
    </row>
    <row r="72" spans="1:16" ht="3.6" customHeight="1">
      <c r="A72" s="362"/>
      <c r="B72" s="363"/>
      <c r="C72" s="364"/>
      <c r="D72" s="364"/>
      <c r="E72" s="364"/>
      <c r="F72" s="364"/>
      <c r="G72" s="364"/>
      <c r="I72" s="62"/>
      <c r="J72" s="62"/>
      <c r="K72" s="62"/>
    </row>
    <row r="73" spans="1:16" ht="3.6" customHeight="1">
      <c r="A73" s="362"/>
      <c r="B73" s="363"/>
      <c r="C73" s="364"/>
      <c r="D73" s="364"/>
      <c r="E73" s="364"/>
      <c r="F73" s="364"/>
      <c r="G73" s="364"/>
      <c r="L73" s="126"/>
      <c r="M73" s="126"/>
      <c r="N73" s="126"/>
      <c r="O73" s="126"/>
      <c r="P73" s="126"/>
    </row>
    <row r="74" spans="1:16" ht="3.6" customHeight="1">
      <c r="A74" s="362"/>
      <c r="B74" s="363"/>
      <c r="C74" s="364"/>
      <c r="D74" s="364"/>
      <c r="E74" s="364"/>
      <c r="F74" s="364"/>
      <c r="G74" s="364"/>
      <c r="L74" s="126"/>
      <c r="M74" s="126"/>
      <c r="N74" s="126"/>
      <c r="O74" s="126"/>
      <c r="P74" s="126"/>
    </row>
    <row r="75" spans="1:16" ht="13.5" thickBot="1">
      <c r="A75" s="365" t="s">
        <v>182</v>
      </c>
    </row>
    <row r="76" spans="1:16" ht="12.75" customHeight="1">
      <c r="A76" s="326" t="s">
        <v>58</v>
      </c>
      <c r="B76" s="1032" t="s">
        <v>335</v>
      </c>
      <c r="C76" s="1032"/>
      <c r="D76" s="1032"/>
      <c r="E76" s="1032"/>
      <c r="F76" s="1032"/>
      <c r="G76" s="1032"/>
      <c r="H76" s="1032"/>
      <c r="I76" s="1032"/>
      <c r="J76" s="1032"/>
      <c r="K76" s="1032"/>
    </row>
    <row r="77" spans="1:16" ht="12.75" customHeight="1">
      <c r="A77" s="326" t="s">
        <v>59</v>
      </c>
      <c r="B77" s="1032" t="s">
        <v>395</v>
      </c>
      <c r="C77" s="1032"/>
      <c r="D77" s="1032"/>
      <c r="E77" s="1032"/>
      <c r="F77" s="1032"/>
      <c r="G77" s="1032"/>
      <c r="H77" s="1032"/>
      <c r="I77" s="1032"/>
      <c r="J77" s="1032"/>
      <c r="K77" s="1032"/>
      <c r="L77" s="328"/>
    </row>
    <row r="78" spans="1:16" ht="12.75" customHeight="1">
      <c r="A78" s="326" t="s">
        <v>60</v>
      </c>
      <c r="B78" s="21" t="s">
        <v>396</v>
      </c>
      <c r="C78" s="366"/>
      <c r="D78" s="366"/>
      <c r="E78" s="366"/>
      <c r="F78" s="366"/>
      <c r="G78" s="366"/>
      <c r="H78" s="366"/>
      <c r="I78" s="366"/>
      <c r="J78" s="366"/>
      <c r="K78" s="366"/>
    </row>
    <row r="79" spans="1:16">
      <c r="A79" s="326"/>
      <c r="B79" s="367" t="s">
        <v>664</v>
      </c>
      <c r="C79" s="1012"/>
      <c r="D79" s="1012"/>
      <c r="E79" s="1012"/>
      <c r="F79" s="1012"/>
      <c r="G79" s="1012"/>
      <c r="H79" s="1012"/>
      <c r="I79" s="1012"/>
      <c r="J79" s="1012"/>
      <c r="K79" s="1012"/>
    </row>
    <row r="80" spans="1:16">
      <c r="A80" s="326"/>
      <c r="B80" s="367" t="s">
        <v>665</v>
      </c>
      <c r="C80" s="1012"/>
      <c r="D80" s="1012"/>
      <c r="E80" s="1012"/>
      <c r="F80" s="1012"/>
      <c r="G80" s="1012"/>
      <c r="H80" s="1012"/>
      <c r="I80" s="1012"/>
      <c r="J80" s="1012"/>
      <c r="K80" s="1012"/>
    </row>
    <row r="81" spans="1:11" ht="12.75" customHeight="1">
      <c r="A81" s="326" t="s">
        <v>61</v>
      </c>
      <c r="B81" s="21" t="s">
        <v>1150</v>
      </c>
    </row>
    <row r="82" spans="1:11" ht="30" customHeight="1">
      <c r="A82" s="320" t="s">
        <v>62</v>
      </c>
      <c r="B82" s="1046" t="s">
        <v>435</v>
      </c>
      <c r="C82" s="1046"/>
      <c r="D82" s="1046"/>
      <c r="E82" s="1046"/>
      <c r="F82" s="1046"/>
      <c r="G82" s="1046"/>
      <c r="H82" s="1046"/>
      <c r="I82" s="1046"/>
      <c r="J82" s="1046"/>
      <c r="K82" s="1011"/>
    </row>
    <row r="83" spans="1:11" ht="12.75" customHeight="1">
      <c r="A83" s="326" t="s">
        <v>63</v>
      </c>
      <c r="B83" s="1055" t="s">
        <v>336</v>
      </c>
      <c r="C83" s="1055"/>
      <c r="D83" s="1055"/>
      <c r="E83" s="1055"/>
      <c r="F83" s="1055"/>
      <c r="G83" s="1055"/>
      <c r="H83" s="1055"/>
      <c r="I83" s="1055"/>
      <c r="J83" s="1055"/>
      <c r="K83" s="1055"/>
    </row>
    <row r="84" spans="1:11" ht="43.5" customHeight="1">
      <c r="A84" s="320" t="s">
        <v>64</v>
      </c>
      <c r="B84" s="1046" t="s">
        <v>397</v>
      </c>
      <c r="C84" s="1046"/>
      <c r="D84" s="1046"/>
      <c r="E84" s="1046"/>
      <c r="F84" s="1046"/>
      <c r="G84" s="1046"/>
      <c r="H84" s="1046"/>
      <c r="I84" s="1046"/>
      <c r="J84" s="1046"/>
      <c r="K84" s="1011"/>
    </row>
    <row r="85" spans="1:11">
      <c r="A85" s="326" t="s">
        <v>65</v>
      </c>
      <c r="B85" s="368" t="s">
        <v>1183</v>
      </c>
    </row>
    <row r="86" spans="1:11">
      <c r="A86" s="326" t="s">
        <v>66</v>
      </c>
      <c r="B86" s="21" t="s">
        <v>448</v>
      </c>
    </row>
    <row r="87" spans="1:11">
      <c r="A87" s="326" t="s">
        <v>67</v>
      </c>
      <c r="B87" s="21" t="s">
        <v>1144</v>
      </c>
    </row>
    <row r="88" spans="1:11" ht="42.6" customHeight="1">
      <c r="A88" s="320" t="s">
        <v>99</v>
      </c>
      <c r="B88" s="1046" t="s">
        <v>1186</v>
      </c>
      <c r="C88" s="1046"/>
      <c r="D88" s="1046"/>
      <c r="E88" s="1046"/>
      <c r="F88" s="1046"/>
      <c r="G88" s="1046"/>
      <c r="H88" s="1046"/>
      <c r="I88" s="1046"/>
      <c r="J88" s="1046"/>
    </row>
    <row r="89" spans="1:11" ht="30" customHeight="1">
      <c r="A89" s="320" t="s">
        <v>1566</v>
      </c>
      <c r="B89" s="1046" t="s">
        <v>1574</v>
      </c>
      <c r="C89" s="1046"/>
      <c r="D89" s="1046"/>
      <c r="E89" s="1046"/>
      <c r="F89" s="1046"/>
      <c r="G89" s="1046"/>
      <c r="H89" s="1046"/>
      <c r="I89" s="1046"/>
      <c r="J89" s="1046"/>
    </row>
    <row r="90" spans="1:11" ht="31.9" customHeight="1">
      <c r="C90" s="1013" t="s">
        <v>45</v>
      </c>
      <c r="D90" s="1013" t="s">
        <v>1345</v>
      </c>
      <c r="E90" s="1013" t="s">
        <v>1412</v>
      </c>
      <c r="F90" s="1013" t="s">
        <v>698</v>
      </c>
      <c r="G90" s="1013" t="s">
        <v>1346</v>
      </c>
      <c r="H90" s="1013" t="s">
        <v>1347</v>
      </c>
      <c r="J90" s="905" t="s">
        <v>1469</v>
      </c>
      <c r="K90" s="905" t="s">
        <v>1470</v>
      </c>
    </row>
    <row r="91" spans="1:11">
      <c r="A91" s="323" t="s">
        <v>1348</v>
      </c>
      <c r="B91" s="1015" t="s">
        <v>1335</v>
      </c>
      <c r="C91" s="1015" t="s">
        <v>853</v>
      </c>
      <c r="D91" s="902">
        <v>20334.670000000016</v>
      </c>
      <c r="E91" s="902">
        <v>0</v>
      </c>
      <c r="F91" s="42">
        <f>J91*K91</f>
        <v>0</v>
      </c>
      <c r="G91" s="902">
        <v>0</v>
      </c>
      <c r="H91" s="902">
        <v>0</v>
      </c>
      <c r="J91" s="1016">
        <v>0</v>
      </c>
      <c r="K91" s="1016">
        <v>0</v>
      </c>
    </row>
    <row r="92" spans="1:11">
      <c r="A92" s="323" t="s">
        <v>1349</v>
      </c>
      <c r="B92" s="1015" t="s">
        <v>1336</v>
      </c>
      <c r="C92" s="1015" t="s">
        <v>1468</v>
      </c>
      <c r="D92" s="902">
        <v>58423.350000000013</v>
      </c>
      <c r="E92" s="902">
        <v>131.22000000000844</v>
      </c>
      <c r="F92" s="42">
        <f>J92*K92</f>
        <v>7.3211515122655155E-2</v>
      </c>
      <c r="G92" s="902">
        <v>4277.2619720411758</v>
      </c>
      <c r="H92" s="902">
        <v>9.6068150143954281</v>
      </c>
      <c r="J92" s="1016">
        <v>0.77480000000000004</v>
      </c>
      <c r="K92" s="1016">
        <v>9.4490855863003556E-2</v>
      </c>
    </row>
    <row r="93" spans="1:11">
      <c r="A93" s="323" t="s">
        <v>1350</v>
      </c>
      <c r="B93" s="1015" t="s">
        <v>1337</v>
      </c>
      <c r="C93" s="1015" t="s">
        <v>853</v>
      </c>
      <c r="D93" s="902">
        <v>23723.019999999928</v>
      </c>
      <c r="E93" s="902">
        <v>5456.3049999999748</v>
      </c>
      <c r="F93" s="42">
        <f t="shared" ref="F93:F115" si="6">J93*K93</f>
        <v>0</v>
      </c>
      <c r="G93" s="902">
        <v>0</v>
      </c>
      <c r="H93" s="902">
        <v>0</v>
      </c>
      <c r="J93" s="1016">
        <v>0</v>
      </c>
      <c r="K93" s="1016">
        <v>0</v>
      </c>
    </row>
    <row r="94" spans="1:11">
      <c r="A94" s="323" t="s">
        <v>1351</v>
      </c>
      <c r="B94" s="1015" t="s">
        <v>1337</v>
      </c>
      <c r="C94" s="1015" t="s">
        <v>854</v>
      </c>
      <c r="D94" s="902">
        <v>0</v>
      </c>
      <c r="E94" s="902">
        <v>16368.914999999924</v>
      </c>
      <c r="F94" s="42">
        <f t="shared" si="6"/>
        <v>1</v>
      </c>
      <c r="G94" s="902">
        <v>0</v>
      </c>
      <c r="H94" s="902">
        <v>16368.914999999924</v>
      </c>
      <c r="J94" s="1016">
        <v>1</v>
      </c>
      <c r="K94" s="1016">
        <v>1</v>
      </c>
    </row>
    <row r="95" spans="1:11">
      <c r="A95" s="323" t="s">
        <v>1352</v>
      </c>
      <c r="B95" s="1015" t="s">
        <v>1338</v>
      </c>
      <c r="C95" s="1015" t="s">
        <v>1468</v>
      </c>
      <c r="D95" s="902">
        <v>321536.46000000008</v>
      </c>
      <c r="E95" s="902">
        <v>336859.16000000009</v>
      </c>
      <c r="F95" s="42">
        <f t="shared" si="6"/>
        <v>7.5384758781607969E-2</v>
      </c>
      <c r="G95" s="902">
        <v>24238.948476592144</v>
      </c>
      <c r="H95" s="902">
        <v>25394.046519975091</v>
      </c>
      <c r="J95" s="1016">
        <v>0.79779951290634588</v>
      </c>
      <c r="K95" s="1016">
        <v>9.4490855863003556E-2</v>
      </c>
    </row>
    <row r="96" spans="1:11">
      <c r="A96" s="323" t="s">
        <v>1353</v>
      </c>
      <c r="B96" s="1015" t="s">
        <v>1339</v>
      </c>
      <c r="C96" s="1015" t="s">
        <v>853</v>
      </c>
      <c r="D96" s="902">
        <v>399.97000000001208</v>
      </c>
      <c r="E96" s="902">
        <v>0</v>
      </c>
      <c r="F96" s="42">
        <f>J96*K96</f>
        <v>0</v>
      </c>
      <c r="G96" s="902">
        <v>0</v>
      </c>
      <c r="H96" s="902">
        <v>0</v>
      </c>
      <c r="J96" s="1016">
        <v>0</v>
      </c>
      <c r="K96" s="1016">
        <v>0</v>
      </c>
    </row>
    <row r="97" spans="1:11">
      <c r="A97" s="323" t="s">
        <v>1354</v>
      </c>
      <c r="B97" s="1015" t="s">
        <v>1619</v>
      </c>
      <c r="C97" s="1015" t="s">
        <v>1468</v>
      </c>
      <c r="D97" s="902">
        <v>598296</v>
      </c>
      <c r="E97" s="902">
        <v>338557.20999999956</v>
      </c>
      <c r="F97" s="42">
        <f t="shared" si="6"/>
        <v>7.3211515122655155E-2</v>
      </c>
      <c r="G97" s="902">
        <v>43802.156651824087</v>
      </c>
      <c r="H97" s="902">
        <v>24786.286299798903</v>
      </c>
      <c r="J97" s="1016">
        <v>0.77480000000000004</v>
      </c>
      <c r="K97" s="1016">
        <v>9.4490855863003556E-2</v>
      </c>
    </row>
    <row r="98" spans="1:11">
      <c r="A98" s="323" t="s">
        <v>1355</v>
      </c>
      <c r="B98" s="1015" t="s">
        <v>1619</v>
      </c>
      <c r="C98" s="1015" t="s">
        <v>1468</v>
      </c>
      <c r="D98" s="902">
        <v>0</v>
      </c>
      <c r="E98" s="902">
        <v>0</v>
      </c>
      <c r="F98" s="42">
        <f>J98*K98</f>
        <v>7.5384758781607969E-2</v>
      </c>
      <c r="G98" s="902">
        <v>0</v>
      </c>
      <c r="H98" s="902">
        <v>0</v>
      </c>
      <c r="J98" s="1016">
        <v>0.79779951290634588</v>
      </c>
      <c r="K98" s="1016">
        <v>9.4490855863003556E-2</v>
      </c>
    </row>
    <row r="99" spans="1:11">
      <c r="A99" s="323" t="s">
        <v>1356</v>
      </c>
      <c r="B99" s="1015" t="s">
        <v>1619</v>
      </c>
      <c r="C99" s="1015" t="s">
        <v>853</v>
      </c>
      <c r="D99" s="902">
        <v>1317780</v>
      </c>
      <c r="E99" s="902">
        <v>1241293.8200000003</v>
      </c>
      <c r="F99" s="42">
        <f t="shared" si="6"/>
        <v>0</v>
      </c>
      <c r="G99" s="902">
        <v>0</v>
      </c>
      <c r="H99" s="902">
        <v>0</v>
      </c>
      <c r="J99" s="1016">
        <v>0</v>
      </c>
      <c r="K99" s="1016">
        <v>0</v>
      </c>
    </row>
    <row r="100" spans="1:11">
      <c r="A100" s="323" t="s">
        <v>1357</v>
      </c>
      <c r="B100" s="1015" t="s">
        <v>1340</v>
      </c>
      <c r="C100" s="1015" t="s">
        <v>853</v>
      </c>
      <c r="D100" s="902">
        <v>650425.93999999994</v>
      </c>
      <c r="E100" s="902">
        <v>594515.18999999994</v>
      </c>
      <c r="F100" s="42">
        <f>J100*K100</f>
        <v>0</v>
      </c>
      <c r="G100" s="902">
        <v>0</v>
      </c>
      <c r="H100" s="902">
        <v>0</v>
      </c>
      <c r="J100" s="1016">
        <v>0</v>
      </c>
      <c r="K100" s="1016">
        <v>0</v>
      </c>
    </row>
    <row r="101" spans="1:11">
      <c r="A101" s="323" t="s">
        <v>1358</v>
      </c>
      <c r="B101" s="1015" t="s">
        <v>1620</v>
      </c>
      <c r="C101" s="1015" t="s">
        <v>854</v>
      </c>
      <c r="D101" s="902">
        <v>1334854.2003656665</v>
      </c>
      <c r="E101" s="902">
        <v>964039.13986799889</v>
      </c>
      <c r="F101" s="42">
        <f t="shared" si="6"/>
        <v>1</v>
      </c>
      <c r="G101" s="902">
        <v>1334854.2003656665</v>
      </c>
      <c r="H101" s="902">
        <v>964039.13986799889</v>
      </c>
      <c r="J101" s="1016">
        <v>1</v>
      </c>
      <c r="K101" s="1016">
        <v>1</v>
      </c>
    </row>
    <row r="102" spans="1:11">
      <c r="A102" s="323" t="s">
        <v>1359</v>
      </c>
      <c r="B102" s="1015" t="s">
        <v>1620</v>
      </c>
      <c r="C102" s="1015" t="s">
        <v>853</v>
      </c>
      <c r="D102" s="902">
        <v>276561.95713433332</v>
      </c>
      <c r="E102" s="902">
        <v>415497.0576319996</v>
      </c>
      <c r="F102" s="42">
        <f t="shared" si="6"/>
        <v>0</v>
      </c>
      <c r="G102" s="902">
        <v>0</v>
      </c>
      <c r="H102" s="902">
        <v>0</v>
      </c>
      <c r="J102" s="1016">
        <v>0</v>
      </c>
      <c r="K102" s="1016">
        <v>0</v>
      </c>
    </row>
    <row r="103" spans="1:11">
      <c r="A103" s="323" t="s">
        <v>1360</v>
      </c>
      <c r="B103" s="1015" t="s">
        <v>1592</v>
      </c>
      <c r="C103" s="1015" t="s">
        <v>853</v>
      </c>
      <c r="D103" s="902">
        <v>0</v>
      </c>
      <c r="E103" s="902">
        <v>0</v>
      </c>
      <c r="F103" s="42">
        <f t="shared" si="6"/>
        <v>0</v>
      </c>
      <c r="G103" s="902">
        <v>0</v>
      </c>
      <c r="H103" s="902">
        <v>0</v>
      </c>
      <c r="J103" s="1016">
        <v>0</v>
      </c>
      <c r="K103" s="1016">
        <v>0</v>
      </c>
    </row>
    <row r="104" spans="1:11">
      <c r="A104" s="323" t="s">
        <v>1361</v>
      </c>
      <c r="B104" s="1015" t="s">
        <v>1341</v>
      </c>
      <c r="C104" s="1015" t="s">
        <v>1468</v>
      </c>
      <c r="D104" s="902">
        <v>0</v>
      </c>
      <c r="E104" s="902">
        <v>0</v>
      </c>
      <c r="F104" s="42">
        <f t="shared" si="6"/>
        <v>7.3211515122655155E-2</v>
      </c>
      <c r="G104" s="902">
        <v>0</v>
      </c>
      <c r="H104" s="902">
        <v>0</v>
      </c>
      <c r="J104" s="1016">
        <v>0.77480000000000004</v>
      </c>
      <c r="K104" s="1016">
        <v>9.4490855863003556E-2</v>
      </c>
    </row>
    <row r="105" spans="1:11">
      <c r="A105" s="323" t="s">
        <v>1362</v>
      </c>
      <c r="B105" s="1015" t="s">
        <v>1342</v>
      </c>
      <c r="C105" s="1015" t="s">
        <v>853</v>
      </c>
      <c r="D105" s="902">
        <v>4635978.5199999958</v>
      </c>
      <c r="E105" s="902">
        <v>4427073.2699999958</v>
      </c>
      <c r="F105" s="42">
        <f t="shared" si="6"/>
        <v>0</v>
      </c>
      <c r="G105" s="902">
        <v>0</v>
      </c>
      <c r="H105" s="902">
        <v>0</v>
      </c>
      <c r="J105" s="1016">
        <v>0</v>
      </c>
      <c r="K105" s="1016">
        <v>0</v>
      </c>
    </row>
    <row r="106" spans="1:11">
      <c r="A106" s="323" t="s">
        <v>1363</v>
      </c>
      <c r="B106" s="1015" t="s">
        <v>1343</v>
      </c>
      <c r="C106" s="1015" t="s">
        <v>1468</v>
      </c>
      <c r="D106" s="902">
        <v>13000</v>
      </c>
      <c r="E106" s="902">
        <v>2000</v>
      </c>
      <c r="F106" s="42">
        <f t="shared" si="6"/>
        <v>7.5384758781607969E-2</v>
      </c>
      <c r="G106" s="902">
        <v>980.00186416090355</v>
      </c>
      <c r="H106" s="902">
        <v>150.76951756321594</v>
      </c>
      <c r="J106" s="1016">
        <v>0.79779951290634588</v>
      </c>
      <c r="K106" s="1016">
        <v>9.4490855863003556E-2</v>
      </c>
    </row>
    <row r="107" spans="1:11">
      <c r="A107" s="323" t="s">
        <v>1364</v>
      </c>
      <c r="B107" s="1015" t="s">
        <v>1593</v>
      </c>
      <c r="C107" s="1015" t="s">
        <v>853</v>
      </c>
      <c r="D107" s="902">
        <v>236260.81000000006</v>
      </c>
      <c r="E107" s="902">
        <v>268710.83</v>
      </c>
      <c r="F107" s="42">
        <f t="shared" si="6"/>
        <v>0</v>
      </c>
      <c r="G107" s="902">
        <v>0</v>
      </c>
      <c r="H107" s="902">
        <v>0</v>
      </c>
      <c r="J107" s="1016">
        <v>0</v>
      </c>
      <c r="K107" s="1016">
        <v>0</v>
      </c>
    </row>
    <row r="108" spans="1:11">
      <c r="A108" s="323" t="s">
        <v>1365</v>
      </c>
      <c r="B108" s="1015" t="s">
        <v>1344</v>
      </c>
      <c r="C108" s="1015" t="s">
        <v>1468</v>
      </c>
      <c r="D108" s="902">
        <v>834280.70000000019</v>
      </c>
      <c r="E108" s="902">
        <v>135265.08000000031</v>
      </c>
      <c r="F108" s="42">
        <f t="shared" si="6"/>
        <v>7.5384758781607969E-2</v>
      </c>
      <c r="G108" s="902">
        <v>62892.04932565106</v>
      </c>
      <c r="H108" s="902">
        <v>10196.925427374928</v>
      </c>
      <c r="J108" s="1016">
        <v>0.79779951290634588</v>
      </c>
      <c r="K108" s="1016">
        <v>9.4490855863003556E-2</v>
      </c>
    </row>
    <row r="109" spans="1:11">
      <c r="A109" s="323" t="s">
        <v>1366</v>
      </c>
      <c r="B109" s="1015" t="s">
        <v>1589</v>
      </c>
      <c r="C109" s="1015" t="s">
        <v>854</v>
      </c>
      <c r="D109" s="902">
        <v>13434.624</v>
      </c>
      <c r="E109" s="902">
        <v>10075.968000000001</v>
      </c>
      <c r="F109" s="42">
        <f t="shared" si="6"/>
        <v>1</v>
      </c>
      <c r="G109" s="902">
        <v>13434.624</v>
      </c>
      <c r="H109" s="902">
        <v>10075.968000000001</v>
      </c>
      <c r="J109" s="1016">
        <v>1</v>
      </c>
      <c r="K109" s="1016">
        <v>1</v>
      </c>
    </row>
    <row r="110" spans="1:11">
      <c r="A110" s="323" t="s">
        <v>1367</v>
      </c>
      <c r="B110" s="1015" t="s">
        <v>1589</v>
      </c>
      <c r="C110" s="1015" t="s">
        <v>853</v>
      </c>
      <c r="D110" s="902">
        <v>126509</v>
      </c>
      <c r="E110" s="902">
        <v>94882.031999999992</v>
      </c>
      <c r="F110" s="42">
        <f t="shared" si="6"/>
        <v>0</v>
      </c>
      <c r="G110" s="902">
        <v>0</v>
      </c>
      <c r="H110" s="902">
        <v>0</v>
      </c>
      <c r="J110" s="1016">
        <v>0</v>
      </c>
      <c r="K110" s="1016">
        <v>0</v>
      </c>
    </row>
    <row r="111" spans="1:11">
      <c r="A111" s="323" t="s">
        <v>1368</v>
      </c>
      <c r="B111" s="1015" t="s">
        <v>1594</v>
      </c>
      <c r="C111" s="1015" t="s">
        <v>853</v>
      </c>
      <c r="D111" s="902">
        <v>173775</v>
      </c>
      <c r="E111" s="902">
        <v>3050.0000000000291</v>
      </c>
      <c r="F111" s="42">
        <f t="shared" si="6"/>
        <v>0</v>
      </c>
      <c r="G111" s="902">
        <v>0</v>
      </c>
      <c r="H111" s="902">
        <v>0</v>
      </c>
      <c r="J111" s="1016">
        <v>0</v>
      </c>
      <c r="K111" s="1016">
        <v>0</v>
      </c>
    </row>
    <row r="112" spans="1:11">
      <c r="A112" s="323" t="s">
        <v>1624</v>
      </c>
      <c r="B112" s="1015" t="s">
        <v>1621</v>
      </c>
      <c r="C112" s="1015" t="s">
        <v>854</v>
      </c>
      <c r="D112" s="902">
        <v>0</v>
      </c>
      <c r="E112" s="902">
        <v>18293.820000000065</v>
      </c>
      <c r="F112" s="42">
        <f t="shared" si="6"/>
        <v>1</v>
      </c>
      <c r="G112" s="902">
        <v>0</v>
      </c>
      <c r="H112" s="902">
        <v>18293.820000000065</v>
      </c>
      <c r="J112" s="1016">
        <v>1</v>
      </c>
      <c r="K112" s="1016">
        <v>1</v>
      </c>
    </row>
    <row r="113" spans="1:11">
      <c r="A113" s="323" t="s">
        <v>1625</v>
      </c>
      <c r="B113" s="1015" t="s">
        <v>1622</v>
      </c>
      <c r="C113" s="1015" t="s">
        <v>853</v>
      </c>
      <c r="D113" s="902">
        <v>0</v>
      </c>
      <c r="E113" s="902">
        <v>272073.71000000008</v>
      </c>
      <c r="F113" s="42">
        <f t="shared" si="6"/>
        <v>0</v>
      </c>
      <c r="G113" s="902">
        <v>0</v>
      </c>
      <c r="H113" s="902">
        <v>0</v>
      </c>
      <c r="J113" s="1016">
        <v>0</v>
      </c>
      <c r="K113" s="1016">
        <v>0</v>
      </c>
    </row>
    <row r="114" spans="1:11">
      <c r="A114" s="323" t="s">
        <v>1626</v>
      </c>
      <c r="B114" s="1015" t="s">
        <v>1623</v>
      </c>
      <c r="C114" s="1015" t="s">
        <v>853</v>
      </c>
      <c r="D114" s="902">
        <v>0</v>
      </c>
      <c r="E114" s="902">
        <v>153930</v>
      </c>
      <c r="F114" s="42">
        <f t="shared" si="6"/>
        <v>0</v>
      </c>
      <c r="G114" s="902">
        <v>0</v>
      </c>
      <c r="H114" s="902">
        <v>0</v>
      </c>
      <c r="J114" s="1016">
        <v>0</v>
      </c>
      <c r="K114" s="1016">
        <v>0</v>
      </c>
    </row>
    <row r="115" spans="1:11">
      <c r="A115" s="323" t="s">
        <v>1627</v>
      </c>
      <c r="B115" s="1015" t="s">
        <v>1623</v>
      </c>
      <c r="C115" s="1015" t="s">
        <v>854</v>
      </c>
      <c r="D115" s="902">
        <v>0</v>
      </c>
      <c r="E115" s="902">
        <v>102620</v>
      </c>
      <c r="F115" s="42">
        <f t="shared" si="6"/>
        <v>1</v>
      </c>
      <c r="G115" s="902">
        <v>0</v>
      </c>
      <c r="H115" s="902">
        <v>102620</v>
      </c>
      <c r="J115" s="1016">
        <v>1</v>
      </c>
      <c r="K115" s="1016">
        <v>1</v>
      </c>
    </row>
    <row r="116" spans="1:11">
      <c r="A116" s="323" t="s">
        <v>296</v>
      </c>
      <c r="B116" s="903"/>
      <c r="C116" s="904"/>
      <c r="D116" s="902"/>
      <c r="E116" s="902"/>
      <c r="F116" s="42"/>
      <c r="G116" s="902"/>
      <c r="H116" s="902"/>
      <c r="J116" s="903"/>
      <c r="K116" s="903"/>
    </row>
    <row r="117" spans="1:11">
      <c r="A117" s="323" t="s">
        <v>1369</v>
      </c>
      <c r="B117" s="903"/>
      <c r="C117" s="904"/>
      <c r="D117" s="902"/>
      <c r="E117" s="902"/>
      <c r="F117" s="42"/>
      <c r="G117" s="902"/>
      <c r="H117" s="902"/>
      <c r="J117" s="903"/>
      <c r="K117" s="903"/>
    </row>
    <row r="118" spans="1:11">
      <c r="B118" s="21" t="s">
        <v>1370</v>
      </c>
      <c r="D118" s="39">
        <f>SUM(D91:D117)</f>
        <v>10635574.221499996</v>
      </c>
      <c r="E118" s="39">
        <f>SUM(E91:E117)</f>
        <v>9400692.7274999954</v>
      </c>
      <c r="G118" s="39">
        <f>SUM(G91:G117)</f>
        <v>1484479.2426559359</v>
      </c>
      <c r="H118" s="39">
        <f>SUM(H91:H117)</f>
        <v>1171935.4774477254</v>
      </c>
    </row>
  </sheetData>
  <sheetProtection algorithmName="SHA-512" hashValue="Ayh44v0bBYDZulg3ZNANeWJSVzK3wT8kcR7QZhldQmenJHgs2jjL+CYYSf7cz9u223SPUkQM8Fv7TUMq/A7wtA==" saltValue="Ifg+aE3in7YnuyvwU1TUyQ=="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100"/>
  <sheetViews>
    <sheetView view="pageBreakPreview" zoomScale="70" zoomScaleNormal="70" zoomScaleSheetLayoutView="70" workbookViewId="0">
      <selection activeCell="D94" sqref="D94:D95"/>
    </sheetView>
  </sheetViews>
  <sheetFormatPr defaultColWidth="8.88671875" defaultRowHeight="15"/>
  <cols>
    <col min="1" max="1" width="8.88671875" style="369"/>
    <col min="2" max="2" width="9.88671875" style="370" customWidth="1"/>
    <col min="3" max="3" width="19" style="370" customWidth="1"/>
    <col min="4" max="4" width="8.88671875" style="371"/>
    <col min="5" max="5" width="13.88671875" style="370" customWidth="1"/>
    <col min="6" max="6" width="16.44140625" style="370" customWidth="1"/>
    <col min="7" max="7" width="12.5546875" style="370" customWidth="1"/>
    <col min="8" max="8" width="12.6640625" style="370" customWidth="1"/>
    <col min="9" max="9" width="11.77734375" style="370" customWidth="1"/>
    <col min="10" max="10" width="13.21875" style="370" customWidth="1"/>
    <col min="11" max="11" width="11.88671875" style="370" bestFit="1" customWidth="1"/>
    <col min="12" max="12" width="17.33203125" style="370" customWidth="1"/>
    <col min="13" max="13" width="13.109375" style="370" customWidth="1"/>
    <col min="14" max="14" width="11.88671875" style="370" bestFit="1" customWidth="1"/>
    <col min="15" max="15" width="19.6640625" style="373" customWidth="1"/>
    <col min="16" max="18" width="8.88671875" style="373"/>
    <col min="19" max="19" width="11" style="373" customWidth="1"/>
    <col min="20" max="29" width="8.88671875" style="373"/>
    <col min="30" max="16384" width="8.88671875" style="370"/>
  </cols>
  <sheetData>
    <row r="1" spans="1:19" ht="15.75">
      <c r="M1" s="372"/>
    </row>
    <row r="2" spans="1:19" ht="15.75">
      <c r="G2" s="164" t="s">
        <v>1060</v>
      </c>
      <c r="M2" s="372" t="s">
        <v>450</v>
      </c>
    </row>
    <row r="3" spans="1:19" ht="15.75">
      <c r="G3" s="374" t="str">
        <f>'Attachment H-7'!$D$5</f>
        <v>PECO Energy Company</v>
      </c>
      <c r="M3" s="372" t="s">
        <v>422</v>
      </c>
    </row>
    <row r="4" spans="1:19">
      <c r="B4" s="375"/>
      <c r="C4" s="375"/>
      <c r="D4" s="376"/>
      <c r="E4" s="375"/>
      <c r="F4" s="375"/>
      <c r="G4" s="377" t="s">
        <v>451</v>
      </c>
      <c r="H4" s="375"/>
      <c r="I4" s="375"/>
      <c r="J4" s="375"/>
      <c r="K4" s="375"/>
      <c r="L4" s="375"/>
      <c r="M4" s="375"/>
    </row>
    <row r="5" spans="1:19" ht="15.75">
      <c r="E5" s="369"/>
      <c r="F5" s="369"/>
      <c r="G5" s="369"/>
      <c r="H5" s="369"/>
      <c r="I5" s="369"/>
      <c r="J5" s="369"/>
      <c r="K5" s="369"/>
      <c r="L5" s="369"/>
      <c r="M5" s="372" t="s">
        <v>1651</v>
      </c>
    </row>
    <row r="6" spans="1:19">
      <c r="E6" s="369"/>
      <c r="F6" s="369"/>
      <c r="G6" s="369"/>
      <c r="H6" s="369"/>
      <c r="I6" s="369"/>
      <c r="J6" s="369"/>
      <c r="K6" s="369"/>
      <c r="L6" s="369"/>
    </row>
    <row r="7" spans="1:19">
      <c r="A7" s="378" t="s">
        <v>452</v>
      </c>
      <c r="E7" s="369"/>
      <c r="F7" s="369"/>
      <c r="G7" s="369"/>
      <c r="H7" s="369"/>
      <c r="I7" s="369"/>
      <c r="J7" s="369"/>
      <c r="K7" s="369"/>
      <c r="L7" s="369"/>
    </row>
    <row r="8" spans="1:19">
      <c r="E8" s="369"/>
      <c r="F8" s="369"/>
      <c r="G8" s="369"/>
      <c r="H8" s="369"/>
      <c r="I8" s="369"/>
      <c r="J8" s="369"/>
      <c r="K8" s="369"/>
      <c r="L8" s="369"/>
    </row>
    <row r="9" spans="1:19">
      <c r="B9" s="370" t="s">
        <v>198</v>
      </c>
      <c r="C9" s="370" t="s">
        <v>199</v>
      </c>
      <c r="D9" s="371" t="s">
        <v>200</v>
      </c>
      <c r="E9" s="369" t="s">
        <v>201</v>
      </c>
      <c r="F9" s="369" t="s">
        <v>203</v>
      </c>
      <c r="G9" s="369" t="s">
        <v>202</v>
      </c>
      <c r="H9" s="369" t="s">
        <v>204</v>
      </c>
      <c r="I9" s="369" t="s">
        <v>1152</v>
      </c>
      <c r="J9" s="369" t="s">
        <v>206</v>
      </c>
      <c r="K9" s="369" t="s">
        <v>244</v>
      </c>
      <c r="L9" s="369" t="s">
        <v>248</v>
      </c>
      <c r="M9" s="369" t="s">
        <v>453</v>
      </c>
    </row>
    <row r="10" spans="1:19">
      <c r="B10" s="369" t="s">
        <v>454</v>
      </c>
      <c r="C10" s="370" t="s">
        <v>167</v>
      </c>
      <c r="D10" s="371" t="s">
        <v>75</v>
      </c>
      <c r="E10" s="369" t="s">
        <v>455</v>
      </c>
      <c r="F10" s="369" t="s">
        <v>456</v>
      </c>
      <c r="G10" s="379">
        <v>1</v>
      </c>
      <c r="H10" s="369" t="s">
        <v>457</v>
      </c>
      <c r="I10" s="369" t="s">
        <v>458</v>
      </c>
      <c r="J10" s="369" t="s">
        <v>1133</v>
      </c>
      <c r="K10" s="369" t="s">
        <v>459</v>
      </c>
      <c r="L10" s="369" t="s">
        <v>460</v>
      </c>
      <c r="M10" s="369" t="s">
        <v>227</v>
      </c>
    </row>
    <row r="11" spans="1:19">
      <c r="B11" s="369" t="s">
        <v>461</v>
      </c>
      <c r="E11" s="369" t="s">
        <v>462</v>
      </c>
      <c r="F11" s="369" t="s">
        <v>463</v>
      </c>
      <c r="G11" s="369" t="s">
        <v>17</v>
      </c>
      <c r="H11" s="379" t="s">
        <v>464</v>
      </c>
      <c r="I11" s="369" t="s">
        <v>465</v>
      </c>
      <c r="J11" s="379" t="s">
        <v>466</v>
      </c>
      <c r="K11" s="369" t="s">
        <v>467</v>
      </c>
      <c r="L11" s="379" t="s">
        <v>468</v>
      </c>
      <c r="M11" s="369" t="s">
        <v>469</v>
      </c>
    </row>
    <row r="12" spans="1:19">
      <c r="B12" s="369" t="s">
        <v>470</v>
      </c>
      <c r="E12" s="369"/>
      <c r="F12" s="369"/>
      <c r="G12" s="369"/>
      <c r="H12" s="380">
        <v>1</v>
      </c>
      <c r="I12" s="369"/>
      <c r="J12" s="381">
        <f>+'Attachment H-7'!G53</f>
        <v>0.18509112796332486</v>
      </c>
      <c r="K12" s="382"/>
      <c r="L12" s="381">
        <f>+'Attachment H-7'!I197</f>
        <v>9.4490855863003556E-2</v>
      </c>
      <c r="M12" s="369" t="s">
        <v>471</v>
      </c>
    </row>
    <row r="13" spans="1:19" ht="15.75">
      <c r="B13" s="369" t="s">
        <v>472</v>
      </c>
      <c r="E13" s="369"/>
      <c r="F13" s="369"/>
      <c r="G13" s="369"/>
      <c r="H13" s="383"/>
      <c r="I13" s="369"/>
      <c r="J13" s="369" t="s">
        <v>473</v>
      </c>
      <c r="K13" s="369"/>
      <c r="L13" s="369" t="s">
        <v>473</v>
      </c>
      <c r="M13" s="369"/>
      <c r="O13" s="384"/>
    </row>
    <row r="14" spans="1:19">
      <c r="B14" s="373"/>
      <c r="C14" s="385" t="s">
        <v>474</v>
      </c>
      <c r="E14" s="369"/>
      <c r="F14" s="369"/>
      <c r="G14" s="369"/>
      <c r="H14" s="369"/>
      <c r="I14" s="369"/>
      <c r="J14" s="369" t="s">
        <v>475</v>
      </c>
      <c r="K14" s="369"/>
      <c r="L14" s="369" t="s">
        <v>476</v>
      </c>
      <c r="M14" s="369"/>
    </row>
    <row r="15" spans="1:19" ht="16.5">
      <c r="A15" s="369">
        <v>1</v>
      </c>
      <c r="B15" s="370" t="s">
        <v>477</v>
      </c>
      <c r="C15" s="370" t="s">
        <v>196</v>
      </c>
      <c r="D15" s="927">
        <v>2019</v>
      </c>
      <c r="E15" s="386">
        <v>1</v>
      </c>
      <c r="F15" s="926">
        <v>0</v>
      </c>
      <c r="G15" s="926">
        <v>-200390142.88362911</v>
      </c>
      <c r="H15" s="925">
        <v>-200390142.88362911</v>
      </c>
      <c r="I15" s="926">
        <v>0</v>
      </c>
      <c r="J15" s="925">
        <v>0</v>
      </c>
      <c r="K15" s="926">
        <v>-31198495.823320538</v>
      </c>
      <c r="L15" s="925">
        <v>-2947972.5719838995</v>
      </c>
      <c r="M15" s="926">
        <v>-203338115.45561302</v>
      </c>
      <c r="N15" s="387"/>
      <c r="O15" s="388"/>
      <c r="P15" s="388"/>
      <c r="Q15" s="388"/>
      <c r="R15" s="388"/>
      <c r="S15" s="388"/>
    </row>
    <row r="16" spans="1:19" ht="15.75">
      <c r="A16" s="369">
        <v>2</v>
      </c>
      <c r="B16" s="370" t="s">
        <v>478</v>
      </c>
      <c r="C16" s="370" t="s">
        <v>84</v>
      </c>
      <c r="D16" s="920">
        <v>2020</v>
      </c>
      <c r="E16" s="386">
        <v>0.9178082191780822</v>
      </c>
      <c r="F16" s="925">
        <v>0</v>
      </c>
      <c r="G16" s="925">
        <v>-209279.97265445758</v>
      </c>
      <c r="H16" s="925">
        <v>-209279.97265445758</v>
      </c>
      <c r="I16" s="925">
        <v>0</v>
      </c>
      <c r="J16" s="925">
        <v>0</v>
      </c>
      <c r="K16" s="925">
        <v>-77939.382499999992</v>
      </c>
      <c r="L16" s="925">
        <v>-7364.5589578590007</v>
      </c>
      <c r="M16" s="926">
        <v>-198838.13175377002</v>
      </c>
      <c r="N16" s="389"/>
      <c r="O16" s="390"/>
      <c r="P16" s="388"/>
      <c r="Q16" s="388"/>
      <c r="R16" s="388"/>
      <c r="S16" s="388"/>
    </row>
    <row r="17" spans="1:19" ht="15.75">
      <c r="A17" s="369">
        <f>+A16+1</f>
        <v>3</v>
      </c>
      <c r="B17" s="370" t="s">
        <v>478</v>
      </c>
      <c r="C17" s="373" t="s">
        <v>83</v>
      </c>
      <c r="D17" s="920">
        <v>2020</v>
      </c>
      <c r="E17" s="386">
        <v>0.84109589041095889</v>
      </c>
      <c r="F17" s="925">
        <v>0</v>
      </c>
      <c r="G17" s="925">
        <v>-209279.97265445758</v>
      </c>
      <c r="H17" s="925">
        <v>-209279.97265445758</v>
      </c>
      <c r="I17" s="925">
        <v>0</v>
      </c>
      <c r="J17" s="925">
        <v>0</v>
      </c>
      <c r="K17" s="925">
        <v>-77939.382499999992</v>
      </c>
      <c r="L17" s="925">
        <v>-7364.5589578590007</v>
      </c>
      <c r="M17" s="926">
        <v>-182218.82521912653</v>
      </c>
      <c r="N17" s="389"/>
      <c r="O17" s="391"/>
      <c r="P17" s="392"/>
      <c r="Q17" s="393"/>
      <c r="R17" s="393"/>
      <c r="S17" s="393"/>
    </row>
    <row r="18" spans="1:19" ht="15.75">
      <c r="A18" s="369">
        <f t="shared" ref="A18:A30" si="0">+A17+1</f>
        <v>4</v>
      </c>
      <c r="B18" s="370" t="s">
        <v>478</v>
      </c>
      <c r="C18" s="373" t="s">
        <v>82</v>
      </c>
      <c r="D18" s="920">
        <v>2020</v>
      </c>
      <c r="E18" s="386">
        <v>0.75616438356164384</v>
      </c>
      <c r="F18" s="925">
        <v>0</v>
      </c>
      <c r="G18" s="925">
        <v>-209279.97265445758</v>
      </c>
      <c r="H18" s="925">
        <v>-209279.97265445758</v>
      </c>
      <c r="I18" s="925">
        <v>0</v>
      </c>
      <c r="J18" s="925">
        <v>0</v>
      </c>
      <c r="K18" s="925">
        <v>-77939.382499999992</v>
      </c>
      <c r="L18" s="925">
        <v>-7364.5589578590007</v>
      </c>
      <c r="M18" s="926">
        <v>-163818.87869862842</v>
      </c>
      <c r="N18" s="389"/>
      <c r="O18" s="392"/>
      <c r="P18" s="394"/>
      <c r="Q18" s="393"/>
      <c r="R18" s="393"/>
      <c r="S18" s="395"/>
    </row>
    <row r="19" spans="1:19" ht="15.75">
      <c r="A19" s="369">
        <f t="shared" si="0"/>
        <v>5</v>
      </c>
      <c r="B19" s="370" t="s">
        <v>478</v>
      </c>
      <c r="C19" s="373" t="s">
        <v>74</v>
      </c>
      <c r="D19" s="920">
        <v>2020</v>
      </c>
      <c r="E19" s="386">
        <v>0.67397260273972603</v>
      </c>
      <c r="F19" s="925">
        <v>0</v>
      </c>
      <c r="G19" s="925">
        <v>-209279.97265445758</v>
      </c>
      <c r="H19" s="925">
        <v>-209279.97265445758</v>
      </c>
      <c r="I19" s="925">
        <v>0</v>
      </c>
      <c r="J19" s="925">
        <v>0</v>
      </c>
      <c r="K19" s="925">
        <v>-77939.382499999992</v>
      </c>
      <c r="L19" s="925">
        <v>-7364.5589578590007</v>
      </c>
      <c r="M19" s="926">
        <v>-146012.47884008187</v>
      </c>
      <c r="N19" s="389"/>
      <c r="O19" s="392"/>
      <c r="P19" s="394"/>
      <c r="Q19" s="393"/>
      <c r="R19" s="393"/>
      <c r="S19" s="395"/>
    </row>
    <row r="20" spans="1:19" ht="15.75">
      <c r="A20" s="369">
        <f t="shared" si="0"/>
        <v>6</v>
      </c>
      <c r="B20" s="370" t="s">
        <v>478</v>
      </c>
      <c r="C20" s="373" t="s">
        <v>73</v>
      </c>
      <c r="D20" s="920">
        <v>2020</v>
      </c>
      <c r="E20" s="386">
        <v>0.58904109589041098</v>
      </c>
      <c r="F20" s="925">
        <v>0</v>
      </c>
      <c r="G20" s="925">
        <v>-209279.97265445758</v>
      </c>
      <c r="H20" s="925">
        <v>-209279.97265445758</v>
      </c>
      <c r="I20" s="925">
        <v>0</v>
      </c>
      <c r="J20" s="925">
        <v>0</v>
      </c>
      <c r="K20" s="925">
        <v>-77939.382499999992</v>
      </c>
      <c r="L20" s="925">
        <v>-7364.5589578590007</v>
      </c>
      <c r="M20" s="926">
        <v>-127612.53231958374</v>
      </c>
      <c r="N20" s="389"/>
      <c r="O20" s="392"/>
      <c r="P20" s="394"/>
      <c r="Q20" s="393"/>
      <c r="R20" s="393"/>
      <c r="S20" s="395"/>
    </row>
    <row r="21" spans="1:19" ht="15.75">
      <c r="A21" s="369">
        <f t="shared" si="0"/>
        <v>7</v>
      </c>
      <c r="B21" s="370" t="s">
        <v>478</v>
      </c>
      <c r="C21" s="373" t="s">
        <v>93</v>
      </c>
      <c r="D21" s="920">
        <v>2020</v>
      </c>
      <c r="E21" s="386">
        <v>0.50684931506849318</v>
      </c>
      <c r="F21" s="925">
        <v>0</v>
      </c>
      <c r="G21" s="925">
        <v>-209279.97265445758</v>
      </c>
      <c r="H21" s="925">
        <v>-209279.97265445758</v>
      </c>
      <c r="I21" s="925">
        <v>0</v>
      </c>
      <c r="J21" s="925">
        <v>0</v>
      </c>
      <c r="K21" s="925">
        <v>-77939.382499999992</v>
      </c>
      <c r="L21" s="925">
        <v>-7364.5589578590007</v>
      </c>
      <c r="M21" s="926">
        <v>-109806.13246103718</v>
      </c>
      <c r="N21" s="389"/>
      <c r="O21" s="392"/>
      <c r="P21" s="394"/>
      <c r="Q21" s="393"/>
      <c r="R21" s="393"/>
      <c r="S21" s="395"/>
    </row>
    <row r="22" spans="1:19" ht="15.75">
      <c r="A22" s="369">
        <f t="shared" si="0"/>
        <v>8</v>
      </c>
      <c r="B22" s="370" t="s">
        <v>478</v>
      </c>
      <c r="C22" s="373" t="s">
        <v>81</v>
      </c>
      <c r="D22" s="920">
        <v>2020</v>
      </c>
      <c r="E22" s="386">
        <v>0.42191780821917807</v>
      </c>
      <c r="F22" s="925">
        <v>0</v>
      </c>
      <c r="G22" s="925">
        <v>-209279.97265445758</v>
      </c>
      <c r="H22" s="925">
        <v>-209279.97265445758</v>
      </c>
      <c r="I22" s="925">
        <v>0</v>
      </c>
      <c r="J22" s="925">
        <v>0</v>
      </c>
      <c r="K22" s="925">
        <v>-77939.382499999992</v>
      </c>
      <c r="L22" s="925">
        <v>-7364.5589578590007</v>
      </c>
      <c r="M22" s="926">
        <v>-91406.185940539042</v>
      </c>
      <c r="N22" s="389"/>
      <c r="O22" s="392"/>
      <c r="P22" s="394"/>
      <c r="Q22" s="393"/>
      <c r="R22" s="393"/>
      <c r="S22" s="395"/>
    </row>
    <row r="23" spans="1:19" ht="15.75">
      <c r="A23" s="369">
        <f t="shared" si="0"/>
        <v>9</v>
      </c>
      <c r="B23" s="370" t="s">
        <v>478</v>
      </c>
      <c r="C23" s="373" t="s">
        <v>80</v>
      </c>
      <c r="D23" s="920">
        <v>2020</v>
      </c>
      <c r="E23" s="386">
        <v>0.33698630136986302</v>
      </c>
      <c r="F23" s="925">
        <v>0</v>
      </c>
      <c r="G23" s="925">
        <v>-209279.97265445758</v>
      </c>
      <c r="H23" s="925">
        <v>-209279.97265445758</v>
      </c>
      <c r="I23" s="925">
        <v>0</v>
      </c>
      <c r="J23" s="925">
        <v>0</v>
      </c>
      <c r="K23" s="925">
        <v>-77939.382499999992</v>
      </c>
      <c r="L23" s="925">
        <v>-7364.5589578590007</v>
      </c>
      <c r="M23" s="926">
        <v>-73006.239420040933</v>
      </c>
      <c r="N23" s="389"/>
      <c r="O23" s="392"/>
      <c r="P23" s="394"/>
      <c r="Q23" s="393"/>
      <c r="R23" s="393"/>
      <c r="S23" s="395"/>
    </row>
    <row r="24" spans="1:19" ht="15.75">
      <c r="A24" s="369">
        <f t="shared" si="0"/>
        <v>10</v>
      </c>
      <c r="B24" s="370" t="s">
        <v>478</v>
      </c>
      <c r="C24" s="373" t="s">
        <v>79</v>
      </c>
      <c r="D24" s="920">
        <v>2020</v>
      </c>
      <c r="E24" s="386">
        <v>0.25479452054794521</v>
      </c>
      <c r="F24" s="925">
        <v>0</v>
      </c>
      <c r="G24" s="925">
        <v>-209279.97265445758</v>
      </c>
      <c r="H24" s="925">
        <v>-209279.97265445758</v>
      </c>
      <c r="I24" s="925">
        <v>0</v>
      </c>
      <c r="J24" s="925">
        <v>0</v>
      </c>
      <c r="K24" s="925">
        <v>-77939.382499999992</v>
      </c>
      <c r="L24" s="925">
        <v>-7364.5589578590007</v>
      </c>
      <c r="M24" s="926">
        <v>-55199.839561494366</v>
      </c>
      <c r="N24" s="389"/>
      <c r="O24" s="392"/>
      <c r="P24" s="394"/>
      <c r="Q24" s="393"/>
      <c r="R24" s="393"/>
      <c r="S24" s="395"/>
    </row>
    <row r="25" spans="1:19" ht="15.75">
      <c r="A25" s="369">
        <f t="shared" si="0"/>
        <v>11</v>
      </c>
      <c r="B25" s="370" t="s">
        <v>478</v>
      </c>
      <c r="C25" s="373" t="s">
        <v>85</v>
      </c>
      <c r="D25" s="920">
        <v>2020</v>
      </c>
      <c r="E25" s="386">
        <v>0.16986301369863013</v>
      </c>
      <c r="F25" s="925">
        <v>0</v>
      </c>
      <c r="G25" s="925">
        <v>-209279.97265445758</v>
      </c>
      <c r="H25" s="925">
        <v>-209279.97265445758</v>
      </c>
      <c r="I25" s="925">
        <v>0</v>
      </c>
      <c r="J25" s="925">
        <v>0</v>
      </c>
      <c r="K25" s="925">
        <v>-77939.382499999992</v>
      </c>
      <c r="L25" s="925">
        <v>-7364.5589578590007</v>
      </c>
      <c r="M25" s="926">
        <v>-36799.893040996241</v>
      </c>
      <c r="N25" s="389"/>
      <c r="O25" s="392"/>
      <c r="P25" s="394"/>
      <c r="Q25" s="393"/>
      <c r="R25" s="393"/>
      <c r="S25" s="395"/>
    </row>
    <row r="26" spans="1:19" ht="15.75">
      <c r="A26" s="369">
        <f t="shared" si="0"/>
        <v>12</v>
      </c>
      <c r="B26" s="370" t="s">
        <v>478</v>
      </c>
      <c r="C26" s="373" t="s">
        <v>78</v>
      </c>
      <c r="D26" s="920">
        <v>2020</v>
      </c>
      <c r="E26" s="386">
        <v>8.7671232876712329E-2</v>
      </c>
      <c r="F26" s="925">
        <v>0</v>
      </c>
      <c r="G26" s="925">
        <v>-209279.97265445758</v>
      </c>
      <c r="H26" s="925">
        <v>-209279.97265445758</v>
      </c>
      <c r="I26" s="925">
        <v>0</v>
      </c>
      <c r="J26" s="925">
        <v>0</v>
      </c>
      <c r="K26" s="925">
        <v>-77939.382499999992</v>
      </c>
      <c r="L26" s="925">
        <v>-7364.5589578590007</v>
      </c>
      <c r="M26" s="926">
        <v>-18993.493182449674</v>
      </c>
      <c r="N26" s="389"/>
      <c r="O26" s="392"/>
      <c r="P26" s="394"/>
      <c r="Q26" s="393"/>
      <c r="R26" s="393"/>
      <c r="S26" s="395"/>
    </row>
    <row r="27" spans="1:19" ht="15.75">
      <c r="A27" s="369">
        <f t="shared" si="0"/>
        <v>13</v>
      </c>
      <c r="B27" s="370" t="s">
        <v>478</v>
      </c>
      <c r="C27" s="370" t="str">
        <f>+C15</f>
        <v xml:space="preserve">December </v>
      </c>
      <c r="D27" s="920">
        <v>2020</v>
      </c>
      <c r="E27" s="386">
        <v>2.7397260273972603E-3</v>
      </c>
      <c r="F27" s="925">
        <v>0</v>
      </c>
      <c r="G27" s="925">
        <v>-209279.97265445758</v>
      </c>
      <c r="H27" s="925">
        <v>-209279.97265445758</v>
      </c>
      <c r="I27" s="925">
        <v>0</v>
      </c>
      <c r="J27" s="925">
        <v>0</v>
      </c>
      <c r="K27" s="925">
        <v>-77939.382499999992</v>
      </c>
      <c r="L27" s="925">
        <v>-7364.5589578590007</v>
      </c>
      <c r="M27" s="926">
        <v>-593.54666195155232</v>
      </c>
      <c r="N27" s="389"/>
      <c r="O27" s="392"/>
      <c r="P27" s="394"/>
      <c r="Q27" s="393"/>
      <c r="R27" s="393"/>
      <c r="S27" s="395"/>
    </row>
    <row r="28" spans="1:19" ht="15.75">
      <c r="A28" s="369">
        <f t="shared" si="0"/>
        <v>14</v>
      </c>
      <c r="B28" s="370" t="s">
        <v>479</v>
      </c>
      <c r="D28" s="920">
        <v>2020</v>
      </c>
      <c r="E28" s="396" t="s">
        <v>477</v>
      </c>
      <c r="F28" s="397">
        <f>SUM(F15:F27)</f>
        <v>0</v>
      </c>
      <c r="G28" s="397">
        <f>SUM(G15:G27)</f>
        <v>-202901502.55548266</v>
      </c>
      <c r="H28" s="397">
        <f>SUM(H15:H27)</f>
        <v>-202901502.55548266</v>
      </c>
      <c r="I28" s="397">
        <f>SUM(I15:I27)</f>
        <v>0</v>
      </c>
      <c r="J28" s="397">
        <f>+J12*I28</f>
        <v>0</v>
      </c>
      <c r="K28" s="397">
        <f>SUM(K15:K27)</f>
        <v>-32133768.413320541</v>
      </c>
      <c r="L28" s="397">
        <f>SUM(L15:L27)</f>
        <v>-3036347.2794782068</v>
      </c>
      <c r="M28" s="397">
        <f>SUM(M15:M27)</f>
        <v>-204542421.63271266</v>
      </c>
      <c r="O28" s="392"/>
      <c r="P28" s="394"/>
      <c r="Q28" s="393"/>
      <c r="R28" s="393"/>
      <c r="S28" s="395"/>
    </row>
    <row r="29" spans="1:19" ht="15.75">
      <c r="A29" s="369">
        <f t="shared" si="0"/>
        <v>15</v>
      </c>
      <c r="B29" s="370" t="s">
        <v>478</v>
      </c>
      <c r="C29" s="370" t="s">
        <v>967</v>
      </c>
      <c r="D29" s="920">
        <v>2020</v>
      </c>
      <c r="E29" s="396"/>
      <c r="F29" s="396"/>
      <c r="G29" s="924">
        <v>-7334376.7766212737</v>
      </c>
      <c r="H29" s="925">
        <v>-7334376.7766212737</v>
      </c>
      <c r="I29" s="926">
        <v>0</v>
      </c>
      <c r="J29" s="925">
        <v>0</v>
      </c>
      <c r="K29" s="924">
        <v>0</v>
      </c>
      <c r="L29" s="925">
        <v>0</v>
      </c>
      <c r="M29" s="926">
        <v>-7334376.7766212737</v>
      </c>
      <c r="O29" s="392"/>
      <c r="P29" s="394"/>
      <c r="Q29" s="393"/>
      <c r="R29" s="393"/>
      <c r="S29" s="395"/>
    </row>
    <row r="30" spans="1:19">
      <c r="A30" s="369">
        <f t="shared" si="0"/>
        <v>16</v>
      </c>
      <c r="B30" s="370" t="s">
        <v>13</v>
      </c>
      <c r="D30" s="398"/>
      <c r="G30" s="399">
        <f t="shared" ref="G30:L30" si="1">SUM(G28:G29)</f>
        <v>-210235879.33210394</v>
      </c>
      <c r="H30" s="399">
        <f t="shared" si="1"/>
        <v>-210235879.33210394</v>
      </c>
      <c r="I30" s="399">
        <f t="shared" si="1"/>
        <v>0</v>
      </c>
      <c r="J30" s="399">
        <f t="shared" si="1"/>
        <v>0</v>
      </c>
      <c r="K30" s="399">
        <f t="shared" si="1"/>
        <v>-32133768.413320541</v>
      </c>
      <c r="L30" s="399">
        <f t="shared" si="1"/>
        <v>-3036347.2794782068</v>
      </c>
      <c r="M30" s="399">
        <f>SUM(M28:M29)</f>
        <v>-211876798.40933394</v>
      </c>
    </row>
    <row r="31" spans="1:19">
      <c r="B31" s="373"/>
      <c r="C31" s="385" t="s">
        <v>480</v>
      </c>
      <c r="D31" s="398"/>
    </row>
    <row r="32" spans="1:19">
      <c r="A32" s="369">
        <f>A30+1</f>
        <v>17</v>
      </c>
      <c r="B32" s="373" t="s">
        <v>477</v>
      </c>
      <c r="C32" s="373" t="s">
        <v>196</v>
      </c>
      <c r="D32" s="920">
        <v>2019</v>
      </c>
      <c r="F32" s="921">
        <v>0</v>
      </c>
      <c r="G32" s="921">
        <v>0</v>
      </c>
      <c r="H32" s="921">
        <v>0</v>
      </c>
      <c r="I32" s="921">
        <v>-5165133.0714999996</v>
      </c>
      <c r="J32" s="921">
        <v>-956020.30628460762</v>
      </c>
      <c r="K32" s="921">
        <v>-104384870.66503523</v>
      </c>
      <c r="L32" s="921">
        <v>-9863415.7682881132</v>
      </c>
      <c r="M32" s="923">
        <v>-10819436.074572721</v>
      </c>
    </row>
    <row r="33" spans="1:19">
      <c r="A33" s="369">
        <f t="shared" ref="A33:A34" si="2">+A32+1</f>
        <v>18</v>
      </c>
      <c r="B33" s="373" t="s">
        <v>477</v>
      </c>
      <c r="C33" s="373" t="str">
        <f>+C32</f>
        <v xml:space="preserve">December </v>
      </c>
      <c r="D33" s="920">
        <v>2020</v>
      </c>
      <c r="F33" s="921">
        <v>0</v>
      </c>
      <c r="G33" s="921">
        <v>0</v>
      </c>
      <c r="H33" s="921">
        <v>0</v>
      </c>
      <c r="I33" s="921">
        <v>-4790922.7114999993</v>
      </c>
      <c r="J33" s="921">
        <v>-886757.28865664569</v>
      </c>
      <c r="K33" s="921">
        <v>-106347739.40844083</v>
      </c>
      <c r="L33" s="921">
        <v>-10048888.915799245</v>
      </c>
      <c r="M33" s="923">
        <v>-10935646.204455892</v>
      </c>
    </row>
    <row r="34" spans="1:19">
      <c r="A34" s="369">
        <f t="shared" si="2"/>
        <v>19</v>
      </c>
      <c r="B34" s="373"/>
      <c r="C34" s="373" t="s">
        <v>481</v>
      </c>
      <c r="D34" s="398"/>
      <c r="F34" s="397">
        <f t="shared" ref="F34:L34" si="3">+F32/2+F33/2</f>
        <v>0</v>
      </c>
      <c r="G34" s="397">
        <f t="shared" si="3"/>
        <v>0</v>
      </c>
      <c r="H34" s="397">
        <f t="shared" si="3"/>
        <v>0</v>
      </c>
      <c r="I34" s="397">
        <f t="shared" si="3"/>
        <v>-4978027.8914999999</v>
      </c>
      <c r="J34" s="397">
        <f t="shared" si="3"/>
        <v>-921388.79747062665</v>
      </c>
      <c r="K34" s="397">
        <f t="shared" si="3"/>
        <v>-105366305.03673804</v>
      </c>
      <c r="L34" s="397">
        <f t="shared" si="3"/>
        <v>-9956152.3420436792</v>
      </c>
      <c r="M34" s="400">
        <f>+L34+J34+H34</f>
        <v>-10877541.139514307</v>
      </c>
    </row>
    <row r="35" spans="1:19">
      <c r="B35" s="373"/>
      <c r="C35" s="373"/>
      <c r="D35" s="398"/>
      <c r="E35" s="397"/>
      <c r="G35" s="401"/>
      <c r="H35" s="397"/>
      <c r="I35" s="397"/>
      <c r="J35" s="397"/>
      <c r="K35" s="397"/>
    </row>
    <row r="36" spans="1:19">
      <c r="B36" s="373"/>
      <c r="C36" s="373"/>
      <c r="D36" s="398"/>
      <c r="E36" s="397"/>
      <c r="F36" s="397"/>
      <c r="G36" s="397"/>
      <c r="I36" s="401"/>
      <c r="J36" s="397"/>
      <c r="K36" s="397"/>
    </row>
    <row r="37" spans="1:19">
      <c r="B37" s="373"/>
      <c r="C37" s="385" t="s">
        <v>482</v>
      </c>
      <c r="D37" s="398"/>
    </row>
    <row r="38" spans="1:19">
      <c r="A38" s="369">
        <f>A34+1</f>
        <v>20</v>
      </c>
      <c r="B38" s="373" t="s">
        <v>477</v>
      </c>
      <c r="C38" s="373" t="s">
        <v>196</v>
      </c>
      <c r="D38" s="920">
        <v>2019</v>
      </c>
      <c r="F38" s="397" t="s">
        <v>703</v>
      </c>
      <c r="G38" s="397" t="s">
        <v>703</v>
      </c>
      <c r="H38" s="397" t="s">
        <v>703</v>
      </c>
      <c r="I38" s="397" t="s">
        <v>703</v>
      </c>
      <c r="J38" s="397" t="s">
        <v>703</v>
      </c>
      <c r="K38" s="397" t="s">
        <v>703</v>
      </c>
      <c r="L38" s="397" t="s">
        <v>703</v>
      </c>
      <c r="M38" s="397" t="s">
        <v>703</v>
      </c>
    </row>
    <row r="39" spans="1:19">
      <c r="A39" s="369">
        <f t="shared" ref="A39:A40" si="4">+A38+1</f>
        <v>21</v>
      </c>
      <c r="B39" s="373" t="s">
        <v>477</v>
      </c>
      <c r="C39" s="373" t="str">
        <f>+C38</f>
        <v xml:space="preserve">December </v>
      </c>
      <c r="D39" s="920">
        <v>2020</v>
      </c>
      <c r="F39" s="397" t="s">
        <v>703</v>
      </c>
      <c r="G39" s="397" t="s">
        <v>703</v>
      </c>
      <c r="H39" s="397" t="s">
        <v>703</v>
      </c>
      <c r="I39" s="397" t="s">
        <v>703</v>
      </c>
      <c r="J39" s="397" t="s">
        <v>703</v>
      </c>
      <c r="K39" s="397" t="s">
        <v>703</v>
      </c>
      <c r="L39" s="397" t="s">
        <v>703</v>
      </c>
      <c r="M39" s="397" t="s">
        <v>703</v>
      </c>
    </row>
    <row r="40" spans="1:19">
      <c r="A40" s="369">
        <f t="shared" si="4"/>
        <v>22</v>
      </c>
      <c r="B40" s="373"/>
      <c r="C40" s="373" t="s">
        <v>481</v>
      </c>
      <c r="D40" s="398"/>
      <c r="F40" s="397" t="s">
        <v>703</v>
      </c>
      <c r="G40" s="397" t="s">
        <v>703</v>
      </c>
      <c r="H40" s="397" t="s">
        <v>703</v>
      </c>
      <c r="I40" s="397" t="s">
        <v>703</v>
      </c>
      <c r="J40" s="397" t="s">
        <v>703</v>
      </c>
      <c r="K40" s="397" t="s">
        <v>703</v>
      </c>
      <c r="L40" s="397" t="s">
        <v>703</v>
      </c>
      <c r="M40" s="397" t="s">
        <v>703</v>
      </c>
    </row>
    <row r="41" spans="1:19">
      <c r="B41" s="373"/>
      <c r="C41" s="373"/>
      <c r="D41" s="398"/>
      <c r="E41" s="397"/>
      <c r="F41" s="397"/>
      <c r="G41" s="397"/>
      <c r="H41" s="397"/>
      <c r="I41" s="397"/>
      <c r="J41" s="397"/>
      <c r="K41" s="397"/>
      <c r="L41" s="400"/>
    </row>
    <row r="42" spans="1:19">
      <c r="B42" s="373"/>
      <c r="C42" s="373"/>
      <c r="D42" s="398"/>
      <c r="E42" s="402"/>
      <c r="F42" s="402"/>
      <c r="G42" s="402"/>
      <c r="H42" s="402"/>
      <c r="I42" s="402"/>
      <c r="J42" s="402"/>
      <c r="K42" s="402"/>
    </row>
    <row r="43" spans="1:19">
      <c r="B43" s="373"/>
      <c r="C43" s="385" t="s">
        <v>483</v>
      </c>
      <c r="D43" s="398"/>
      <c r="E43" s="402"/>
      <c r="F43" s="402"/>
      <c r="G43" s="402"/>
      <c r="H43" s="402"/>
      <c r="I43" s="402"/>
      <c r="J43" s="402"/>
      <c r="K43" s="402"/>
    </row>
    <row r="44" spans="1:19" ht="15.75">
      <c r="A44" s="369">
        <f>+A40+1</f>
        <v>23</v>
      </c>
      <c r="B44" s="370" t="s">
        <v>477</v>
      </c>
      <c r="C44" s="370" t="s">
        <v>196</v>
      </c>
      <c r="D44" s="920">
        <v>2019</v>
      </c>
      <c r="E44" s="386">
        <v>1</v>
      </c>
      <c r="F44" s="921">
        <v>0</v>
      </c>
      <c r="G44" s="921">
        <v>0</v>
      </c>
      <c r="H44" s="921">
        <v>0</v>
      </c>
      <c r="I44" s="921">
        <v>19259192.784540229</v>
      </c>
      <c r="J44" s="921">
        <v>3564705.716153678</v>
      </c>
      <c r="K44" s="921">
        <v>116408740.36</v>
      </c>
      <c r="L44" s="921">
        <v>10999561.506550565</v>
      </c>
      <c r="M44" s="922">
        <v>14564267.222704243</v>
      </c>
      <c r="N44" s="399"/>
      <c r="O44" s="403"/>
      <c r="P44" s="403"/>
      <c r="Q44" s="403"/>
      <c r="R44" s="403"/>
      <c r="S44" s="403"/>
    </row>
    <row r="45" spans="1:19" ht="15.75">
      <c r="A45" s="369">
        <f>+A44+1</f>
        <v>24</v>
      </c>
      <c r="B45" s="370" t="s">
        <v>478</v>
      </c>
      <c r="C45" s="370" t="s">
        <v>84</v>
      </c>
      <c r="D45" s="920">
        <v>2020</v>
      </c>
      <c r="E45" s="386">
        <v>0.9178082191780822</v>
      </c>
      <c r="F45" s="921">
        <v>0</v>
      </c>
      <c r="G45" s="921">
        <v>0</v>
      </c>
      <c r="H45" s="921">
        <v>0</v>
      </c>
      <c r="I45" s="921">
        <v>0</v>
      </c>
      <c r="J45" s="921">
        <v>0</v>
      </c>
      <c r="K45" s="921">
        <v>0</v>
      </c>
      <c r="L45" s="921">
        <v>0</v>
      </c>
      <c r="M45" s="922">
        <v>0</v>
      </c>
      <c r="N45" s="389"/>
      <c r="O45" s="404"/>
      <c r="P45" s="403"/>
      <c r="Q45" s="403"/>
      <c r="R45" s="403"/>
      <c r="S45" s="404"/>
    </row>
    <row r="46" spans="1:19" ht="15.75">
      <c r="A46" s="369">
        <f t="shared" ref="A46:A56" si="5">+A45+1</f>
        <v>25</v>
      </c>
      <c r="B46" s="370" t="s">
        <v>478</v>
      </c>
      <c r="C46" s="373" t="s">
        <v>83</v>
      </c>
      <c r="D46" s="920">
        <v>2020</v>
      </c>
      <c r="E46" s="386">
        <v>0.84109589041095889</v>
      </c>
      <c r="F46" s="921">
        <v>0</v>
      </c>
      <c r="G46" s="921">
        <v>0</v>
      </c>
      <c r="H46" s="921">
        <v>0</v>
      </c>
      <c r="I46" s="921">
        <v>0</v>
      </c>
      <c r="J46" s="921">
        <v>0</v>
      </c>
      <c r="K46" s="921">
        <v>0</v>
      </c>
      <c r="L46" s="921">
        <v>0</v>
      </c>
      <c r="M46" s="922">
        <v>0</v>
      </c>
      <c r="N46" s="389"/>
      <c r="O46" s="404"/>
      <c r="P46" s="403"/>
      <c r="Q46" s="403"/>
      <c r="R46" s="403"/>
      <c r="S46" s="404"/>
    </row>
    <row r="47" spans="1:19" ht="15.75">
      <c r="A47" s="369">
        <f t="shared" si="5"/>
        <v>26</v>
      </c>
      <c r="B47" s="370" t="s">
        <v>478</v>
      </c>
      <c r="C47" s="373" t="s">
        <v>82</v>
      </c>
      <c r="D47" s="920">
        <v>2020</v>
      </c>
      <c r="E47" s="386">
        <v>0.75616438356164384</v>
      </c>
      <c r="F47" s="921">
        <v>0</v>
      </c>
      <c r="G47" s="921">
        <v>0</v>
      </c>
      <c r="H47" s="921">
        <v>0</v>
      </c>
      <c r="I47" s="921">
        <v>0</v>
      </c>
      <c r="J47" s="921">
        <v>0</v>
      </c>
      <c r="K47" s="921">
        <v>0</v>
      </c>
      <c r="L47" s="921">
        <v>0</v>
      </c>
      <c r="M47" s="922">
        <v>0</v>
      </c>
      <c r="N47" s="389"/>
      <c r="O47" s="404"/>
      <c r="P47" s="403"/>
      <c r="Q47" s="403"/>
      <c r="R47" s="403"/>
      <c r="S47" s="404"/>
    </row>
    <row r="48" spans="1:19" ht="15.75">
      <c r="A48" s="369">
        <f t="shared" si="5"/>
        <v>27</v>
      </c>
      <c r="B48" s="370" t="s">
        <v>478</v>
      </c>
      <c r="C48" s="373" t="s">
        <v>74</v>
      </c>
      <c r="D48" s="920">
        <v>2020</v>
      </c>
      <c r="E48" s="386">
        <v>0.67397260273972603</v>
      </c>
      <c r="F48" s="921">
        <v>0</v>
      </c>
      <c r="G48" s="921">
        <v>0</v>
      </c>
      <c r="H48" s="921">
        <v>0</v>
      </c>
      <c r="I48" s="921">
        <v>0</v>
      </c>
      <c r="J48" s="921">
        <v>0</v>
      </c>
      <c r="K48" s="921">
        <v>0</v>
      </c>
      <c r="L48" s="921">
        <v>0</v>
      </c>
      <c r="M48" s="922">
        <v>0</v>
      </c>
      <c r="N48" s="389"/>
      <c r="O48" s="404"/>
      <c r="P48" s="403"/>
      <c r="Q48" s="403"/>
      <c r="R48" s="403"/>
      <c r="S48" s="404"/>
    </row>
    <row r="49" spans="1:19" ht="15.75">
      <c r="A49" s="369">
        <f t="shared" si="5"/>
        <v>28</v>
      </c>
      <c r="B49" s="370" t="s">
        <v>478</v>
      </c>
      <c r="C49" s="373" t="s">
        <v>73</v>
      </c>
      <c r="D49" s="920">
        <v>2020</v>
      </c>
      <c r="E49" s="386">
        <v>0.58904109589041098</v>
      </c>
      <c r="F49" s="921">
        <v>0</v>
      </c>
      <c r="G49" s="921">
        <v>0</v>
      </c>
      <c r="H49" s="921">
        <v>0</v>
      </c>
      <c r="I49" s="921">
        <v>0</v>
      </c>
      <c r="J49" s="921">
        <v>0</v>
      </c>
      <c r="K49" s="921">
        <v>0</v>
      </c>
      <c r="L49" s="921">
        <v>0</v>
      </c>
      <c r="M49" s="922">
        <v>0</v>
      </c>
      <c r="N49" s="389"/>
      <c r="O49" s="404"/>
      <c r="P49" s="403"/>
      <c r="Q49" s="403"/>
      <c r="R49" s="403"/>
      <c r="S49" s="404"/>
    </row>
    <row r="50" spans="1:19" ht="15.75">
      <c r="A50" s="369">
        <f t="shared" si="5"/>
        <v>29</v>
      </c>
      <c r="B50" s="370" t="s">
        <v>478</v>
      </c>
      <c r="C50" s="373" t="s">
        <v>93</v>
      </c>
      <c r="D50" s="920">
        <v>2020</v>
      </c>
      <c r="E50" s="386">
        <v>0.50684931506849318</v>
      </c>
      <c r="F50" s="921">
        <v>0</v>
      </c>
      <c r="G50" s="921">
        <v>0</v>
      </c>
      <c r="H50" s="921">
        <v>0</v>
      </c>
      <c r="I50" s="921">
        <v>0</v>
      </c>
      <c r="J50" s="921">
        <v>0</v>
      </c>
      <c r="K50" s="921">
        <v>0</v>
      </c>
      <c r="L50" s="921">
        <v>0</v>
      </c>
      <c r="M50" s="922">
        <v>0</v>
      </c>
      <c r="N50" s="389"/>
      <c r="O50" s="404"/>
      <c r="P50" s="403"/>
      <c r="Q50" s="403"/>
      <c r="R50" s="403"/>
      <c r="S50" s="404"/>
    </row>
    <row r="51" spans="1:19" ht="15.75">
      <c r="A51" s="369">
        <f t="shared" si="5"/>
        <v>30</v>
      </c>
      <c r="B51" s="370" t="s">
        <v>478</v>
      </c>
      <c r="C51" s="373" t="s">
        <v>81</v>
      </c>
      <c r="D51" s="920">
        <v>2020</v>
      </c>
      <c r="E51" s="386">
        <v>0.42191780821917807</v>
      </c>
      <c r="F51" s="921">
        <v>0</v>
      </c>
      <c r="G51" s="921">
        <v>0</v>
      </c>
      <c r="H51" s="921">
        <v>0</v>
      </c>
      <c r="I51" s="921">
        <v>0</v>
      </c>
      <c r="J51" s="921">
        <v>0</v>
      </c>
      <c r="K51" s="921">
        <v>0</v>
      </c>
      <c r="L51" s="921">
        <v>0</v>
      </c>
      <c r="M51" s="922">
        <v>0</v>
      </c>
      <c r="N51" s="389"/>
      <c r="O51" s="404"/>
      <c r="P51" s="403"/>
      <c r="Q51" s="403"/>
      <c r="R51" s="403"/>
      <c r="S51" s="404"/>
    </row>
    <row r="52" spans="1:19" ht="15.75">
      <c r="A52" s="369">
        <f t="shared" si="5"/>
        <v>31</v>
      </c>
      <c r="B52" s="370" t="s">
        <v>478</v>
      </c>
      <c r="C52" s="373" t="s">
        <v>80</v>
      </c>
      <c r="D52" s="920">
        <v>2020</v>
      </c>
      <c r="E52" s="386">
        <v>0.33698630136986302</v>
      </c>
      <c r="F52" s="921">
        <v>0</v>
      </c>
      <c r="G52" s="921">
        <v>0</v>
      </c>
      <c r="H52" s="921">
        <v>0</v>
      </c>
      <c r="I52" s="921">
        <v>0</v>
      </c>
      <c r="J52" s="921">
        <v>0</v>
      </c>
      <c r="K52" s="921">
        <v>0</v>
      </c>
      <c r="L52" s="921">
        <v>0</v>
      </c>
      <c r="M52" s="922">
        <v>0</v>
      </c>
      <c r="N52" s="389"/>
      <c r="O52" s="404"/>
      <c r="P52" s="403"/>
      <c r="Q52" s="403"/>
      <c r="R52" s="403"/>
      <c r="S52" s="404"/>
    </row>
    <row r="53" spans="1:19" ht="15.75">
      <c r="A53" s="369">
        <f t="shared" si="5"/>
        <v>32</v>
      </c>
      <c r="B53" s="370" t="s">
        <v>478</v>
      </c>
      <c r="C53" s="373" t="s">
        <v>79</v>
      </c>
      <c r="D53" s="920">
        <v>2020</v>
      </c>
      <c r="E53" s="386">
        <v>0.25479452054794521</v>
      </c>
      <c r="F53" s="921">
        <v>0</v>
      </c>
      <c r="G53" s="921">
        <v>0</v>
      </c>
      <c r="H53" s="921">
        <v>0</v>
      </c>
      <c r="I53" s="921">
        <v>0</v>
      </c>
      <c r="J53" s="921">
        <v>0</v>
      </c>
      <c r="K53" s="921">
        <v>0</v>
      </c>
      <c r="L53" s="921">
        <v>0</v>
      </c>
      <c r="M53" s="922">
        <v>0</v>
      </c>
      <c r="N53" s="389"/>
      <c r="O53" s="404"/>
      <c r="P53" s="403"/>
      <c r="Q53" s="403"/>
      <c r="R53" s="403"/>
      <c r="S53" s="404"/>
    </row>
    <row r="54" spans="1:19" ht="15.75">
      <c r="A54" s="369">
        <f t="shared" si="5"/>
        <v>33</v>
      </c>
      <c r="B54" s="370" t="s">
        <v>478</v>
      </c>
      <c r="C54" s="373" t="s">
        <v>85</v>
      </c>
      <c r="D54" s="920">
        <v>2020</v>
      </c>
      <c r="E54" s="386">
        <v>0.16986301369863013</v>
      </c>
      <c r="F54" s="921">
        <v>0</v>
      </c>
      <c r="G54" s="921">
        <v>0</v>
      </c>
      <c r="H54" s="921">
        <v>0</v>
      </c>
      <c r="I54" s="921">
        <v>0</v>
      </c>
      <c r="J54" s="921">
        <v>0</v>
      </c>
      <c r="K54" s="921">
        <v>0</v>
      </c>
      <c r="L54" s="921">
        <v>0</v>
      </c>
      <c r="M54" s="922">
        <v>0</v>
      </c>
      <c r="N54" s="389"/>
      <c r="O54" s="404"/>
      <c r="P54" s="403"/>
      <c r="Q54" s="403"/>
      <c r="R54" s="403"/>
      <c r="S54" s="404"/>
    </row>
    <row r="55" spans="1:19" ht="15.75">
      <c r="A55" s="369">
        <f t="shared" si="5"/>
        <v>34</v>
      </c>
      <c r="B55" s="370" t="s">
        <v>478</v>
      </c>
      <c r="C55" s="373" t="s">
        <v>78</v>
      </c>
      <c r="D55" s="920">
        <v>2020</v>
      </c>
      <c r="E55" s="386">
        <v>8.7671232876712329E-2</v>
      </c>
      <c r="F55" s="921">
        <v>0</v>
      </c>
      <c r="G55" s="921">
        <v>0</v>
      </c>
      <c r="H55" s="921">
        <v>0</v>
      </c>
      <c r="I55" s="921">
        <v>0</v>
      </c>
      <c r="J55" s="921">
        <v>0</v>
      </c>
      <c r="K55" s="921">
        <v>0</v>
      </c>
      <c r="L55" s="921">
        <v>0</v>
      </c>
      <c r="M55" s="922">
        <v>0</v>
      </c>
      <c r="N55" s="389"/>
      <c r="O55" s="404"/>
      <c r="P55" s="403"/>
      <c r="Q55" s="403"/>
      <c r="R55" s="403"/>
      <c r="S55" s="404"/>
    </row>
    <row r="56" spans="1:19" ht="15.75">
      <c r="A56" s="369">
        <f t="shared" si="5"/>
        <v>35</v>
      </c>
      <c r="B56" s="370" t="s">
        <v>478</v>
      </c>
      <c r="C56" s="370" t="str">
        <f>+C44</f>
        <v xml:space="preserve">December </v>
      </c>
      <c r="D56" s="920">
        <v>2020</v>
      </c>
      <c r="E56" s="386">
        <v>2.7397260273972603E-3</v>
      </c>
      <c r="F56" s="921">
        <v>0</v>
      </c>
      <c r="G56" s="921">
        <v>0</v>
      </c>
      <c r="H56" s="921">
        <v>0</v>
      </c>
      <c r="I56" s="921">
        <v>23998408.559177987</v>
      </c>
      <c r="J56" s="921">
        <v>4441892.5095429635</v>
      </c>
      <c r="K56" s="921">
        <v>107996504.838</v>
      </c>
      <c r="L56" s="921">
        <v>10204682.172355624</v>
      </c>
      <c r="M56" s="922">
        <v>14646574.681898586</v>
      </c>
      <c r="N56" s="399"/>
      <c r="O56" s="404"/>
      <c r="P56" s="403"/>
      <c r="Q56" s="403"/>
      <c r="R56" s="403"/>
      <c r="S56" s="404"/>
    </row>
    <row r="57" spans="1:19">
      <c r="A57" s="369">
        <f>+A56+1</f>
        <v>36</v>
      </c>
      <c r="B57" s="370" t="s">
        <v>479</v>
      </c>
      <c r="D57" s="920">
        <v>2020</v>
      </c>
      <c r="E57" s="396" t="s">
        <v>477</v>
      </c>
      <c r="F57" s="397">
        <f>SUM(F44:F56)</f>
        <v>0</v>
      </c>
      <c r="G57" s="396"/>
      <c r="H57" s="396"/>
      <c r="I57" s="396"/>
      <c r="J57" s="402"/>
      <c r="K57" s="402"/>
      <c r="M57" s="405">
        <f>+M44/2+M56/2</f>
        <v>14605420.952301415</v>
      </c>
    </row>
    <row r="58" spans="1:19">
      <c r="B58" s="373" t="s">
        <v>1151</v>
      </c>
      <c r="C58" s="373"/>
      <c r="D58" s="398"/>
      <c r="F58" s="397"/>
      <c r="G58" s="397"/>
      <c r="H58" s="397"/>
      <c r="I58" s="397"/>
      <c r="J58" s="397"/>
      <c r="K58" s="397"/>
      <c r="L58" s="397"/>
      <c r="M58" s="400"/>
    </row>
    <row r="59" spans="1:19">
      <c r="D59" s="406"/>
      <c r="E59" s="397"/>
      <c r="F59" s="401"/>
      <c r="G59" s="401"/>
      <c r="H59" s="397"/>
      <c r="I59" s="397"/>
      <c r="J59" s="397"/>
      <c r="K59" s="397"/>
    </row>
    <row r="60" spans="1:19">
      <c r="A60" s="369">
        <f>+A57+1</f>
        <v>37</v>
      </c>
      <c r="B60" s="370" t="s">
        <v>975</v>
      </c>
      <c r="D60" s="406"/>
      <c r="E60" s="397"/>
      <c r="F60" s="401"/>
      <c r="G60" s="401"/>
      <c r="H60" s="397"/>
      <c r="I60" s="397"/>
      <c r="J60" s="397"/>
      <c r="K60" s="397"/>
      <c r="M60" s="400">
        <f>+M30+M34+M57</f>
        <v>-208148918.59654683</v>
      </c>
    </row>
    <row r="63" spans="1:19" ht="15.75">
      <c r="M63" s="372" t="s">
        <v>484</v>
      </c>
    </row>
    <row r="64" spans="1:19" ht="15.75">
      <c r="M64" s="372" t="s">
        <v>154</v>
      </c>
    </row>
    <row r="65" spans="1:13" ht="15.75">
      <c r="A65" s="407"/>
      <c r="B65" s="408"/>
      <c r="C65" s="408"/>
      <c r="D65" s="408"/>
      <c r="E65" s="408"/>
      <c r="F65" s="408"/>
      <c r="G65" s="408" t="str">
        <f>$G$3</f>
        <v>PECO Energy Company</v>
      </c>
      <c r="H65" s="408"/>
      <c r="I65" s="408"/>
      <c r="J65" s="408"/>
      <c r="K65" s="408"/>
      <c r="L65" s="408"/>
      <c r="M65" s="408"/>
    </row>
    <row r="66" spans="1:13">
      <c r="A66" s="1056" t="s">
        <v>485</v>
      </c>
      <c r="B66" s="1056"/>
      <c r="C66" s="1056"/>
      <c r="D66" s="1056"/>
      <c r="E66" s="1056"/>
      <c r="F66" s="1056"/>
      <c r="G66" s="1056"/>
      <c r="H66" s="1056"/>
      <c r="I66" s="1056"/>
      <c r="J66" s="1056"/>
      <c r="K66" s="1056"/>
      <c r="L66" s="1056"/>
      <c r="M66" s="1056"/>
    </row>
    <row r="67" spans="1:13" ht="15.75">
      <c r="A67" s="378" t="s">
        <v>486</v>
      </c>
      <c r="K67" s="401"/>
      <c r="M67" s="372" t="s">
        <v>1618</v>
      </c>
    </row>
    <row r="68" spans="1:13">
      <c r="A68" s="377"/>
      <c r="K68" s="401"/>
    </row>
    <row r="69" spans="1:13">
      <c r="A69" s="377"/>
      <c r="K69" s="401"/>
    </row>
    <row r="70" spans="1:13">
      <c r="A70" s="377"/>
      <c r="B70" s="370" t="s">
        <v>198</v>
      </c>
      <c r="C70" s="370" t="s">
        <v>199</v>
      </c>
      <c r="D70" s="371" t="s">
        <v>200</v>
      </c>
      <c r="E70" s="369" t="s">
        <v>201</v>
      </c>
      <c r="F70" s="369" t="s">
        <v>203</v>
      </c>
      <c r="G70" s="369" t="s">
        <v>202</v>
      </c>
      <c r="H70" s="369" t="s">
        <v>204</v>
      </c>
      <c r="I70" s="369" t="s">
        <v>1152</v>
      </c>
      <c r="J70" s="369" t="s">
        <v>206</v>
      </c>
      <c r="K70" s="369" t="s">
        <v>244</v>
      </c>
      <c r="L70" s="369" t="s">
        <v>248</v>
      </c>
      <c r="M70" s="369" t="s">
        <v>453</v>
      </c>
    </row>
    <row r="71" spans="1:13">
      <c r="A71" s="377"/>
      <c r="B71" s="369" t="s">
        <v>477</v>
      </c>
      <c r="C71" s="370" t="s">
        <v>167</v>
      </c>
      <c r="D71" s="371" t="s">
        <v>75</v>
      </c>
      <c r="E71" s="369" t="s">
        <v>455</v>
      </c>
      <c r="F71" s="369" t="s">
        <v>477</v>
      </c>
      <c r="G71" s="379">
        <v>1</v>
      </c>
      <c r="H71" s="369" t="s">
        <v>457</v>
      </c>
      <c r="I71" s="369" t="s">
        <v>458</v>
      </c>
      <c r="J71" s="369" t="s">
        <v>1133</v>
      </c>
      <c r="K71" s="369" t="s">
        <v>459</v>
      </c>
      <c r="L71" s="369" t="s">
        <v>460</v>
      </c>
      <c r="M71" s="369" t="s">
        <v>227</v>
      </c>
    </row>
    <row r="72" spans="1:13">
      <c r="A72" s="377"/>
      <c r="B72" s="369"/>
      <c r="E72" s="369" t="s">
        <v>462</v>
      </c>
      <c r="F72" s="369" t="s">
        <v>487</v>
      </c>
      <c r="G72" s="369" t="s">
        <v>17</v>
      </c>
      <c r="H72" s="379" t="s">
        <v>464</v>
      </c>
      <c r="I72" s="369" t="s">
        <v>465</v>
      </c>
      <c r="J72" s="379" t="s">
        <v>466</v>
      </c>
      <c r="K72" s="369" t="s">
        <v>467</v>
      </c>
      <c r="L72" s="379" t="s">
        <v>468</v>
      </c>
      <c r="M72" s="369" t="s">
        <v>469</v>
      </c>
    </row>
    <row r="73" spans="1:13">
      <c r="A73" s="377"/>
      <c r="B73" s="369"/>
      <c r="E73" s="369"/>
      <c r="F73" s="369" t="s">
        <v>488</v>
      </c>
      <c r="G73" s="369"/>
      <c r="H73" s="380">
        <v>1</v>
      </c>
      <c r="I73" s="369"/>
      <c r="J73" s="381">
        <f>+J12</f>
        <v>0.18509112796332486</v>
      </c>
      <c r="K73" s="382"/>
      <c r="L73" s="381">
        <f>+L12</f>
        <v>9.4490855863003556E-2</v>
      </c>
      <c r="M73" s="369" t="s">
        <v>471</v>
      </c>
    </row>
    <row r="74" spans="1:13">
      <c r="A74" s="377"/>
      <c r="B74" s="369"/>
      <c r="E74" s="369"/>
      <c r="F74" s="369" t="s">
        <v>489</v>
      </c>
      <c r="G74" s="369"/>
      <c r="H74" s="383"/>
      <c r="I74" s="369"/>
      <c r="J74" s="369" t="s">
        <v>473</v>
      </c>
      <c r="K74" s="369"/>
      <c r="L74" s="369" t="s">
        <v>473</v>
      </c>
      <c r="M74" s="369"/>
    </row>
    <row r="75" spans="1:13">
      <c r="B75" s="373"/>
      <c r="C75" s="385" t="s">
        <v>474</v>
      </c>
      <c r="E75" s="369"/>
      <c r="F75" s="369"/>
      <c r="G75" s="369"/>
      <c r="H75" s="369"/>
      <c r="I75" s="369"/>
      <c r="J75" s="369" t="s">
        <v>475</v>
      </c>
      <c r="K75" s="369"/>
      <c r="L75" s="369" t="s">
        <v>476</v>
      </c>
      <c r="M75" s="369"/>
    </row>
    <row r="76" spans="1:13">
      <c r="A76" s="369">
        <f>+A60+1</f>
        <v>38</v>
      </c>
      <c r="B76" s="373" t="s">
        <v>477</v>
      </c>
      <c r="C76" s="373" t="s">
        <v>196</v>
      </c>
      <c r="D76" s="919">
        <v>2018</v>
      </c>
      <c r="F76" s="397">
        <f>'4B - ADIT BOY'!C116</f>
        <v>-1139022726.2137337</v>
      </c>
      <c r="G76" s="397">
        <f>'4B - ADIT BOY'!E116</f>
        <v>-189143728.71373379</v>
      </c>
      <c r="H76" s="397"/>
      <c r="I76" s="397">
        <f>'4B - ADIT BOY'!F116</f>
        <v>0</v>
      </c>
      <c r="J76" s="397">
        <f>+J73*I76</f>
        <v>0</v>
      </c>
      <c r="K76" s="397">
        <f>'4B - ADIT BOY'!G116</f>
        <v>-30828317.5</v>
      </c>
      <c r="L76" s="397"/>
      <c r="M76" s="397"/>
    </row>
    <row r="77" spans="1:13">
      <c r="A77" s="369">
        <f>+A76+1</f>
        <v>39</v>
      </c>
      <c r="B77" s="373" t="s">
        <v>477</v>
      </c>
      <c r="C77" s="373" t="str">
        <f>+C76</f>
        <v xml:space="preserve">December </v>
      </c>
      <c r="D77" s="919">
        <v>2019</v>
      </c>
      <c r="F77" s="397">
        <f>'4C - ADIT EOY'!C111</f>
        <v>-1261244191.7069497</v>
      </c>
      <c r="G77" s="397">
        <f>'4C - ADIT EOY'!E111</f>
        <v>-200390142.88362911</v>
      </c>
      <c r="H77" s="397"/>
      <c r="I77" s="397">
        <f>'4C - ADIT EOY'!F111</f>
        <v>0</v>
      </c>
      <c r="J77" s="397">
        <f>+I77*J73</f>
        <v>0</v>
      </c>
      <c r="K77" s="397">
        <f>'4C - ADIT EOY'!G111</f>
        <v>-31198495.823320538</v>
      </c>
      <c r="L77" s="397"/>
      <c r="M77" s="405"/>
    </row>
    <row r="78" spans="1:13">
      <c r="A78" s="369">
        <f>+A77+1</f>
        <v>40</v>
      </c>
      <c r="B78" s="373"/>
      <c r="C78" s="373" t="s">
        <v>481</v>
      </c>
      <c r="D78" s="398"/>
      <c r="F78" s="397">
        <f>+F76/2+F77/2</f>
        <v>-1200133458.9603417</v>
      </c>
      <c r="G78" s="397">
        <f>+G76/2+G77/2</f>
        <v>-194766935.79868144</v>
      </c>
      <c r="H78" s="397">
        <f>+H$12*G78</f>
        <v>-194766935.79868144</v>
      </c>
      <c r="I78" s="397">
        <f>+I76/2+I77/2</f>
        <v>0</v>
      </c>
      <c r="J78" s="397">
        <f>+I78*J$12</f>
        <v>0</v>
      </c>
      <c r="K78" s="397">
        <f>+K76/2+K77/2</f>
        <v>-31013406.661660269</v>
      </c>
      <c r="L78" s="397">
        <f>+L73*K78</f>
        <v>-2930483.3386876546</v>
      </c>
      <c r="M78" s="405">
        <f>+L78+J78+H78</f>
        <v>-197697419.1373691</v>
      </c>
    </row>
    <row r="79" spans="1:13">
      <c r="D79" s="398"/>
    </row>
    <row r="80" spans="1:13">
      <c r="D80" s="398"/>
    </row>
    <row r="81" spans="1:14">
      <c r="B81" s="373"/>
      <c r="C81" s="385" t="s">
        <v>480</v>
      </c>
      <c r="D81" s="398"/>
    </row>
    <row r="82" spans="1:14">
      <c r="A82" s="369">
        <f>+A78+1</f>
        <v>41</v>
      </c>
      <c r="B82" s="373" t="s">
        <v>477</v>
      </c>
      <c r="C82" s="373" t="s">
        <v>196</v>
      </c>
      <c r="D82" s="919">
        <v>2018</v>
      </c>
      <c r="F82" s="397">
        <f>'4B - ADIT BOY'!C177</f>
        <v>-139156935.68264332</v>
      </c>
      <c r="G82" s="397">
        <f>'4B - ADIT BOY'!E177</f>
        <v>0</v>
      </c>
      <c r="H82" s="397">
        <f>+G82*H73</f>
        <v>0</v>
      </c>
      <c r="I82" s="397">
        <f>'4B - ADIT BOY'!F177</f>
        <v>-5581934.0465911357</v>
      </c>
      <c r="J82" s="397">
        <f>+I82*J73</f>
        <v>-1033166.4689004397</v>
      </c>
      <c r="K82" s="397">
        <f>'4B - ADIT BOY'!G177</f>
        <v>-108797635.51156461</v>
      </c>
      <c r="L82" s="397">
        <f>+K82*L73</f>
        <v>-10280381.695358848</v>
      </c>
      <c r="M82" s="400"/>
    </row>
    <row r="83" spans="1:14">
      <c r="A83" s="369">
        <f>+A82+1</f>
        <v>42</v>
      </c>
      <c r="B83" s="373" t="s">
        <v>477</v>
      </c>
      <c r="C83" s="373" t="str">
        <f>+C82</f>
        <v xml:space="preserve">December </v>
      </c>
      <c r="D83" s="919">
        <v>2019</v>
      </c>
      <c r="F83" s="397">
        <f>'4C - ADIT EOY'!C171</f>
        <v>-129949789.65678923</v>
      </c>
      <c r="G83" s="397">
        <f>'4C - ADIT EOY'!E171</f>
        <v>0</v>
      </c>
      <c r="H83" s="397">
        <f>+G83*H73</f>
        <v>0</v>
      </c>
      <c r="I83" s="397">
        <f>'4C - ADIT EOY'!F171</f>
        <v>-5165133.0714999996</v>
      </c>
      <c r="J83" s="397">
        <f>+I83*J73</f>
        <v>-956020.30628460762</v>
      </c>
      <c r="K83" s="397">
        <f>'4C - ADIT EOY'!G171</f>
        <v>-104384870.66503523</v>
      </c>
      <c r="L83" s="397">
        <f>+K83*L73</f>
        <v>-9863415.7682881132</v>
      </c>
      <c r="M83" s="400"/>
    </row>
    <row r="84" spans="1:14">
      <c r="A84" s="369">
        <f>+A83+1</f>
        <v>43</v>
      </c>
      <c r="B84" s="373"/>
      <c r="C84" s="373" t="s">
        <v>481</v>
      </c>
      <c r="D84" s="398"/>
      <c r="F84" s="397">
        <f t="shared" ref="F84:L84" si="6">+F82/2+F83/2</f>
        <v>-134553362.66971627</v>
      </c>
      <c r="G84" s="397">
        <f t="shared" si="6"/>
        <v>0</v>
      </c>
      <c r="H84" s="397">
        <f t="shared" si="6"/>
        <v>0</v>
      </c>
      <c r="I84" s="397">
        <f t="shared" si="6"/>
        <v>-5373533.5590455681</v>
      </c>
      <c r="J84" s="397">
        <f t="shared" si="6"/>
        <v>-994593.38759252359</v>
      </c>
      <c r="K84" s="397">
        <f t="shared" si="6"/>
        <v>-106591253.08829993</v>
      </c>
      <c r="L84" s="397">
        <f t="shared" si="6"/>
        <v>-10071898.731823482</v>
      </c>
      <c r="M84" s="400">
        <f>+L84+J84+H84</f>
        <v>-11066492.119416006</v>
      </c>
      <c r="N84" s="402"/>
    </row>
    <row r="85" spans="1:14">
      <c r="D85" s="398"/>
      <c r="N85" s="402"/>
    </row>
    <row r="86" spans="1:14">
      <c r="D86" s="398"/>
      <c r="N86" s="402"/>
    </row>
    <row r="87" spans="1:14">
      <c r="C87" s="409" t="s">
        <v>482</v>
      </c>
      <c r="D87" s="398"/>
    </row>
    <row r="88" spans="1:14">
      <c r="A88" s="369">
        <f>+A84+1</f>
        <v>44</v>
      </c>
      <c r="B88" s="370" t="s">
        <v>477</v>
      </c>
      <c r="C88" s="370" t="s">
        <v>196</v>
      </c>
      <c r="D88" s="919">
        <v>2018</v>
      </c>
      <c r="F88" s="397" t="s">
        <v>703</v>
      </c>
      <c r="G88" s="397" t="s">
        <v>703</v>
      </c>
      <c r="H88" s="397" t="s">
        <v>703</v>
      </c>
      <c r="I88" s="397" t="s">
        <v>703</v>
      </c>
      <c r="J88" s="397" t="s">
        <v>703</v>
      </c>
      <c r="K88" s="397" t="s">
        <v>703</v>
      </c>
      <c r="L88" s="397" t="s">
        <v>703</v>
      </c>
      <c r="M88" s="397" t="s">
        <v>703</v>
      </c>
    </row>
    <row r="89" spans="1:14">
      <c r="A89" s="369">
        <f>+A88+1</f>
        <v>45</v>
      </c>
      <c r="B89" s="370" t="s">
        <v>477</v>
      </c>
      <c r="C89" s="370" t="s">
        <v>196</v>
      </c>
      <c r="D89" s="919">
        <v>2019</v>
      </c>
      <c r="F89" s="397" t="s">
        <v>703</v>
      </c>
      <c r="G89" s="397" t="s">
        <v>703</v>
      </c>
      <c r="H89" s="397" t="s">
        <v>703</v>
      </c>
      <c r="I89" s="397" t="s">
        <v>703</v>
      </c>
      <c r="J89" s="397" t="s">
        <v>703</v>
      </c>
      <c r="K89" s="397" t="s">
        <v>703</v>
      </c>
      <c r="L89" s="397" t="s">
        <v>703</v>
      </c>
      <c r="M89" s="397" t="s">
        <v>703</v>
      </c>
    </row>
    <row r="90" spans="1:14">
      <c r="A90" s="369">
        <f>+A89+1</f>
        <v>46</v>
      </c>
      <c r="C90" s="370" t="s">
        <v>481</v>
      </c>
      <c r="D90" s="398"/>
      <c r="F90" s="397" t="s">
        <v>703</v>
      </c>
      <c r="G90" s="397" t="s">
        <v>703</v>
      </c>
      <c r="H90" s="397" t="s">
        <v>703</v>
      </c>
      <c r="I90" s="397" t="s">
        <v>703</v>
      </c>
      <c r="J90" s="397" t="s">
        <v>703</v>
      </c>
      <c r="K90" s="397" t="s">
        <v>703</v>
      </c>
      <c r="L90" s="397" t="s">
        <v>703</v>
      </c>
      <c r="M90" s="397" t="s">
        <v>703</v>
      </c>
    </row>
    <row r="91" spans="1:14">
      <c r="D91" s="398"/>
    </row>
    <row r="92" spans="1:14">
      <c r="D92" s="398"/>
    </row>
    <row r="93" spans="1:14">
      <c r="C93" s="409" t="s">
        <v>483</v>
      </c>
      <c r="D93" s="398"/>
    </row>
    <row r="94" spans="1:14">
      <c r="A94" s="369">
        <f>+A90+1</f>
        <v>47</v>
      </c>
      <c r="B94" s="370" t="s">
        <v>477</v>
      </c>
      <c r="C94" s="370" t="s">
        <v>196</v>
      </c>
      <c r="D94" s="919">
        <v>2018</v>
      </c>
      <c r="F94" s="397">
        <f>'4B - ADIT BOY'!C81</f>
        <v>178589499.75512001</v>
      </c>
      <c r="G94" s="397">
        <f>'4B - ADIT BOY'!E81</f>
        <v>0</v>
      </c>
      <c r="H94" s="397">
        <f>+G94</f>
        <v>0</v>
      </c>
      <c r="I94" s="397">
        <f>'4B - ADIT BOY'!F81</f>
        <v>13690675.525985844</v>
      </c>
      <c r="J94" s="397">
        <f>+I94*J73</f>
        <v>2534022.5756846056</v>
      </c>
      <c r="K94" s="397">
        <f>'4B - ADIT BOY'!G81</f>
        <v>131938477.59999999</v>
      </c>
      <c r="L94" s="397">
        <f>+K94*L73</f>
        <v>12466979.669685723</v>
      </c>
      <c r="M94" s="400">
        <f>+L94+J94+H94</f>
        <v>15001002.245370328</v>
      </c>
    </row>
    <row r="95" spans="1:14">
      <c r="A95" s="369">
        <f>+A94+1</f>
        <v>48</v>
      </c>
      <c r="B95" s="370" t="s">
        <v>477</v>
      </c>
      <c r="C95" s="370" t="s">
        <v>196</v>
      </c>
      <c r="D95" s="919">
        <v>2019</v>
      </c>
      <c r="F95" s="397">
        <f>'4C - ADIT EOY'!C76</f>
        <v>169734783.94518024</v>
      </c>
      <c r="G95" s="397">
        <f>'4C - ADIT EOY'!E76</f>
        <v>0</v>
      </c>
      <c r="H95" s="397">
        <f>+G95</f>
        <v>0</v>
      </c>
      <c r="I95" s="397">
        <f>'4C - ADIT EOY'!F76</f>
        <v>19259192.784540229</v>
      </c>
      <c r="J95" s="397">
        <f>+I95*J73</f>
        <v>3564705.716153678</v>
      </c>
      <c r="K95" s="397">
        <f>'4C - ADIT EOY'!G76</f>
        <v>116408740.36</v>
      </c>
      <c r="L95" s="397">
        <f>+K95*L73</f>
        <v>10999561.506550565</v>
      </c>
      <c r="M95" s="400">
        <f>+L95+J95+H95</f>
        <v>14564267.222704243</v>
      </c>
    </row>
    <row r="96" spans="1:14">
      <c r="A96" s="369">
        <f>+A95+1</f>
        <v>49</v>
      </c>
      <c r="C96" s="370" t="s">
        <v>481</v>
      </c>
      <c r="F96" s="397">
        <f t="shared" ref="F96:L96" si="7">+F94/2+F95/2</f>
        <v>174162141.85015011</v>
      </c>
      <c r="G96" s="397">
        <f t="shared" si="7"/>
        <v>0</v>
      </c>
      <c r="H96" s="397">
        <f t="shared" si="7"/>
        <v>0</v>
      </c>
      <c r="I96" s="397">
        <f t="shared" si="7"/>
        <v>16474934.155263036</v>
      </c>
      <c r="J96" s="397">
        <f t="shared" si="7"/>
        <v>3049364.1459191418</v>
      </c>
      <c r="K96" s="397">
        <f t="shared" si="7"/>
        <v>124173608.97999999</v>
      </c>
      <c r="L96" s="397">
        <f t="shared" si="7"/>
        <v>11733270.588118143</v>
      </c>
      <c r="M96" s="397">
        <f>+M94/2+M95/2</f>
        <v>14782634.734037286</v>
      </c>
    </row>
    <row r="97" spans="1:13">
      <c r="J97" s="397"/>
    </row>
    <row r="98" spans="1:13" ht="15.75" thickBot="1">
      <c r="A98" s="410" t="s">
        <v>324</v>
      </c>
      <c r="L98" s="405"/>
      <c r="M98" s="405"/>
    </row>
    <row r="99" spans="1:13">
      <c r="A99" s="369" t="s">
        <v>58</v>
      </c>
      <c r="B99" s="370" t="s">
        <v>1153</v>
      </c>
      <c r="L99" s="405"/>
      <c r="M99" s="405"/>
    </row>
    <row r="100" spans="1:13">
      <c r="L100" s="405"/>
    </row>
  </sheetData>
  <sheetProtection algorithmName="SHA-512" hashValue="Tg/1IVHO6eNyyMD99Bodoblh9qjP42UsbMYI9U7qC9z07ftlE91wwZ9J1UwPwc+OuHiMrRF0APe0leCf3Kg/Ng==" saltValue="vDfu4yVT/+axDGEkIKAFCQ==" spinCount="100000" sheet="1" objects="1" scenarios="1"/>
  <mergeCells count="1">
    <mergeCell ref="A66:M66"/>
  </mergeCells>
  <pageMargins left="0.7" right="0.7" top="0.75" bottom="0.75" header="0.3" footer="0.3"/>
  <pageSetup scale="50" fitToHeight="3" orientation="landscape" r:id="rId1"/>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8"/>
  <sheetViews>
    <sheetView tabSelected="1" view="pageBreakPreview" topLeftCell="A46" zoomScale="70" zoomScaleNormal="80" zoomScaleSheetLayoutView="70" workbookViewId="0">
      <selection activeCell="D80" sqref="D80"/>
    </sheetView>
  </sheetViews>
  <sheetFormatPr defaultColWidth="8.88671875" defaultRowHeight="15"/>
  <cols>
    <col min="1" max="1" width="5.44140625" style="411" customWidth="1"/>
    <col min="2" max="2" width="43.6640625" style="371" customWidth="1"/>
    <col min="3" max="3" width="17.77734375" style="371" customWidth="1"/>
    <col min="4" max="4" width="17" style="371" customWidth="1"/>
    <col min="5" max="5" width="19.77734375" style="371" customWidth="1"/>
    <col min="6" max="7" width="16.6640625" style="371" customWidth="1"/>
    <col min="8" max="8" width="89.77734375" style="371" customWidth="1"/>
    <col min="9" max="9" width="8.88671875" style="370"/>
    <col min="10" max="10" width="9.5546875" style="370" customWidth="1"/>
    <col min="11" max="16384" width="8.88671875" style="370"/>
  </cols>
  <sheetData>
    <row r="1" spans="1:9">
      <c r="B1" s="1057" t="s">
        <v>1061</v>
      </c>
      <c r="C1" s="1058"/>
      <c r="D1" s="1058"/>
      <c r="E1" s="1058"/>
      <c r="F1" s="1058"/>
      <c r="G1" s="1058"/>
      <c r="H1" s="1058"/>
      <c r="I1" s="373"/>
    </row>
    <row r="2" spans="1:9">
      <c r="B2" s="1059" t="str">
        <f>'4A - ADIT Summary'!$G$65</f>
        <v>PECO Energy Company</v>
      </c>
      <c r="C2" s="1060"/>
      <c r="D2" s="1060"/>
      <c r="E2" s="1060"/>
      <c r="F2" s="1060"/>
      <c r="G2" s="1060"/>
      <c r="H2" s="1060"/>
      <c r="I2" s="373"/>
    </row>
    <row r="3" spans="1:9">
      <c r="B3" s="412" t="s">
        <v>490</v>
      </c>
      <c r="C3" s="413"/>
      <c r="E3" s="370"/>
      <c r="F3" s="414"/>
      <c r="G3" s="415"/>
      <c r="H3" s="416"/>
      <c r="I3" s="373"/>
    </row>
    <row r="4" spans="1:9">
      <c r="B4" s="412"/>
      <c r="C4" s="413"/>
      <c r="E4" s="414"/>
      <c r="F4" s="414"/>
      <c r="G4" s="415"/>
      <c r="H4" s="417" t="s">
        <v>490</v>
      </c>
      <c r="I4" s="373"/>
    </row>
    <row r="5" spans="1:9">
      <c r="B5" s="418" t="s">
        <v>58</v>
      </c>
      <c r="C5" s="419" t="s">
        <v>59</v>
      </c>
      <c r="D5" s="419" t="s">
        <v>60</v>
      </c>
      <c r="E5" s="419" t="s">
        <v>61</v>
      </c>
      <c r="F5" s="419" t="s">
        <v>62</v>
      </c>
      <c r="G5" s="419" t="s">
        <v>63</v>
      </c>
      <c r="H5" s="417" t="s">
        <v>491</v>
      </c>
      <c r="I5" s="373"/>
    </row>
    <row r="6" spans="1:9">
      <c r="B6" s="413"/>
      <c r="C6" s="370"/>
      <c r="D6" s="420" t="s">
        <v>1400</v>
      </c>
      <c r="E6" s="414" t="s">
        <v>1399</v>
      </c>
      <c r="F6" s="414" t="s">
        <v>506</v>
      </c>
      <c r="G6" s="414" t="s">
        <v>459</v>
      </c>
      <c r="H6" s="370"/>
      <c r="I6" s="373"/>
    </row>
    <row r="7" spans="1:9">
      <c r="B7" s="413"/>
      <c r="C7" s="385" t="s">
        <v>13</v>
      </c>
      <c r="D7" s="420" t="s">
        <v>1401</v>
      </c>
      <c r="E7" s="414" t="s">
        <v>467</v>
      </c>
      <c r="F7" s="414" t="s">
        <v>467</v>
      </c>
      <c r="G7" s="414" t="s">
        <v>467</v>
      </c>
      <c r="H7" s="413"/>
      <c r="I7" s="373"/>
    </row>
    <row r="8" spans="1:9" ht="3.75" customHeight="1">
      <c r="B8" s="413"/>
      <c r="C8" s="413"/>
      <c r="E8" s="415"/>
      <c r="F8" s="415"/>
      <c r="G8" s="415"/>
      <c r="H8" s="417"/>
      <c r="I8" s="373"/>
    </row>
    <row r="9" spans="1:9">
      <c r="A9" s="411" t="s">
        <v>493</v>
      </c>
      <c r="B9" s="421" t="s">
        <v>474</v>
      </c>
      <c r="C9" s="415">
        <f>+C116</f>
        <v>-1139022726.2137337</v>
      </c>
      <c r="D9" s="420"/>
      <c r="E9" s="415">
        <f>E116</f>
        <v>-189143728.71373379</v>
      </c>
      <c r="F9" s="415">
        <f>F116</f>
        <v>0</v>
      </c>
      <c r="G9" s="415">
        <f>G116</f>
        <v>-30828317.5</v>
      </c>
      <c r="H9" s="415" t="s">
        <v>496</v>
      </c>
      <c r="I9" s="373"/>
    </row>
    <row r="10" spans="1:9">
      <c r="A10" s="411" t="s">
        <v>495</v>
      </c>
      <c r="B10" s="421" t="s">
        <v>480</v>
      </c>
      <c r="C10" s="415">
        <f>+C177</f>
        <v>-139156935.68264332</v>
      </c>
      <c r="D10" s="420"/>
      <c r="E10" s="415">
        <f>E177</f>
        <v>0</v>
      </c>
      <c r="F10" s="415">
        <f>F177</f>
        <v>-5581934.0465911357</v>
      </c>
      <c r="G10" s="415">
        <f>G177</f>
        <v>-108797635.51156461</v>
      </c>
      <c r="H10" s="415" t="s">
        <v>498</v>
      </c>
      <c r="I10" s="373"/>
    </row>
    <row r="11" spans="1:9">
      <c r="A11" s="411" t="s">
        <v>497</v>
      </c>
      <c r="B11" s="421" t="s">
        <v>483</v>
      </c>
      <c r="C11" s="415">
        <f>+C81</f>
        <v>178589499.75512001</v>
      </c>
      <c r="D11" s="420"/>
      <c r="E11" s="415">
        <f>E81</f>
        <v>0</v>
      </c>
      <c r="F11" s="415">
        <f>F81</f>
        <v>13690675.525985844</v>
      </c>
      <c r="G11" s="415">
        <f>G81</f>
        <v>131938477.59999999</v>
      </c>
      <c r="H11" s="415" t="s">
        <v>494</v>
      </c>
      <c r="I11" s="373"/>
    </row>
    <row r="12" spans="1:9">
      <c r="A12" s="411" t="s">
        <v>499</v>
      </c>
      <c r="B12" s="421" t="s">
        <v>500</v>
      </c>
      <c r="C12" s="415">
        <f>SUM(C9:C11)</f>
        <v>-1099590162.141257</v>
      </c>
      <c r="E12" s="415">
        <f>SUM(E9:E11)</f>
        <v>-189143728.71373379</v>
      </c>
      <c r="F12" s="415">
        <f>SUM(F9:F11)</f>
        <v>8108741.4793947088</v>
      </c>
      <c r="G12" s="415">
        <f>SUM(G9:G11)</f>
        <v>-7687475.4115646183</v>
      </c>
      <c r="H12" s="415" t="s">
        <v>501</v>
      </c>
      <c r="I12" s="373"/>
    </row>
    <row r="13" spans="1:9" ht="3.75" customHeight="1">
      <c r="B13" s="421"/>
      <c r="C13" s="413"/>
      <c r="D13" s="415"/>
      <c r="E13" s="415"/>
      <c r="F13" s="422"/>
      <c r="G13" s="415"/>
      <c r="H13" s="423"/>
      <c r="I13" s="373"/>
    </row>
    <row r="14" spans="1:9">
      <c r="B14" s="424" t="s">
        <v>502</v>
      </c>
      <c r="C14" s="425"/>
      <c r="D14" s="406"/>
      <c r="E14" s="406"/>
      <c r="F14" s="406"/>
      <c r="G14" s="406"/>
    </row>
    <row r="15" spans="1:9">
      <c r="B15" s="424" t="s">
        <v>503</v>
      </c>
      <c r="C15" s="425"/>
      <c r="D15" s="406"/>
      <c r="E15" s="406"/>
      <c r="F15" s="406"/>
      <c r="G15" s="406"/>
    </row>
    <row r="16" spans="1:9">
      <c r="B16" s="418" t="s">
        <v>58</v>
      </c>
      <c r="C16" s="419" t="s">
        <v>59</v>
      </c>
      <c r="D16" s="419" t="s">
        <v>60</v>
      </c>
      <c r="E16" s="419" t="s">
        <v>61</v>
      </c>
      <c r="F16" s="419" t="s">
        <v>62</v>
      </c>
      <c r="G16" s="419" t="s">
        <v>63</v>
      </c>
      <c r="H16" s="418" t="s">
        <v>64</v>
      </c>
    </row>
    <row r="17" spans="1:8">
      <c r="A17" s="411" t="s">
        <v>8</v>
      </c>
      <c r="B17" s="426" t="s">
        <v>1464</v>
      </c>
      <c r="C17" s="420" t="s">
        <v>13</v>
      </c>
      <c r="D17" s="420" t="s">
        <v>504</v>
      </c>
      <c r="E17" s="420" t="s">
        <v>492</v>
      </c>
      <c r="F17" s="420"/>
      <c r="G17" s="420"/>
    </row>
    <row r="18" spans="1:8">
      <c r="C18" s="420"/>
      <c r="D18" s="420" t="s">
        <v>505</v>
      </c>
      <c r="E18" s="420" t="s">
        <v>17</v>
      </c>
      <c r="F18" s="420" t="s">
        <v>506</v>
      </c>
      <c r="G18" s="420" t="s">
        <v>459</v>
      </c>
    </row>
    <row r="19" spans="1:8">
      <c r="C19" s="420"/>
      <c r="D19" s="420" t="s">
        <v>467</v>
      </c>
      <c r="E19" s="420" t="s">
        <v>467</v>
      </c>
      <c r="F19" s="420" t="s">
        <v>467</v>
      </c>
      <c r="G19" s="420" t="s">
        <v>467</v>
      </c>
      <c r="H19" s="427" t="s">
        <v>507</v>
      </c>
    </row>
    <row r="20" spans="1:8" ht="5.25" customHeight="1">
      <c r="B20" s="428"/>
      <c r="C20" s="429"/>
      <c r="D20" s="406"/>
      <c r="E20" s="406"/>
      <c r="F20" s="406"/>
      <c r="G20" s="406"/>
    </row>
    <row r="21" spans="1:8" ht="60">
      <c r="A21" s="411">
        <v>1</v>
      </c>
      <c r="B21" s="485" t="s">
        <v>877</v>
      </c>
      <c r="C21" s="485">
        <v>237053</v>
      </c>
      <c r="D21" s="485">
        <v>237053</v>
      </c>
      <c r="E21" s="485">
        <v>0</v>
      </c>
      <c r="F21" s="485">
        <v>0</v>
      </c>
      <c r="G21" s="485">
        <v>0</v>
      </c>
      <c r="H21" s="486" t="s">
        <v>925</v>
      </c>
    </row>
    <row r="22" spans="1:8">
      <c r="A22" s="411" t="s">
        <v>508</v>
      </c>
      <c r="B22" s="485" t="s">
        <v>879</v>
      </c>
      <c r="C22" s="485">
        <v>1773851</v>
      </c>
      <c r="D22" s="485">
        <v>0</v>
      </c>
      <c r="E22" s="485">
        <v>0</v>
      </c>
      <c r="F22" s="485">
        <v>0</v>
      </c>
      <c r="G22" s="485">
        <v>1773851</v>
      </c>
      <c r="H22" s="486" t="s">
        <v>926</v>
      </c>
    </row>
    <row r="23" spans="1:8">
      <c r="A23" s="411" t="s">
        <v>509</v>
      </c>
      <c r="B23" s="485" t="s">
        <v>880</v>
      </c>
      <c r="C23" s="485">
        <v>1863208</v>
      </c>
      <c r="D23" s="485">
        <v>0</v>
      </c>
      <c r="E23" s="485">
        <v>0</v>
      </c>
      <c r="F23" s="485">
        <v>0</v>
      </c>
      <c r="G23" s="485">
        <v>1863208</v>
      </c>
      <c r="H23" s="486" t="s">
        <v>927</v>
      </c>
    </row>
    <row r="24" spans="1:8">
      <c r="A24" s="411" t="s">
        <v>510</v>
      </c>
      <c r="B24" s="485" t="s">
        <v>881</v>
      </c>
      <c r="C24" s="485">
        <v>0</v>
      </c>
      <c r="D24" s="485">
        <v>0</v>
      </c>
      <c r="E24" s="485">
        <v>0</v>
      </c>
      <c r="F24" s="485">
        <v>0</v>
      </c>
      <c r="G24" s="485">
        <v>0</v>
      </c>
      <c r="H24" s="486" t="s">
        <v>878</v>
      </c>
    </row>
    <row r="25" spans="1:8" ht="30">
      <c r="A25" s="430" t="s">
        <v>511</v>
      </c>
      <c r="B25" s="485" t="s">
        <v>882</v>
      </c>
      <c r="C25" s="485">
        <v>15064698</v>
      </c>
      <c r="D25" s="485">
        <v>15064698</v>
      </c>
      <c r="E25" s="485">
        <v>0</v>
      </c>
      <c r="F25" s="485">
        <v>0</v>
      </c>
      <c r="G25" s="485">
        <v>0</v>
      </c>
      <c r="H25" s="486" t="s">
        <v>928</v>
      </c>
    </row>
    <row r="26" spans="1:8">
      <c r="A26" s="430" t="s">
        <v>512</v>
      </c>
      <c r="B26" s="485" t="s">
        <v>883</v>
      </c>
      <c r="C26" s="485">
        <v>1013502</v>
      </c>
      <c r="D26" s="485">
        <v>1013502</v>
      </c>
      <c r="E26" s="485">
        <v>0</v>
      </c>
      <c r="F26" s="485">
        <v>0</v>
      </c>
      <c r="G26" s="485">
        <v>0</v>
      </c>
      <c r="H26" s="486" t="s">
        <v>878</v>
      </c>
    </row>
    <row r="27" spans="1:8">
      <c r="A27" s="430" t="s">
        <v>513</v>
      </c>
      <c r="B27" s="485" t="s">
        <v>884</v>
      </c>
      <c r="C27" s="485">
        <v>335650</v>
      </c>
      <c r="D27" s="485">
        <v>335650</v>
      </c>
      <c r="E27" s="485">
        <v>0</v>
      </c>
      <c r="F27" s="485">
        <v>0</v>
      </c>
      <c r="G27" s="485">
        <v>0</v>
      </c>
      <c r="H27" s="486" t="s">
        <v>878</v>
      </c>
    </row>
    <row r="28" spans="1:8" ht="30">
      <c r="A28" s="430" t="s">
        <v>514</v>
      </c>
      <c r="B28" s="485" t="s">
        <v>885</v>
      </c>
      <c r="C28" s="485">
        <v>1698133</v>
      </c>
      <c r="D28" s="485">
        <v>1698133</v>
      </c>
      <c r="E28" s="485">
        <v>0</v>
      </c>
      <c r="F28" s="485">
        <v>0</v>
      </c>
      <c r="G28" s="485">
        <v>0</v>
      </c>
      <c r="H28" s="486" t="s">
        <v>929</v>
      </c>
    </row>
    <row r="29" spans="1:8">
      <c r="A29" s="430" t="s">
        <v>515</v>
      </c>
      <c r="B29" s="485" t="s">
        <v>1240</v>
      </c>
      <c r="C29" s="485">
        <v>225134</v>
      </c>
      <c r="D29" s="485">
        <v>225134</v>
      </c>
      <c r="E29" s="485">
        <v>0</v>
      </c>
      <c r="F29" s="485">
        <v>0</v>
      </c>
      <c r="G29" s="485">
        <v>0</v>
      </c>
      <c r="H29" s="486" t="s">
        <v>878</v>
      </c>
    </row>
    <row r="30" spans="1:8">
      <c r="A30" s="430" t="s">
        <v>516</v>
      </c>
      <c r="B30" s="485" t="s">
        <v>886</v>
      </c>
      <c r="C30" s="485">
        <v>18627</v>
      </c>
      <c r="D30" s="485">
        <v>0</v>
      </c>
      <c r="E30" s="485">
        <v>0</v>
      </c>
      <c r="F30" s="485">
        <v>0</v>
      </c>
      <c r="G30" s="485">
        <v>18627</v>
      </c>
      <c r="H30" s="928" t="s">
        <v>930</v>
      </c>
    </row>
    <row r="31" spans="1:8">
      <c r="A31" s="430" t="s">
        <v>517</v>
      </c>
      <c r="B31" s="485" t="s">
        <v>1241</v>
      </c>
      <c r="C31" s="485">
        <v>0</v>
      </c>
      <c r="D31" s="485">
        <v>0</v>
      </c>
      <c r="E31" s="485">
        <v>0</v>
      </c>
      <c r="F31" s="485">
        <v>0</v>
      </c>
      <c r="G31" s="485">
        <v>0</v>
      </c>
      <c r="H31" s="928" t="s">
        <v>1242</v>
      </c>
    </row>
    <row r="32" spans="1:8" ht="30">
      <c r="A32" s="430" t="s">
        <v>518</v>
      </c>
      <c r="B32" s="485" t="s">
        <v>909</v>
      </c>
      <c r="C32" s="485">
        <v>5371606</v>
      </c>
      <c r="D32" s="485">
        <v>5371606</v>
      </c>
      <c r="E32" s="485">
        <v>0</v>
      </c>
      <c r="F32" s="485">
        <v>0</v>
      </c>
      <c r="G32" s="485">
        <v>0</v>
      </c>
      <c r="H32" s="486" t="s">
        <v>1395</v>
      </c>
    </row>
    <row r="33" spans="1:8">
      <c r="A33" s="430" t="s">
        <v>519</v>
      </c>
      <c r="B33" s="485" t="s">
        <v>887</v>
      </c>
      <c r="C33" s="485">
        <v>0</v>
      </c>
      <c r="D33" s="485">
        <v>0</v>
      </c>
      <c r="E33" s="485">
        <v>0</v>
      </c>
      <c r="F33" s="485">
        <v>0</v>
      </c>
      <c r="G33" s="485">
        <v>0</v>
      </c>
      <c r="H33" s="486" t="s">
        <v>878</v>
      </c>
    </row>
    <row r="34" spans="1:8" ht="30">
      <c r="A34" s="430" t="s">
        <v>520</v>
      </c>
      <c r="B34" s="485" t="s">
        <v>910</v>
      </c>
      <c r="C34" s="485">
        <v>9990749</v>
      </c>
      <c r="D34" s="485">
        <v>0</v>
      </c>
      <c r="E34" s="485">
        <v>0</v>
      </c>
      <c r="F34" s="485">
        <v>0</v>
      </c>
      <c r="G34" s="485">
        <v>9990749</v>
      </c>
      <c r="H34" s="486" t="s">
        <v>931</v>
      </c>
    </row>
    <row r="35" spans="1:8" ht="30">
      <c r="A35" s="430" t="s">
        <v>521</v>
      </c>
      <c r="B35" s="485" t="s">
        <v>888</v>
      </c>
      <c r="C35" s="485">
        <v>0</v>
      </c>
      <c r="D35" s="485">
        <v>0</v>
      </c>
      <c r="E35" s="485">
        <v>0</v>
      </c>
      <c r="F35" s="485">
        <v>0</v>
      </c>
      <c r="G35" s="485">
        <v>0</v>
      </c>
      <c r="H35" s="486" t="s">
        <v>932</v>
      </c>
    </row>
    <row r="36" spans="1:8">
      <c r="A36" s="430" t="s">
        <v>522</v>
      </c>
      <c r="B36" s="485" t="s">
        <v>889</v>
      </c>
      <c r="C36" s="485">
        <v>0</v>
      </c>
      <c r="D36" s="485">
        <v>0</v>
      </c>
      <c r="E36" s="485">
        <v>0</v>
      </c>
      <c r="F36" s="485">
        <v>0</v>
      </c>
      <c r="G36" s="485">
        <v>0</v>
      </c>
      <c r="H36" s="486" t="s">
        <v>878</v>
      </c>
    </row>
    <row r="37" spans="1:8">
      <c r="A37" s="430" t="s">
        <v>523</v>
      </c>
      <c r="B37" s="485" t="s">
        <v>933</v>
      </c>
      <c r="C37" s="485">
        <v>67489</v>
      </c>
      <c r="D37" s="485">
        <v>67489</v>
      </c>
      <c r="E37" s="485">
        <v>0</v>
      </c>
      <c r="F37" s="485">
        <v>0</v>
      </c>
      <c r="G37" s="485">
        <v>0</v>
      </c>
      <c r="H37" s="486" t="s">
        <v>878</v>
      </c>
    </row>
    <row r="38" spans="1:8">
      <c r="A38" s="430" t="s">
        <v>524</v>
      </c>
      <c r="B38" s="485" t="s">
        <v>890</v>
      </c>
      <c r="C38" s="485">
        <v>428906</v>
      </c>
      <c r="D38" s="485">
        <v>428906</v>
      </c>
      <c r="E38" s="485">
        <v>0</v>
      </c>
      <c r="F38" s="485">
        <v>0</v>
      </c>
      <c r="G38" s="485">
        <v>0</v>
      </c>
      <c r="H38" s="928" t="s">
        <v>878</v>
      </c>
    </row>
    <row r="39" spans="1:8">
      <c r="A39" s="430" t="s">
        <v>525</v>
      </c>
      <c r="B39" s="485" t="s">
        <v>891</v>
      </c>
      <c r="C39" s="485">
        <v>-15327.705265844561</v>
      </c>
      <c r="D39" s="485">
        <v>-15327.705265844561</v>
      </c>
      <c r="E39" s="485">
        <v>0</v>
      </c>
      <c r="F39" s="485">
        <v>0</v>
      </c>
      <c r="G39" s="485">
        <v>0</v>
      </c>
      <c r="H39" s="928"/>
    </row>
    <row r="40" spans="1:8">
      <c r="A40" s="430" t="s">
        <v>526</v>
      </c>
      <c r="B40" s="485" t="s">
        <v>934</v>
      </c>
      <c r="C40" s="485">
        <v>10793.705265844565</v>
      </c>
      <c r="D40" s="485">
        <v>0</v>
      </c>
      <c r="E40" s="485">
        <v>0</v>
      </c>
      <c r="F40" s="485">
        <v>10793.705265844565</v>
      </c>
      <c r="G40" s="485">
        <v>0</v>
      </c>
      <c r="H40" s="928" t="s">
        <v>935</v>
      </c>
    </row>
    <row r="41" spans="1:8">
      <c r="A41" s="430" t="s">
        <v>527</v>
      </c>
      <c r="B41" s="485" t="s">
        <v>936</v>
      </c>
      <c r="C41" s="485">
        <v>192052</v>
      </c>
      <c r="D41" s="485">
        <v>192052</v>
      </c>
      <c r="E41" s="485">
        <v>0</v>
      </c>
      <c r="F41" s="485">
        <v>0</v>
      </c>
      <c r="G41" s="485">
        <v>0</v>
      </c>
      <c r="H41" s="928" t="s">
        <v>878</v>
      </c>
    </row>
    <row r="42" spans="1:8">
      <c r="A42" s="430" t="s">
        <v>528</v>
      </c>
      <c r="B42" s="485" t="s">
        <v>937</v>
      </c>
      <c r="C42" s="485">
        <v>83758</v>
      </c>
      <c r="D42" s="485">
        <v>0</v>
      </c>
      <c r="E42" s="485">
        <v>0</v>
      </c>
      <c r="F42" s="485">
        <v>83758</v>
      </c>
      <c r="G42" s="485">
        <v>0</v>
      </c>
      <c r="H42" s="928" t="s">
        <v>938</v>
      </c>
    </row>
    <row r="43" spans="1:8">
      <c r="A43" s="430" t="s">
        <v>529</v>
      </c>
      <c r="B43" s="485" t="s">
        <v>939</v>
      </c>
      <c r="C43" s="485">
        <v>262092</v>
      </c>
      <c r="D43" s="485">
        <v>0</v>
      </c>
      <c r="E43" s="485">
        <v>0</v>
      </c>
      <c r="F43" s="485">
        <v>262092</v>
      </c>
      <c r="G43" s="485">
        <v>0</v>
      </c>
      <c r="H43" s="928" t="s">
        <v>940</v>
      </c>
    </row>
    <row r="44" spans="1:8">
      <c r="A44" s="430" t="s">
        <v>530</v>
      </c>
      <c r="B44" s="485" t="s">
        <v>1243</v>
      </c>
      <c r="C44" s="485">
        <v>0</v>
      </c>
      <c r="D44" s="485">
        <v>0</v>
      </c>
      <c r="E44" s="485">
        <v>0</v>
      </c>
      <c r="F44" s="485">
        <v>0</v>
      </c>
      <c r="G44" s="485">
        <v>0</v>
      </c>
      <c r="H44" s="928" t="s">
        <v>1244</v>
      </c>
    </row>
    <row r="45" spans="1:8">
      <c r="A45" s="430" t="s">
        <v>531</v>
      </c>
      <c r="B45" s="485" t="s">
        <v>1245</v>
      </c>
      <c r="C45" s="485">
        <v>13825356</v>
      </c>
      <c r="D45" s="485">
        <v>0</v>
      </c>
      <c r="E45" s="485">
        <v>0</v>
      </c>
      <c r="F45" s="485">
        <v>13825356</v>
      </c>
      <c r="G45" s="485">
        <v>0</v>
      </c>
      <c r="H45" s="928" t="s">
        <v>1242</v>
      </c>
    </row>
    <row r="46" spans="1:8" ht="30">
      <c r="A46" s="430" t="s">
        <v>532</v>
      </c>
      <c r="B46" s="485" t="s">
        <v>911</v>
      </c>
      <c r="C46" s="485">
        <v>0</v>
      </c>
      <c r="D46" s="485">
        <v>0</v>
      </c>
      <c r="E46" s="485">
        <v>0</v>
      </c>
      <c r="F46" s="485">
        <v>0</v>
      </c>
      <c r="G46" s="485">
        <v>0</v>
      </c>
      <c r="H46" s="928" t="s">
        <v>941</v>
      </c>
    </row>
    <row r="47" spans="1:8">
      <c r="A47" s="430" t="s">
        <v>533</v>
      </c>
      <c r="B47" s="485" t="s">
        <v>893</v>
      </c>
      <c r="C47" s="485">
        <v>0</v>
      </c>
      <c r="D47" s="485">
        <v>0</v>
      </c>
      <c r="E47" s="485">
        <v>0</v>
      </c>
      <c r="F47" s="485">
        <v>0</v>
      </c>
      <c r="G47" s="485">
        <v>0</v>
      </c>
      <c r="H47" s="928" t="s">
        <v>878</v>
      </c>
    </row>
    <row r="48" spans="1:8" ht="30">
      <c r="A48" s="430" t="s">
        <v>534</v>
      </c>
      <c r="B48" s="485" t="s">
        <v>912</v>
      </c>
      <c r="C48" s="485">
        <v>71389972</v>
      </c>
      <c r="D48" s="485">
        <v>0</v>
      </c>
      <c r="E48" s="485">
        <v>0</v>
      </c>
      <c r="F48" s="485">
        <v>0</v>
      </c>
      <c r="G48" s="485">
        <v>71389972</v>
      </c>
      <c r="H48" s="928" t="s">
        <v>942</v>
      </c>
    </row>
    <row r="49" spans="1:8" ht="45">
      <c r="A49" s="430" t="s">
        <v>535</v>
      </c>
      <c r="B49" s="485" t="s">
        <v>894</v>
      </c>
      <c r="C49" s="485">
        <v>48886</v>
      </c>
      <c r="D49" s="485">
        <v>48886</v>
      </c>
      <c r="E49" s="485">
        <v>0</v>
      </c>
      <c r="F49" s="485">
        <v>0</v>
      </c>
      <c r="G49" s="485">
        <v>0</v>
      </c>
      <c r="H49" s="928" t="s">
        <v>943</v>
      </c>
    </row>
    <row r="50" spans="1:8">
      <c r="A50" s="430" t="s">
        <v>536</v>
      </c>
      <c r="B50" s="485" t="s">
        <v>895</v>
      </c>
      <c r="C50" s="485">
        <v>3158623</v>
      </c>
      <c r="D50" s="485">
        <v>3158623</v>
      </c>
      <c r="E50" s="485">
        <v>0</v>
      </c>
      <c r="F50" s="485">
        <v>0</v>
      </c>
      <c r="G50" s="485">
        <v>0</v>
      </c>
      <c r="H50" s="486" t="s">
        <v>944</v>
      </c>
    </row>
    <row r="51" spans="1:8">
      <c r="A51" s="430" t="s">
        <v>537</v>
      </c>
      <c r="B51" s="485" t="s">
        <v>896</v>
      </c>
      <c r="C51" s="485">
        <v>0</v>
      </c>
      <c r="D51" s="485">
        <v>0</v>
      </c>
      <c r="E51" s="485">
        <v>0</v>
      </c>
      <c r="F51" s="485">
        <v>0</v>
      </c>
      <c r="G51" s="485">
        <v>0</v>
      </c>
      <c r="H51" s="486" t="s">
        <v>944</v>
      </c>
    </row>
    <row r="52" spans="1:8">
      <c r="A52" s="430" t="s">
        <v>538</v>
      </c>
      <c r="B52" s="485" t="s">
        <v>897</v>
      </c>
      <c r="C52" s="485">
        <v>132515</v>
      </c>
      <c r="D52" s="485">
        <v>132515</v>
      </c>
      <c r="E52" s="485">
        <v>0</v>
      </c>
      <c r="F52" s="485">
        <v>0</v>
      </c>
      <c r="G52" s="485">
        <v>0</v>
      </c>
      <c r="H52" s="486" t="s">
        <v>945</v>
      </c>
    </row>
    <row r="53" spans="1:8">
      <c r="A53" s="430" t="s">
        <v>539</v>
      </c>
      <c r="B53" s="485" t="s">
        <v>898</v>
      </c>
      <c r="C53" s="485">
        <v>51322</v>
      </c>
      <c r="D53" s="485">
        <v>0</v>
      </c>
      <c r="E53" s="485">
        <v>0</v>
      </c>
      <c r="F53" s="485">
        <v>0</v>
      </c>
      <c r="G53" s="485">
        <v>51322</v>
      </c>
      <c r="H53" s="486" t="s">
        <v>946</v>
      </c>
    </row>
    <row r="54" spans="1:8">
      <c r="A54" s="430" t="s">
        <v>540</v>
      </c>
      <c r="B54" s="485" t="s">
        <v>913</v>
      </c>
      <c r="C54" s="485">
        <v>1145678</v>
      </c>
      <c r="D54" s="485">
        <v>1145678</v>
      </c>
      <c r="E54" s="485">
        <v>0</v>
      </c>
      <c r="F54" s="485">
        <v>0</v>
      </c>
      <c r="G54" s="485">
        <v>0</v>
      </c>
      <c r="H54" s="486" t="s">
        <v>947</v>
      </c>
    </row>
    <row r="55" spans="1:8">
      <c r="A55" s="430" t="s">
        <v>541</v>
      </c>
      <c r="B55" s="485" t="s">
        <v>899</v>
      </c>
      <c r="C55" s="485">
        <v>1701178</v>
      </c>
      <c r="D55" s="485">
        <v>1701178</v>
      </c>
      <c r="E55" s="485">
        <v>0</v>
      </c>
      <c r="F55" s="485">
        <v>0</v>
      </c>
      <c r="G55" s="485">
        <v>0</v>
      </c>
      <c r="H55" s="486" t="s">
        <v>878</v>
      </c>
    </row>
    <row r="56" spans="1:8" ht="30">
      <c r="A56" s="430" t="s">
        <v>542</v>
      </c>
      <c r="B56" s="485" t="s">
        <v>900</v>
      </c>
      <c r="C56" s="485">
        <v>9646333</v>
      </c>
      <c r="D56" s="485">
        <v>0</v>
      </c>
      <c r="E56" s="485">
        <v>0</v>
      </c>
      <c r="F56" s="485">
        <v>0</v>
      </c>
      <c r="G56" s="485">
        <v>9646333</v>
      </c>
      <c r="H56" s="486" t="s">
        <v>948</v>
      </c>
    </row>
    <row r="57" spans="1:8">
      <c r="A57" s="430" t="s">
        <v>543</v>
      </c>
      <c r="B57" s="929"/>
      <c r="C57" s="929"/>
      <c r="D57" s="929"/>
      <c r="E57" s="930"/>
      <c r="F57" s="930"/>
      <c r="G57" s="931"/>
      <c r="H57" s="932"/>
    </row>
    <row r="58" spans="1:8">
      <c r="A58" s="430" t="s">
        <v>544</v>
      </c>
      <c r="B58" s="929"/>
      <c r="C58" s="929"/>
      <c r="D58" s="929"/>
      <c r="E58" s="930"/>
      <c r="F58" s="930"/>
      <c r="G58" s="931"/>
      <c r="H58" s="932"/>
    </row>
    <row r="59" spans="1:8">
      <c r="A59" s="430" t="s">
        <v>545</v>
      </c>
      <c r="B59" s="929"/>
      <c r="C59" s="929"/>
      <c r="D59" s="929"/>
      <c r="E59" s="930"/>
      <c r="F59" s="930"/>
      <c r="G59" s="929"/>
      <c r="H59" s="932"/>
    </row>
    <row r="60" spans="1:8">
      <c r="A60" s="430" t="s">
        <v>546</v>
      </c>
      <c r="B60" s="929"/>
      <c r="C60" s="929"/>
      <c r="D60" s="929"/>
      <c r="E60" s="930"/>
      <c r="F60" s="929"/>
      <c r="G60" s="931"/>
      <c r="H60" s="932"/>
    </row>
    <row r="61" spans="1:8">
      <c r="A61" s="430" t="s">
        <v>547</v>
      </c>
      <c r="B61" s="929"/>
      <c r="C61" s="929"/>
      <c r="D61" s="929"/>
      <c r="E61" s="930"/>
      <c r="F61" s="929"/>
      <c r="G61" s="931"/>
      <c r="H61" s="932"/>
    </row>
    <row r="62" spans="1:8" hidden="1">
      <c r="A62" s="430" t="s">
        <v>548</v>
      </c>
      <c r="B62" s="1017"/>
      <c r="C62" s="929"/>
      <c r="D62" s="929"/>
      <c r="E62" s="930"/>
      <c r="F62" s="929"/>
      <c r="G62" s="931"/>
      <c r="H62" s="932"/>
    </row>
    <row r="63" spans="1:8" hidden="1">
      <c r="A63" s="430" t="s">
        <v>549</v>
      </c>
      <c r="B63" s="929"/>
      <c r="C63" s="929"/>
      <c r="D63" s="929"/>
      <c r="E63" s="929"/>
      <c r="F63" s="1018"/>
      <c r="G63" s="929"/>
      <c r="H63" s="1019"/>
    </row>
    <row r="64" spans="1:8" hidden="1">
      <c r="A64" s="430" t="s">
        <v>550</v>
      </c>
      <c r="B64" s="929"/>
      <c r="C64" s="929"/>
      <c r="D64" s="929"/>
      <c r="E64" s="930"/>
      <c r="F64" s="929"/>
      <c r="G64" s="931"/>
      <c r="H64" s="932"/>
    </row>
    <row r="65" spans="1:10" hidden="1">
      <c r="A65" s="430" t="s">
        <v>551</v>
      </c>
      <c r="B65" s="929"/>
      <c r="C65" s="929"/>
      <c r="D65" s="929"/>
      <c r="E65" s="930"/>
      <c r="F65" s="929"/>
      <c r="G65" s="931"/>
      <c r="H65" s="1020"/>
    </row>
    <row r="66" spans="1:10" hidden="1">
      <c r="A66" s="430" t="s">
        <v>552</v>
      </c>
      <c r="B66" s="929"/>
      <c r="C66" s="929"/>
      <c r="D66" s="929"/>
      <c r="E66" s="930"/>
      <c r="F66" s="929"/>
      <c r="G66" s="931"/>
      <c r="H66" s="1020"/>
    </row>
    <row r="67" spans="1:10" hidden="1">
      <c r="A67" s="430" t="s">
        <v>553</v>
      </c>
      <c r="B67" s="929"/>
      <c r="C67" s="929"/>
      <c r="D67" s="929"/>
      <c r="E67" s="929"/>
      <c r="F67" s="929"/>
      <c r="G67" s="929"/>
      <c r="H67" s="933"/>
    </row>
    <row r="68" spans="1:10" hidden="1">
      <c r="A68" s="430" t="s">
        <v>554</v>
      </c>
      <c r="B68" s="929"/>
      <c r="C68" s="929"/>
      <c r="D68" s="929"/>
      <c r="E68" s="929"/>
      <c r="F68" s="929"/>
      <c r="G68" s="929"/>
      <c r="H68" s="1020"/>
    </row>
    <row r="69" spans="1:10" hidden="1">
      <c r="A69" s="430" t="s">
        <v>555</v>
      </c>
      <c r="B69" s="929"/>
      <c r="C69" s="929"/>
      <c r="D69" s="929"/>
      <c r="E69" s="929"/>
      <c r="F69" s="929"/>
      <c r="G69" s="929"/>
      <c r="H69" s="933"/>
    </row>
    <row r="70" spans="1:10" hidden="1">
      <c r="A70" s="430" t="s">
        <v>556</v>
      </c>
      <c r="B70" s="929"/>
      <c r="C70" s="929"/>
      <c r="D70" s="929"/>
      <c r="E70" s="929"/>
      <c r="F70" s="930"/>
      <c r="G70" s="929"/>
      <c r="H70" s="933"/>
    </row>
    <row r="71" spans="1:10" hidden="1">
      <c r="A71" s="430" t="s">
        <v>557</v>
      </c>
      <c r="B71" s="929"/>
      <c r="C71" s="929"/>
      <c r="D71" s="929"/>
      <c r="E71" s="929"/>
      <c r="F71" s="929"/>
      <c r="G71" s="929"/>
      <c r="H71" s="932"/>
    </row>
    <row r="72" spans="1:10" hidden="1">
      <c r="A72" s="430" t="s">
        <v>558</v>
      </c>
      <c r="B72" s="929"/>
      <c r="C72" s="929"/>
      <c r="D72" s="929"/>
      <c r="E72" s="929"/>
      <c r="F72" s="929"/>
      <c r="G72" s="929"/>
      <c r="H72" s="933"/>
    </row>
    <row r="73" spans="1:10" hidden="1">
      <c r="A73" s="430" t="s">
        <v>559</v>
      </c>
      <c r="B73" s="929"/>
      <c r="C73" s="929"/>
      <c r="D73" s="929"/>
      <c r="E73" s="929"/>
      <c r="F73" s="929"/>
      <c r="G73" s="929"/>
      <c r="H73" s="941"/>
    </row>
    <row r="74" spans="1:10" hidden="1">
      <c r="A74" s="430" t="s">
        <v>560</v>
      </c>
      <c r="B74" s="929"/>
      <c r="C74" s="929"/>
      <c r="D74" s="929"/>
      <c r="E74" s="929"/>
      <c r="F74" s="929"/>
      <c r="G74" s="929"/>
      <c r="H74" s="941"/>
    </row>
    <row r="75" spans="1:10" hidden="1">
      <c r="A75" s="430" t="s">
        <v>561</v>
      </c>
      <c r="B75" s="941"/>
      <c r="C75" s="929"/>
      <c r="D75" s="929"/>
      <c r="E75" s="929"/>
      <c r="F75" s="929"/>
      <c r="G75" s="929"/>
      <c r="H75" s="933"/>
    </row>
    <row r="76" spans="1:10" hidden="1">
      <c r="A76" s="430" t="s">
        <v>562</v>
      </c>
      <c r="B76" s="1021"/>
      <c r="C76" s="929"/>
      <c r="D76" s="929"/>
      <c r="E76" s="929"/>
      <c r="F76" s="929"/>
      <c r="G76" s="929"/>
      <c r="H76" s="933"/>
    </row>
    <row r="77" spans="1:10">
      <c r="A77" s="430" t="s">
        <v>296</v>
      </c>
      <c r="B77" s="938"/>
      <c r="C77" s="929"/>
      <c r="D77" s="929"/>
      <c r="E77" s="929"/>
      <c r="F77" s="929"/>
      <c r="G77" s="929"/>
      <c r="H77" s="933"/>
    </row>
    <row r="78" spans="1:10">
      <c r="A78" s="430">
        <v>2</v>
      </c>
      <c r="B78" s="431" t="s">
        <v>1055</v>
      </c>
      <c r="C78" s="432">
        <f>SUM(C21:C77)</f>
        <v>139721837</v>
      </c>
      <c r="D78" s="432">
        <f>SUM(D21:D77)</f>
        <v>30805775.294734154</v>
      </c>
      <c r="E78" s="432">
        <f>SUM(E21:E77)</f>
        <v>0</v>
      </c>
      <c r="F78" s="432">
        <f>SUM(F21:F77)</f>
        <v>14181999.705265844</v>
      </c>
      <c r="G78" s="432">
        <f>SUM(G21:G77)</f>
        <v>94734062</v>
      </c>
      <c r="H78" s="433"/>
      <c r="J78" s="434"/>
    </row>
    <row r="79" spans="1:10">
      <c r="A79" s="430">
        <v>3</v>
      </c>
      <c r="B79" s="431" t="s">
        <v>563</v>
      </c>
      <c r="C79" s="485">
        <v>-38867662.755120002</v>
      </c>
      <c r="D79" s="485">
        <v>-2154571.3344000001</v>
      </c>
      <c r="E79" s="485">
        <v>0</v>
      </c>
      <c r="F79" s="485">
        <v>491324.17927999998</v>
      </c>
      <c r="G79" s="485">
        <v>-37204415.600000001</v>
      </c>
      <c r="H79" s="933"/>
    </row>
    <row r="80" spans="1:10">
      <c r="A80" s="430">
        <v>4</v>
      </c>
      <c r="B80" s="431" t="s">
        <v>564</v>
      </c>
      <c r="C80" s="929"/>
      <c r="D80" s="929"/>
      <c r="E80" s="929"/>
      <c r="F80" s="929"/>
      <c r="G80" s="929"/>
      <c r="H80" s="933"/>
    </row>
    <row r="81" spans="1:8">
      <c r="A81" s="411">
        <v>5</v>
      </c>
      <c r="B81" s="431" t="s">
        <v>13</v>
      </c>
      <c r="C81" s="432">
        <f>+C78-C79-C80</f>
        <v>178589499.75512001</v>
      </c>
      <c r="D81" s="432">
        <f>+D78-D79-D80</f>
        <v>32960346.629134156</v>
      </c>
      <c r="E81" s="432">
        <f>+E78-E79-E80</f>
        <v>0</v>
      </c>
      <c r="F81" s="432">
        <f>+F78-F79-F80</f>
        <v>13690675.525985844</v>
      </c>
      <c r="G81" s="432">
        <f>+G78-G79-G80</f>
        <v>131938477.59999999</v>
      </c>
      <c r="H81" s="433"/>
    </row>
    <row r="82" spans="1:8" ht="6" customHeight="1">
      <c r="B82" s="435"/>
      <c r="C82" s="436"/>
      <c r="D82" s="415"/>
      <c r="E82" s="415"/>
      <c r="F82" s="415"/>
      <c r="G82" s="437"/>
      <c r="H82" s="438"/>
    </row>
    <row r="83" spans="1:8">
      <c r="A83" s="430">
        <v>6</v>
      </c>
      <c r="B83" s="439" t="s">
        <v>565</v>
      </c>
      <c r="C83" s="440"/>
      <c r="D83" s="441"/>
      <c r="E83" s="441"/>
      <c r="F83" s="441"/>
      <c r="G83" s="442"/>
      <c r="H83" s="443"/>
    </row>
    <row r="84" spans="1:8">
      <c r="A84" s="430">
        <v>7</v>
      </c>
      <c r="B84" s="444" t="s">
        <v>566</v>
      </c>
      <c r="C84" s="415"/>
      <c r="D84" s="415"/>
      <c r="E84" s="415"/>
      <c r="F84" s="415"/>
      <c r="G84" s="415"/>
      <c r="H84" s="445"/>
    </row>
    <row r="85" spans="1:8">
      <c r="A85" s="430">
        <v>8</v>
      </c>
      <c r="B85" s="444" t="s">
        <v>567</v>
      </c>
      <c r="C85" s="446"/>
      <c r="D85" s="415"/>
      <c r="E85" s="415"/>
      <c r="F85" s="415"/>
      <c r="G85" s="437"/>
      <c r="H85" s="447"/>
    </row>
    <row r="86" spans="1:8">
      <c r="A86" s="430">
        <v>9</v>
      </c>
      <c r="B86" s="444" t="s">
        <v>568</v>
      </c>
      <c r="C86" s="446"/>
      <c r="D86" s="415"/>
      <c r="E86" s="415"/>
      <c r="F86" s="415"/>
      <c r="G86" s="437"/>
      <c r="H86" s="447"/>
    </row>
    <row r="87" spans="1:8">
      <c r="A87" s="430">
        <v>10</v>
      </c>
      <c r="B87" s="444" t="s">
        <v>569</v>
      </c>
      <c r="C87" s="446"/>
      <c r="D87" s="415"/>
      <c r="E87" s="415"/>
      <c r="F87" s="415"/>
      <c r="G87" s="437"/>
      <c r="H87" s="447"/>
    </row>
    <row r="88" spans="1:8">
      <c r="A88" s="430">
        <v>11</v>
      </c>
      <c r="B88" s="448" t="s">
        <v>570</v>
      </c>
      <c r="C88" s="415"/>
      <c r="D88" s="415"/>
      <c r="E88" s="415"/>
      <c r="F88" s="415"/>
      <c r="G88" s="415"/>
      <c r="H88" s="445"/>
    </row>
    <row r="89" spans="1:8">
      <c r="A89" s="430">
        <v>12</v>
      </c>
      <c r="B89" s="449" t="s">
        <v>571</v>
      </c>
      <c r="C89" s="415"/>
      <c r="D89" s="415"/>
      <c r="E89" s="415"/>
      <c r="F89" s="415"/>
      <c r="G89" s="415"/>
      <c r="H89" s="445"/>
    </row>
    <row r="90" spans="1:8" ht="3.75" customHeight="1">
      <c r="B90" s="450"/>
      <c r="C90" s="451"/>
      <c r="D90" s="452"/>
      <c r="E90" s="452"/>
      <c r="F90" s="452"/>
      <c r="G90" s="453"/>
      <c r="H90" s="454"/>
    </row>
    <row r="91" spans="1:8">
      <c r="B91" s="1059" t="str">
        <f>'4A - ADIT Summary'!$G$65</f>
        <v>PECO Energy Company</v>
      </c>
      <c r="C91" s="1060"/>
      <c r="D91" s="1060"/>
      <c r="E91" s="1060"/>
      <c r="F91" s="1060"/>
      <c r="G91" s="1060"/>
      <c r="H91" s="1060"/>
    </row>
    <row r="92" spans="1:8" ht="15.75">
      <c r="B92" s="413" t="s">
        <v>490</v>
      </c>
      <c r="C92" s="413"/>
      <c r="D92" s="413"/>
      <c r="E92" s="413"/>
      <c r="F92" s="413"/>
      <c r="G92" s="413"/>
      <c r="H92" s="372"/>
    </row>
    <row r="93" spans="1:8">
      <c r="B93" s="455"/>
      <c r="C93" s="456"/>
      <c r="D93" s="457"/>
      <c r="E93" s="457"/>
      <c r="F93" s="457"/>
      <c r="G93" s="457"/>
      <c r="H93" s="417"/>
    </row>
    <row r="94" spans="1:8">
      <c r="B94" s="458"/>
      <c r="C94" s="456"/>
      <c r="D94" s="457"/>
      <c r="E94" s="457"/>
      <c r="F94" s="457"/>
      <c r="G94" s="457"/>
      <c r="H94" s="417" t="s">
        <v>490</v>
      </c>
    </row>
    <row r="95" spans="1:8">
      <c r="B95" s="458"/>
      <c r="C95" s="456"/>
      <c r="D95" s="457"/>
      <c r="E95" s="457"/>
      <c r="F95" s="457"/>
      <c r="G95" s="457"/>
      <c r="H95" s="417" t="s">
        <v>572</v>
      </c>
    </row>
    <row r="96" spans="1:8">
      <c r="B96" s="458"/>
      <c r="C96" s="456"/>
      <c r="D96" s="457"/>
      <c r="E96" s="457"/>
      <c r="F96" s="457"/>
      <c r="G96" s="457"/>
      <c r="H96" s="459"/>
    </row>
    <row r="97" spans="1:8">
      <c r="B97" s="413"/>
      <c r="C97" s="415"/>
      <c r="D97" s="415"/>
      <c r="E97" s="415"/>
      <c r="F97" s="415"/>
      <c r="G97" s="415"/>
      <c r="H97" s="421"/>
    </row>
    <row r="98" spans="1:8">
      <c r="B98" s="413"/>
      <c r="C98" s="415"/>
      <c r="D98" s="415"/>
      <c r="E98" s="415"/>
      <c r="F98" s="415"/>
      <c r="G98" s="415"/>
      <c r="H98" s="421"/>
    </row>
    <row r="99" spans="1:8">
      <c r="B99" s="458" t="s">
        <v>58</v>
      </c>
      <c r="C99" s="419" t="s">
        <v>59</v>
      </c>
      <c r="D99" s="456" t="s">
        <v>60</v>
      </c>
      <c r="E99" s="456" t="s">
        <v>61</v>
      </c>
      <c r="F99" s="456" t="s">
        <v>62</v>
      </c>
      <c r="G99" s="456" t="s">
        <v>63</v>
      </c>
      <c r="H99" s="458" t="s">
        <v>64</v>
      </c>
    </row>
    <row r="100" spans="1:8">
      <c r="B100" s="421" t="s">
        <v>1465</v>
      </c>
      <c r="C100" s="420" t="s">
        <v>13</v>
      </c>
      <c r="D100" s="420" t="s">
        <v>504</v>
      </c>
      <c r="E100" s="414" t="s">
        <v>492</v>
      </c>
      <c r="F100" s="414"/>
      <c r="G100" s="414"/>
      <c r="H100" s="413"/>
    </row>
    <row r="101" spans="1:8">
      <c r="B101" s="435"/>
      <c r="C101" s="420"/>
      <c r="D101" s="420" t="s">
        <v>505</v>
      </c>
      <c r="E101" s="414" t="s">
        <v>17</v>
      </c>
      <c r="F101" s="414" t="s">
        <v>506</v>
      </c>
      <c r="G101" s="414" t="s">
        <v>459</v>
      </c>
      <c r="H101" s="413"/>
    </row>
    <row r="102" spans="1:8">
      <c r="B102" s="460"/>
      <c r="C102" s="461"/>
      <c r="D102" s="420" t="s">
        <v>467</v>
      </c>
      <c r="E102" s="414" t="s">
        <v>467</v>
      </c>
      <c r="F102" s="414" t="s">
        <v>467</v>
      </c>
      <c r="G102" s="414" t="s">
        <v>467</v>
      </c>
      <c r="H102" s="421" t="s">
        <v>507</v>
      </c>
    </row>
    <row r="103" spans="1:8">
      <c r="B103" s="413"/>
      <c r="C103" s="462"/>
      <c r="D103" s="415"/>
      <c r="E103" s="415"/>
      <c r="F103" s="415"/>
      <c r="G103" s="415"/>
      <c r="H103" s="413"/>
    </row>
    <row r="104" spans="1:8">
      <c r="A104" s="411" t="s">
        <v>573</v>
      </c>
      <c r="B104" s="934" t="s">
        <v>1111</v>
      </c>
      <c r="C104" s="935">
        <v>0</v>
      </c>
      <c r="D104" s="935">
        <v>0</v>
      </c>
      <c r="E104" s="935">
        <v>0</v>
      </c>
      <c r="F104" s="935">
        <v>0</v>
      </c>
      <c r="G104" s="935">
        <v>0</v>
      </c>
      <c r="H104" s="936"/>
    </row>
    <row r="105" spans="1:8">
      <c r="A105" s="411" t="s">
        <v>574</v>
      </c>
      <c r="B105" s="934" t="s">
        <v>702</v>
      </c>
      <c r="C105" s="935">
        <v>-29503593</v>
      </c>
      <c r="D105" s="935">
        <v>0</v>
      </c>
      <c r="E105" s="935">
        <v>0</v>
      </c>
      <c r="F105" s="935">
        <v>0</v>
      </c>
      <c r="G105" s="935">
        <v>-29503593</v>
      </c>
      <c r="H105" s="936" t="s">
        <v>949</v>
      </c>
    </row>
    <row r="106" spans="1:8">
      <c r="A106" s="411" t="s">
        <v>575</v>
      </c>
      <c r="B106" s="934" t="s">
        <v>778</v>
      </c>
      <c r="C106" s="935">
        <v>-1188168321</v>
      </c>
      <c r="D106" s="935">
        <v>-1188168321</v>
      </c>
      <c r="E106" s="935">
        <v>0</v>
      </c>
      <c r="F106" s="935">
        <v>0</v>
      </c>
      <c r="G106" s="935">
        <v>0</v>
      </c>
      <c r="H106" s="936" t="s">
        <v>950</v>
      </c>
    </row>
    <row r="107" spans="1:8">
      <c r="A107" s="430" t="s">
        <v>576</v>
      </c>
      <c r="B107" s="934" t="s">
        <v>902</v>
      </c>
      <c r="C107" s="935">
        <v>-3041661</v>
      </c>
      <c r="D107" s="935">
        <v>0</v>
      </c>
      <c r="E107" s="935">
        <v>0</v>
      </c>
      <c r="F107" s="935">
        <v>0</v>
      </c>
      <c r="G107" s="935">
        <v>-3041661</v>
      </c>
      <c r="H107" s="936" t="s">
        <v>949</v>
      </c>
    </row>
    <row r="108" spans="1:8">
      <c r="A108" s="430" t="s">
        <v>577</v>
      </c>
      <c r="B108" s="934" t="s">
        <v>17</v>
      </c>
      <c r="C108" s="935">
        <v>-226271862</v>
      </c>
      <c r="D108" s="935">
        <v>0</v>
      </c>
      <c r="E108" s="935">
        <v>-226271862</v>
      </c>
      <c r="F108" s="935">
        <v>0</v>
      </c>
      <c r="G108" s="935">
        <v>0</v>
      </c>
      <c r="H108" s="936" t="s">
        <v>901</v>
      </c>
    </row>
    <row r="109" spans="1:8">
      <c r="A109" s="430" t="s">
        <v>578</v>
      </c>
      <c r="B109" s="935"/>
      <c r="C109" s="935"/>
      <c r="D109" s="929"/>
      <c r="E109" s="929"/>
      <c r="F109" s="929"/>
      <c r="G109" s="929"/>
      <c r="H109" s="937"/>
    </row>
    <row r="110" spans="1:8">
      <c r="A110" s="430" t="s">
        <v>579</v>
      </c>
      <c r="B110" s="935"/>
      <c r="C110" s="935"/>
      <c r="D110" s="935"/>
      <c r="E110" s="935"/>
      <c r="F110" s="935"/>
      <c r="G110" s="935"/>
      <c r="H110" s="935"/>
    </row>
    <row r="111" spans="1:8">
      <c r="A111" s="430" t="s">
        <v>580</v>
      </c>
      <c r="B111" s="935"/>
      <c r="C111" s="935"/>
      <c r="D111" s="935"/>
      <c r="E111" s="935"/>
      <c r="F111" s="935"/>
      <c r="G111" s="935"/>
      <c r="H111" s="935"/>
    </row>
    <row r="112" spans="1:8">
      <c r="A112" s="430" t="s">
        <v>296</v>
      </c>
      <c r="B112" s="938"/>
      <c r="C112" s="935"/>
      <c r="D112" s="929"/>
      <c r="E112" s="929"/>
      <c r="F112" s="929"/>
      <c r="G112" s="929"/>
      <c r="H112" s="933"/>
    </row>
    <row r="113" spans="1:8">
      <c r="A113" s="430">
        <v>14</v>
      </c>
      <c r="B113" s="431" t="s">
        <v>1057</v>
      </c>
      <c r="C113" s="432">
        <f>SUM(C104:C112)</f>
        <v>-1446985437</v>
      </c>
      <c r="D113" s="432">
        <f>SUM(D103:D112)</f>
        <v>-1188168321</v>
      </c>
      <c r="E113" s="432">
        <f>SUM(E103:E112)</f>
        <v>-226271862</v>
      </c>
      <c r="F113" s="432">
        <f>SUM(F103:F112)</f>
        <v>0</v>
      </c>
      <c r="G113" s="432">
        <f>SUM(G103:G112)</f>
        <v>-32545254</v>
      </c>
      <c r="H113" s="463"/>
    </row>
    <row r="114" spans="1:8">
      <c r="A114" s="430">
        <v>15</v>
      </c>
      <c r="B114" s="431" t="s">
        <v>563</v>
      </c>
      <c r="C114" s="935">
        <v>-307962710.78626621</v>
      </c>
      <c r="D114" s="935">
        <v>-269117641</v>
      </c>
      <c r="E114" s="935">
        <v>-37128133.286266223</v>
      </c>
      <c r="F114" s="935">
        <v>0</v>
      </c>
      <c r="G114" s="935">
        <v>-1716936.5000000005</v>
      </c>
      <c r="H114" s="933"/>
    </row>
    <row r="115" spans="1:8">
      <c r="A115" s="430">
        <v>16</v>
      </c>
      <c r="B115" s="431" t="s">
        <v>564</v>
      </c>
      <c r="C115" s="929"/>
      <c r="D115" s="929"/>
      <c r="E115" s="939"/>
      <c r="F115" s="929"/>
      <c r="G115" s="929"/>
      <c r="H115" s="933"/>
    </row>
    <row r="116" spans="1:8">
      <c r="A116" s="430">
        <v>17</v>
      </c>
      <c r="B116" s="431" t="s">
        <v>1154</v>
      </c>
      <c r="C116" s="432">
        <f>+C113-C114-C115</f>
        <v>-1139022726.2137337</v>
      </c>
      <c r="D116" s="432">
        <f>+D113-D114-D115</f>
        <v>-919050680</v>
      </c>
      <c r="E116" s="432">
        <f>+E113-E114-E115</f>
        <v>-189143728.71373379</v>
      </c>
      <c r="F116" s="432">
        <f>+F113-F114-F115</f>
        <v>0</v>
      </c>
      <c r="G116" s="432">
        <f>+G113-G114-G115</f>
        <v>-30828317.5</v>
      </c>
      <c r="H116" s="463"/>
    </row>
    <row r="117" spans="1:8">
      <c r="B117" s="435"/>
      <c r="C117" s="464"/>
      <c r="D117" s="464"/>
      <c r="E117" s="464"/>
      <c r="F117" s="464"/>
      <c r="G117" s="415"/>
      <c r="H117" s="465"/>
    </row>
    <row r="118" spans="1:8" ht="15.75" thickBot="1">
      <c r="B118" s="435"/>
      <c r="C118" s="436"/>
      <c r="D118" s="415"/>
      <c r="E118" s="415"/>
      <c r="F118" s="415"/>
      <c r="G118" s="437"/>
      <c r="H118" s="1014"/>
    </row>
    <row r="119" spans="1:8">
      <c r="A119" s="430">
        <v>18</v>
      </c>
      <c r="B119" s="466" t="s">
        <v>581</v>
      </c>
      <c r="C119" s="467"/>
      <c r="D119" s="468"/>
      <c r="E119" s="468"/>
      <c r="F119" s="468"/>
      <c r="G119" s="469"/>
      <c r="H119" s="470"/>
    </row>
    <row r="120" spans="1:8">
      <c r="A120" s="430">
        <v>19</v>
      </c>
      <c r="B120" s="444" t="s">
        <v>566</v>
      </c>
      <c r="C120" s="471"/>
      <c r="D120" s="457"/>
      <c r="E120" s="457"/>
      <c r="F120" s="457"/>
      <c r="G120" s="457"/>
      <c r="H120" s="472"/>
    </row>
    <row r="121" spans="1:8">
      <c r="A121" s="430">
        <v>20</v>
      </c>
      <c r="B121" s="444" t="s">
        <v>567</v>
      </c>
      <c r="C121" s="446"/>
      <c r="D121" s="415"/>
      <c r="E121" s="415"/>
      <c r="F121" s="415"/>
      <c r="G121" s="437"/>
      <c r="H121" s="473"/>
    </row>
    <row r="122" spans="1:8">
      <c r="A122" s="430">
        <v>21</v>
      </c>
      <c r="B122" s="444" t="s">
        <v>568</v>
      </c>
      <c r="C122" s="446"/>
      <c r="D122" s="415"/>
      <c r="E122" s="415"/>
      <c r="F122" s="415"/>
      <c r="G122" s="437"/>
      <c r="H122" s="473"/>
    </row>
    <row r="123" spans="1:8">
      <c r="A123" s="430">
        <v>22</v>
      </c>
      <c r="B123" s="444" t="s">
        <v>569</v>
      </c>
      <c r="C123" s="446"/>
      <c r="D123" s="415"/>
      <c r="E123" s="415"/>
      <c r="F123" s="415"/>
      <c r="G123" s="437"/>
      <c r="H123" s="473"/>
    </row>
    <row r="124" spans="1:8">
      <c r="A124" s="430">
        <v>23</v>
      </c>
      <c r="B124" s="448" t="s">
        <v>570</v>
      </c>
      <c r="C124" s="474"/>
      <c r="D124" s="475"/>
      <c r="E124" s="475"/>
      <c r="F124" s="475"/>
      <c r="G124" s="475"/>
      <c r="H124" s="476"/>
    </row>
    <row r="125" spans="1:8">
      <c r="A125" s="430">
        <v>24</v>
      </c>
      <c r="B125" s="449" t="s">
        <v>571</v>
      </c>
      <c r="C125" s="475"/>
      <c r="D125" s="475"/>
      <c r="E125" s="475"/>
      <c r="F125" s="475"/>
      <c r="G125" s="475"/>
      <c r="H125" s="476"/>
    </row>
    <row r="126" spans="1:8" ht="15.75" thickBot="1">
      <c r="B126" s="450"/>
      <c r="C126" s="477"/>
      <c r="D126" s="478"/>
      <c r="E126" s="478"/>
      <c r="F126" s="478"/>
      <c r="G126" s="479"/>
      <c r="H126" s="480"/>
    </row>
    <row r="127" spans="1:8">
      <c r="B127" s="481"/>
      <c r="C127" s="446"/>
      <c r="D127" s="415"/>
      <c r="E127" s="415"/>
      <c r="F127" s="415"/>
      <c r="G127" s="437"/>
      <c r="H127" s="1014"/>
    </row>
    <row r="128" spans="1:8">
      <c r="B128" s="1059" t="str">
        <f>'4A - ADIT Summary'!$G$65</f>
        <v>PECO Energy Company</v>
      </c>
      <c r="C128" s="1060"/>
      <c r="D128" s="1060"/>
      <c r="E128" s="1060"/>
      <c r="F128" s="1060"/>
      <c r="G128" s="1060"/>
      <c r="H128" s="1060"/>
    </row>
    <row r="129" spans="1:8" ht="15.75">
      <c r="B129" s="413" t="s">
        <v>490</v>
      </c>
      <c r="C129" s="413"/>
      <c r="D129" s="413"/>
      <c r="E129" s="413"/>
      <c r="F129" s="413"/>
      <c r="G129" s="413"/>
      <c r="H129" s="372"/>
    </row>
    <row r="130" spans="1:8">
      <c r="B130" s="413"/>
      <c r="C130" s="413"/>
      <c r="D130" s="413"/>
      <c r="E130" s="413"/>
      <c r="F130" s="413"/>
      <c r="G130" s="413"/>
      <c r="H130" s="417"/>
    </row>
    <row r="131" spans="1:8">
      <c r="B131" s="413"/>
      <c r="C131" s="413"/>
      <c r="D131" s="413"/>
      <c r="E131" s="413"/>
      <c r="F131" s="413"/>
      <c r="G131" s="413"/>
      <c r="H131" s="417" t="s">
        <v>490</v>
      </c>
    </row>
    <row r="132" spans="1:8">
      <c r="B132" s="435"/>
      <c r="C132" s="436"/>
      <c r="D132" s="415"/>
      <c r="E132" s="415"/>
      <c r="F132" s="415"/>
      <c r="G132" s="437"/>
      <c r="H132" s="417" t="s">
        <v>582</v>
      </c>
    </row>
    <row r="133" spans="1:8">
      <c r="B133" s="458" t="s">
        <v>58</v>
      </c>
      <c r="C133" s="419" t="s">
        <v>59</v>
      </c>
      <c r="D133" s="456" t="s">
        <v>60</v>
      </c>
      <c r="E133" s="456" t="s">
        <v>61</v>
      </c>
      <c r="F133" s="456" t="s">
        <v>62</v>
      </c>
      <c r="G133" s="456" t="s">
        <v>63</v>
      </c>
      <c r="H133" s="458" t="s">
        <v>64</v>
      </c>
    </row>
    <row r="134" spans="1:8">
      <c r="B134" s="421" t="s">
        <v>1466</v>
      </c>
      <c r="C134" s="420" t="s">
        <v>13</v>
      </c>
      <c r="D134" s="420" t="s">
        <v>504</v>
      </c>
      <c r="E134" s="414" t="s">
        <v>492</v>
      </c>
      <c r="F134" s="414"/>
      <c r="G134" s="414"/>
      <c r="H134" s="413"/>
    </row>
    <row r="135" spans="1:8">
      <c r="B135" s="413"/>
      <c r="C135" s="420"/>
      <c r="D135" s="420" t="s">
        <v>505</v>
      </c>
      <c r="E135" s="414" t="s">
        <v>17</v>
      </c>
      <c r="F135" s="414" t="s">
        <v>506</v>
      </c>
      <c r="G135" s="414" t="s">
        <v>459</v>
      </c>
      <c r="H135" s="413"/>
    </row>
    <row r="136" spans="1:8">
      <c r="B136" s="460"/>
      <c r="C136" s="461"/>
      <c r="D136" s="420" t="s">
        <v>467</v>
      </c>
      <c r="E136" s="414" t="s">
        <v>467</v>
      </c>
      <c r="F136" s="414" t="s">
        <v>467</v>
      </c>
      <c r="G136" s="414" t="s">
        <v>467</v>
      </c>
      <c r="H136" s="421" t="s">
        <v>507</v>
      </c>
    </row>
    <row r="137" spans="1:8">
      <c r="B137" s="460"/>
      <c r="C137" s="461"/>
      <c r="D137" s="415"/>
      <c r="E137" s="415"/>
      <c r="F137" s="415"/>
      <c r="G137" s="415"/>
      <c r="H137" s="413"/>
    </row>
    <row r="138" spans="1:8">
      <c r="B138" s="460"/>
      <c r="C138" s="461"/>
      <c r="D138" s="415"/>
      <c r="E138" s="415"/>
      <c r="F138" s="415"/>
      <c r="G138" s="415"/>
      <c r="H138" s="413"/>
    </row>
    <row r="139" spans="1:8">
      <c r="A139" s="411">
        <v>25</v>
      </c>
      <c r="B139" s="929" t="s">
        <v>914</v>
      </c>
      <c r="C139" s="929">
        <v>-3337244</v>
      </c>
      <c r="D139" s="929">
        <v>-3337244</v>
      </c>
      <c r="E139" s="929">
        <v>0</v>
      </c>
      <c r="F139" s="929">
        <v>0</v>
      </c>
      <c r="G139" s="929">
        <v>0</v>
      </c>
      <c r="H139" s="936" t="s">
        <v>944</v>
      </c>
    </row>
    <row r="140" spans="1:8">
      <c r="A140" s="411" t="s">
        <v>583</v>
      </c>
      <c r="B140" s="929" t="s">
        <v>903</v>
      </c>
      <c r="C140" s="929">
        <v>-848268</v>
      </c>
      <c r="D140" s="929">
        <v>-848268</v>
      </c>
      <c r="E140" s="929">
        <v>0</v>
      </c>
      <c r="F140" s="929">
        <v>0</v>
      </c>
      <c r="G140" s="929">
        <v>0</v>
      </c>
      <c r="H140" s="936" t="s">
        <v>944</v>
      </c>
    </row>
    <row r="141" spans="1:8">
      <c r="A141" s="411" t="s">
        <v>584</v>
      </c>
      <c r="B141" s="929" t="s">
        <v>915</v>
      </c>
      <c r="C141" s="929">
        <v>-321464</v>
      </c>
      <c r="D141" s="929">
        <v>0</v>
      </c>
      <c r="E141" s="929">
        <v>0</v>
      </c>
      <c r="F141" s="929">
        <v>-321464</v>
      </c>
      <c r="G141" s="929">
        <v>0</v>
      </c>
      <c r="H141" s="936" t="s">
        <v>951</v>
      </c>
    </row>
    <row r="142" spans="1:8">
      <c r="A142" s="411" t="s">
        <v>585</v>
      </c>
      <c r="B142" s="929" t="s">
        <v>904</v>
      </c>
      <c r="C142" s="929">
        <v>-417587</v>
      </c>
      <c r="D142" s="929">
        <v>-417587</v>
      </c>
      <c r="E142" s="929">
        <v>0</v>
      </c>
      <c r="F142" s="929">
        <v>0</v>
      </c>
      <c r="G142" s="929">
        <v>0</v>
      </c>
      <c r="H142" s="936" t="s">
        <v>944</v>
      </c>
    </row>
    <row r="143" spans="1:8">
      <c r="A143" s="430" t="s">
        <v>586</v>
      </c>
      <c r="B143" s="929" t="s">
        <v>905</v>
      </c>
      <c r="C143" s="929">
        <v>-1350453</v>
      </c>
      <c r="D143" s="929">
        <v>-1350453</v>
      </c>
      <c r="E143" s="929">
        <v>0</v>
      </c>
      <c r="F143" s="929">
        <v>0</v>
      </c>
      <c r="G143" s="929">
        <v>0</v>
      </c>
      <c r="H143" s="936" t="s">
        <v>944</v>
      </c>
    </row>
    <row r="144" spans="1:8">
      <c r="A144" s="430" t="s">
        <v>587</v>
      </c>
      <c r="B144" s="929" t="s">
        <v>906</v>
      </c>
      <c r="C144" s="929">
        <v>-68443</v>
      </c>
      <c r="D144" s="929">
        <v>-68443</v>
      </c>
      <c r="E144" s="929">
        <v>0</v>
      </c>
      <c r="F144" s="929">
        <v>0</v>
      </c>
      <c r="G144" s="929">
        <v>0</v>
      </c>
      <c r="H144" s="936" t="s">
        <v>944</v>
      </c>
    </row>
    <row r="145" spans="1:8">
      <c r="A145" s="430" t="s">
        <v>588</v>
      </c>
      <c r="B145" s="929" t="s">
        <v>907</v>
      </c>
      <c r="C145" s="929">
        <v>-415762</v>
      </c>
      <c r="D145" s="929">
        <v>-415762</v>
      </c>
      <c r="E145" s="929">
        <v>0</v>
      </c>
      <c r="F145" s="929">
        <v>0</v>
      </c>
      <c r="G145" s="929">
        <v>0</v>
      </c>
      <c r="H145" s="936" t="s">
        <v>944</v>
      </c>
    </row>
    <row r="146" spans="1:8">
      <c r="A146" s="430" t="s">
        <v>589</v>
      </c>
      <c r="B146" s="929" t="s">
        <v>952</v>
      </c>
      <c r="C146" s="929">
        <v>-203599.37256033</v>
      </c>
      <c r="D146" s="929">
        <v>-203599.37256033</v>
      </c>
      <c r="E146" s="929">
        <v>0</v>
      </c>
      <c r="F146" s="929">
        <v>0</v>
      </c>
      <c r="G146" s="929">
        <v>0</v>
      </c>
      <c r="H146" s="936" t="s">
        <v>944</v>
      </c>
    </row>
    <row r="147" spans="1:8">
      <c r="A147" s="430" t="s">
        <v>590</v>
      </c>
      <c r="B147" s="929" t="s">
        <v>953</v>
      </c>
      <c r="C147" s="929">
        <v>-385014</v>
      </c>
      <c r="D147" s="929">
        <v>-385014</v>
      </c>
      <c r="E147" s="929">
        <v>0</v>
      </c>
      <c r="F147" s="929">
        <v>0</v>
      </c>
      <c r="G147" s="929">
        <v>0</v>
      </c>
      <c r="H147" s="936" t="s">
        <v>944</v>
      </c>
    </row>
    <row r="148" spans="1:8">
      <c r="A148" s="430" t="s">
        <v>591</v>
      </c>
      <c r="B148" s="929" t="s">
        <v>908</v>
      </c>
      <c r="C148" s="929">
        <v>-242518</v>
      </c>
      <c r="D148" s="929">
        <v>0</v>
      </c>
      <c r="E148" s="929">
        <v>0</v>
      </c>
      <c r="F148" s="929">
        <v>0</v>
      </c>
      <c r="G148" s="929">
        <v>-242518</v>
      </c>
      <c r="H148" s="940" t="s">
        <v>954</v>
      </c>
    </row>
    <row r="149" spans="1:8">
      <c r="A149" s="430" t="s">
        <v>592</v>
      </c>
      <c r="B149" s="929" t="s">
        <v>955</v>
      </c>
      <c r="C149" s="929">
        <v>-575647</v>
      </c>
      <c r="D149" s="929">
        <v>-575647</v>
      </c>
      <c r="E149" s="929">
        <v>0</v>
      </c>
      <c r="F149" s="929">
        <v>0</v>
      </c>
      <c r="G149" s="929">
        <v>0</v>
      </c>
      <c r="H149" s="940" t="s">
        <v>878</v>
      </c>
    </row>
    <row r="150" spans="1:8">
      <c r="A150" s="430" t="s">
        <v>593</v>
      </c>
      <c r="B150" s="929" t="s">
        <v>956</v>
      </c>
      <c r="C150" s="929">
        <v>0</v>
      </c>
      <c r="D150" s="929">
        <v>0</v>
      </c>
      <c r="E150" s="929">
        <v>0</v>
      </c>
      <c r="F150" s="929">
        <v>0</v>
      </c>
      <c r="G150" s="929">
        <v>0</v>
      </c>
      <c r="H150" s="936">
        <v>0</v>
      </c>
    </row>
    <row r="151" spans="1:8" ht="30">
      <c r="A151" s="430" t="s">
        <v>594</v>
      </c>
      <c r="B151" s="929" t="s">
        <v>957</v>
      </c>
      <c r="C151" s="929">
        <v>-111361.24659113595</v>
      </c>
      <c r="D151" s="929">
        <v>0</v>
      </c>
      <c r="E151" s="929">
        <v>0</v>
      </c>
      <c r="F151" s="929">
        <v>-111361.24659113595</v>
      </c>
      <c r="G151" s="929">
        <v>0</v>
      </c>
      <c r="H151" s="936" t="s">
        <v>958</v>
      </c>
    </row>
    <row r="152" spans="1:8">
      <c r="A152" s="430" t="s">
        <v>595</v>
      </c>
      <c r="B152" s="929" t="s">
        <v>959</v>
      </c>
      <c r="C152" s="929">
        <v>-1595004.7078475344</v>
      </c>
      <c r="D152" s="929">
        <v>-1595004.7078475344</v>
      </c>
      <c r="E152" s="929">
        <v>0</v>
      </c>
      <c r="F152" s="929">
        <v>0</v>
      </c>
      <c r="G152" s="929">
        <v>0</v>
      </c>
      <c r="H152" s="936" t="s">
        <v>960</v>
      </c>
    </row>
    <row r="153" spans="1:8">
      <c r="A153" s="430" t="s">
        <v>596</v>
      </c>
      <c r="B153" s="929" t="s">
        <v>961</v>
      </c>
      <c r="C153" s="929">
        <v>-3337244.1602963097</v>
      </c>
      <c r="D153" s="929">
        <v>-3337244.1602963097</v>
      </c>
      <c r="E153" s="929">
        <v>0</v>
      </c>
      <c r="F153" s="929">
        <v>0</v>
      </c>
      <c r="G153" s="929">
        <v>0</v>
      </c>
      <c r="H153" s="936" t="s">
        <v>944</v>
      </c>
    </row>
    <row r="154" spans="1:8">
      <c r="A154" s="430" t="s">
        <v>597</v>
      </c>
      <c r="B154" s="929" t="s">
        <v>1246</v>
      </c>
      <c r="C154" s="929">
        <v>-1.1556840035989269E-2</v>
      </c>
      <c r="D154" s="929">
        <v>-1.1556840035989269E-2</v>
      </c>
      <c r="E154" s="929">
        <v>0</v>
      </c>
      <c r="F154" s="929">
        <v>0</v>
      </c>
      <c r="G154" s="929">
        <v>0</v>
      </c>
      <c r="H154" s="936" t="s">
        <v>944</v>
      </c>
    </row>
    <row r="155" spans="1:8">
      <c r="A155" s="430" t="s">
        <v>598</v>
      </c>
      <c r="B155" s="929" t="s">
        <v>1247</v>
      </c>
      <c r="C155" s="929">
        <v>-1567342.1078519998</v>
      </c>
      <c r="D155" s="929">
        <v>-1567342.1078519998</v>
      </c>
      <c r="E155" s="929">
        <v>0</v>
      </c>
      <c r="F155" s="929">
        <v>0</v>
      </c>
      <c r="G155" s="929">
        <v>0</v>
      </c>
      <c r="H155" s="936" t="s">
        <v>944</v>
      </c>
    </row>
    <row r="156" spans="1:8">
      <c r="A156" s="430" t="s">
        <v>599</v>
      </c>
      <c r="B156" s="929" t="s">
        <v>886</v>
      </c>
      <c r="C156" s="929">
        <v>-205033.817364444</v>
      </c>
      <c r="D156" s="929">
        <v>0</v>
      </c>
      <c r="E156" s="929">
        <v>0</v>
      </c>
      <c r="F156" s="929">
        <v>0</v>
      </c>
      <c r="G156" s="929">
        <v>-205033.817364444</v>
      </c>
      <c r="H156" s="936" t="s">
        <v>930</v>
      </c>
    </row>
    <row r="157" spans="1:8" ht="30">
      <c r="A157" s="430" t="s">
        <v>600</v>
      </c>
      <c r="B157" s="929" t="s">
        <v>1248</v>
      </c>
      <c r="C157" s="929">
        <v>-2.8892099984864326E-3</v>
      </c>
      <c r="D157" s="929">
        <v>0</v>
      </c>
      <c r="E157" s="929">
        <v>0</v>
      </c>
      <c r="F157" s="929">
        <v>0</v>
      </c>
      <c r="G157" s="929">
        <v>0</v>
      </c>
      <c r="H157" s="936" t="s">
        <v>963</v>
      </c>
    </row>
    <row r="158" spans="1:8">
      <c r="A158" s="430" t="s">
        <v>601</v>
      </c>
      <c r="B158" s="929" t="s">
        <v>962</v>
      </c>
      <c r="C158" s="929">
        <v>0</v>
      </c>
      <c r="D158" s="929">
        <v>0</v>
      </c>
      <c r="E158" s="929">
        <v>0</v>
      </c>
      <c r="F158" s="929">
        <v>0</v>
      </c>
      <c r="G158" s="929">
        <v>0</v>
      </c>
      <c r="H158" s="936" t="s">
        <v>944</v>
      </c>
    </row>
    <row r="159" spans="1:8" ht="30">
      <c r="A159" s="430" t="s">
        <v>602</v>
      </c>
      <c r="B159" s="929" t="s">
        <v>964</v>
      </c>
      <c r="C159" s="929">
        <v>-1.1556840001303349E-2</v>
      </c>
      <c r="D159" s="929">
        <v>0</v>
      </c>
      <c r="E159" s="929">
        <v>0</v>
      </c>
      <c r="F159" s="929">
        <v>0</v>
      </c>
      <c r="G159" s="929">
        <v>-1.1556840001303349E-2</v>
      </c>
      <c r="H159" s="936" t="s">
        <v>1396</v>
      </c>
    </row>
    <row r="160" spans="1:8">
      <c r="A160" s="430" t="s">
        <v>603</v>
      </c>
      <c r="B160" s="929" t="s">
        <v>892</v>
      </c>
      <c r="C160" s="929">
        <v>237902.43851464428</v>
      </c>
      <c r="D160" s="929">
        <v>237902.43851464428</v>
      </c>
      <c r="E160" s="929">
        <v>0</v>
      </c>
      <c r="F160" s="929">
        <v>0</v>
      </c>
      <c r="G160" s="929">
        <v>0</v>
      </c>
      <c r="H160" s="936" t="s">
        <v>965</v>
      </c>
    </row>
    <row r="161" spans="1:10" ht="30">
      <c r="A161" s="430" t="s">
        <v>604</v>
      </c>
      <c r="B161" s="929" t="s">
        <v>911</v>
      </c>
      <c r="C161" s="929">
        <v>-92669768</v>
      </c>
      <c r="D161" s="929">
        <v>0</v>
      </c>
      <c r="E161" s="929">
        <v>0</v>
      </c>
      <c r="F161" s="929">
        <v>0</v>
      </c>
      <c r="G161" s="929">
        <v>-92669768</v>
      </c>
      <c r="H161" s="936" t="s">
        <v>941</v>
      </c>
    </row>
    <row r="162" spans="1:10">
      <c r="A162" s="430" t="s">
        <v>605</v>
      </c>
      <c r="B162" s="929" t="s">
        <v>1249</v>
      </c>
      <c r="C162" s="929">
        <v>-7896920</v>
      </c>
      <c r="D162" s="929">
        <v>-7896920</v>
      </c>
      <c r="E162" s="929">
        <v>0</v>
      </c>
      <c r="F162" s="929">
        <v>0</v>
      </c>
      <c r="G162" s="929">
        <v>0</v>
      </c>
      <c r="H162" s="936" t="s">
        <v>1250</v>
      </c>
    </row>
    <row r="163" spans="1:10">
      <c r="A163" s="430" t="s">
        <v>606</v>
      </c>
      <c r="B163" s="929" t="s">
        <v>916</v>
      </c>
      <c r="C163" s="929">
        <v>-3278057</v>
      </c>
      <c r="D163" s="929">
        <v>0</v>
      </c>
      <c r="E163" s="929">
        <v>0</v>
      </c>
      <c r="F163" s="929">
        <v>-3278057</v>
      </c>
      <c r="G163" s="929">
        <v>0</v>
      </c>
      <c r="H163" s="936" t="s">
        <v>966</v>
      </c>
    </row>
    <row r="164" spans="1:10">
      <c r="A164" s="430" t="s">
        <v>607</v>
      </c>
      <c r="B164" s="929" t="s">
        <v>1591</v>
      </c>
      <c r="C164" s="929">
        <v>-5001186</v>
      </c>
      <c r="D164" s="929">
        <v>-5001186</v>
      </c>
      <c r="E164" s="929">
        <v>0</v>
      </c>
      <c r="F164" s="929">
        <v>0</v>
      </c>
      <c r="G164" s="929">
        <v>0</v>
      </c>
      <c r="H164" s="936"/>
    </row>
    <row r="165" spans="1:10">
      <c r="A165" s="430" t="s">
        <v>608</v>
      </c>
      <c r="B165" s="929" t="s">
        <v>1591</v>
      </c>
      <c r="C165" s="929">
        <v>0</v>
      </c>
      <c r="D165" s="929">
        <v>0</v>
      </c>
      <c r="E165" s="929">
        <v>0</v>
      </c>
      <c r="F165" s="929">
        <v>0</v>
      </c>
      <c r="G165" s="929">
        <v>0</v>
      </c>
      <c r="H165" s="941"/>
    </row>
    <row r="166" spans="1:10">
      <c r="A166" s="430" t="s">
        <v>609</v>
      </c>
      <c r="B166" s="929"/>
      <c r="C166" s="929"/>
      <c r="D166" s="929"/>
      <c r="E166" s="929"/>
      <c r="F166" s="929"/>
      <c r="G166" s="929"/>
      <c r="H166" s="932"/>
    </row>
    <row r="167" spans="1:10">
      <c r="A167" s="430" t="s">
        <v>610</v>
      </c>
      <c r="B167" s="941"/>
      <c r="C167" s="929"/>
      <c r="D167" s="929"/>
      <c r="E167" s="929"/>
      <c r="F167" s="929"/>
      <c r="G167" s="929"/>
      <c r="H167" s="941"/>
    </row>
    <row r="168" spans="1:10">
      <c r="A168" s="430" t="s">
        <v>611</v>
      </c>
      <c r="B168" s="941"/>
      <c r="C168" s="929"/>
      <c r="D168" s="929"/>
      <c r="E168" s="929"/>
      <c r="F168" s="929"/>
      <c r="G168" s="929"/>
      <c r="H168" s="942"/>
    </row>
    <row r="169" spans="1:10">
      <c r="A169" s="430" t="s">
        <v>612</v>
      </c>
      <c r="B169" s="941"/>
      <c r="C169" s="929"/>
      <c r="D169" s="929"/>
      <c r="E169" s="929"/>
      <c r="F169" s="929"/>
      <c r="G169" s="929"/>
      <c r="H169" s="941"/>
    </row>
    <row r="170" spans="1:10">
      <c r="A170" s="430" t="s">
        <v>613</v>
      </c>
      <c r="B170" s="943"/>
      <c r="C170" s="929"/>
      <c r="D170" s="929"/>
      <c r="E170" s="929"/>
      <c r="F170" s="929"/>
      <c r="G170" s="929"/>
      <c r="H170" s="943"/>
    </row>
    <row r="171" spans="1:10">
      <c r="A171" s="411" t="s">
        <v>614</v>
      </c>
      <c r="B171" s="938"/>
      <c r="C171" s="929"/>
      <c r="D171" s="929"/>
      <c r="E171" s="929"/>
      <c r="F171" s="929"/>
      <c r="G171" s="929"/>
      <c r="H171" s="944"/>
    </row>
    <row r="172" spans="1:10">
      <c r="A172" s="411" t="s">
        <v>615</v>
      </c>
      <c r="B172" s="945"/>
      <c r="C172" s="929"/>
      <c r="D172" s="929"/>
      <c r="E172" s="929"/>
      <c r="F172" s="929"/>
      <c r="G172" s="929"/>
      <c r="H172" s="943"/>
    </row>
    <row r="173" spans="1:10">
      <c r="A173" s="430" t="s">
        <v>615</v>
      </c>
      <c r="B173" s="938"/>
      <c r="C173" s="929"/>
      <c r="D173" s="929"/>
      <c r="E173" s="929"/>
      <c r="F173" s="929"/>
      <c r="G173" s="929"/>
      <c r="H173" s="938"/>
    </row>
    <row r="174" spans="1:10">
      <c r="A174" s="411">
        <v>26</v>
      </c>
      <c r="B174" s="431" t="s">
        <v>1059</v>
      </c>
      <c r="C174" s="482">
        <f>SUM(C139:C173)</f>
        <v>-123590014</v>
      </c>
      <c r="D174" s="482">
        <f>SUM(D139:D173)</f>
        <v>-26761811.921598367</v>
      </c>
      <c r="E174" s="482">
        <f>SUM(E136:E173)</f>
        <v>0</v>
      </c>
      <c r="F174" s="482">
        <f>SUM(F136:F173)</f>
        <v>-3710882.2465911359</v>
      </c>
      <c r="G174" s="482">
        <f>SUM(G136:G173)</f>
        <v>-93117319.828921288</v>
      </c>
      <c r="H174" s="483"/>
      <c r="J174" s="434"/>
    </row>
    <row r="175" spans="1:10">
      <c r="A175" s="411">
        <v>27</v>
      </c>
      <c r="B175" s="431" t="s">
        <v>563</v>
      </c>
      <c r="C175" s="939">
        <v>15566921.682643324</v>
      </c>
      <c r="D175" s="939">
        <v>-1984445.7999999998</v>
      </c>
      <c r="E175" s="939">
        <v>0</v>
      </c>
      <c r="F175" s="939">
        <v>1871051.8</v>
      </c>
      <c r="G175" s="939">
        <v>15680315.682643324</v>
      </c>
      <c r="H175" s="938"/>
    </row>
    <row r="176" spans="1:10">
      <c r="A176" s="411">
        <v>28</v>
      </c>
      <c r="B176" s="431" t="s">
        <v>564</v>
      </c>
      <c r="C176" s="929"/>
      <c r="D176" s="946"/>
      <c r="E176" s="946"/>
      <c r="F176" s="946"/>
      <c r="G176" s="946"/>
      <c r="H176" s="938"/>
    </row>
    <row r="177" spans="1:8">
      <c r="A177" s="430">
        <v>29</v>
      </c>
      <c r="B177" s="431" t="s">
        <v>13</v>
      </c>
      <c r="C177" s="482">
        <f>C174-C175-C176</f>
        <v>-139156935.68264332</v>
      </c>
      <c r="D177" s="482">
        <f>+D174-D175-D176</f>
        <v>-24777366.121598367</v>
      </c>
      <c r="E177" s="482">
        <f>+E174-E175-E176</f>
        <v>0</v>
      </c>
      <c r="F177" s="482">
        <f>+F174-F175-F176</f>
        <v>-5581934.0465911357</v>
      </c>
      <c r="G177" s="482">
        <f>+G174-G175-G176</f>
        <v>-108797635.51156461</v>
      </c>
      <c r="H177" s="483"/>
    </row>
    <row r="178" spans="1:8" ht="15.75" thickBot="1">
      <c r="A178" s="430"/>
      <c r="B178" s="435"/>
      <c r="C178" s="484"/>
      <c r="D178" s="484"/>
      <c r="E178" s="484"/>
      <c r="F178" s="484"/>
      <c r="G178" s="484"/>
      <c r="H178" s="460"/>
    </row>
    <row r="179" spans="1:8">
      <c r="A179" s="430">
        <v>30</v>
      </c>
      <c r="B179" s="466" t="s">
        <v>616</v>
      </c>
    </row>
    <row r="180" spans="1:8">
      <c r="A180" s="430">
        <v>31</v>
      </c>
      <c r="B180" s="444" t="s">
        <v>566</v>
      </c>
    </row>
    <row r="181" spans="1:8">
      <c r="A181" s="430">
        <v>32</v>
      </c>
      <c r="B181" s="444" t="s">
        <v>567</v>
      </c>
    </row>
    <row r="182" spans="1:8">
      <c r="A182" s="430">
        <v>33</v>
      </c>
      <c r="B182" s="444" t="s">
        <v>568</v>
      </c>
    </row>
    <row r="183" spans="1:8">
      <c r="A183" s="430">
        <v>34</v>
      </c>
      <c r="B183" s="444" t="s">
        <v>569</v>
      </c>
    </row>
    <row r="184" spans="1:8">
      <c r="A184" s="430">
        <v>35</v>
      </c>
      <c r="B184" s="448" t="s">
        <v>570</v>
      </c>
    </row>
    <row r="185" spans="1:8">
      <c r="A185" s="430">
        <v>36</v>
      </c>
      <c r="B185" s="449" t="s">
        <v>571</v>
      </c>
    </row>
    <row r="186" spans="1:8">
      <c r="B186" s="481"/>
    </row>
    <row r="187" spans="1:8">
      <c r="B187" s="413"/>
    </row>
    <row r="188" spans="1:8">
      <c r="B188" s="413"/>
    </row>
  </sheetData>
  <sheetProtection algorithmName="SHA-512" hashValue="/1nX1e9Qrnyc9k5EMHgD0/lRQ4GuPKTXN+4f0OVychxINSpJ9V5UyJ5B4Ado/K/xSEJu2FYTiP0rcnd/DPBgJA==" saltValue="Wla6FdpT/NYqOScTzkbuHw==" spinCount="100000" sheet="1" objects="1" scenarios="1"/>
  <mergeCells count="4">
    <mergeCell ref="B1:H1"/>
    <mergeCell ref="B91:H91"/>
    <mergeCell ref="B128:H128"/>
    <mergeCell ref="B2:H2"/>
  </mergeCells>
  <pageMargins left="0.7" right="0.7" top="0.75" bottom="0.75" header="0.3" footer="0.3"/>
  <pageSetup scale="40" fitToHeight="0" orientation="landscape" r:id="rId1"/>
  <rowBreaks count="2" manualBreakCount="2">
    <brk id="89" max="7" man="1"/>
    <brk id="126" max="7" man="1"/>
  </rowBreaks>
  <ignoredErrors>
    <ignoredError sqref="C174: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80"/>
  <sheetViews>
    <sheetView view="pageBreakPreview" topLeftCell="A129" zoomScale="50" zoomScaleNormal="80" zoomScaleSheetLayoutView="50" workbookViewId="0">
      <selection activeCell="B51" sqref="B51"/>
    </sheetView>
  </sheetViews>
  <sheetFormatPr defaultColWidth="8.88671875" defaultRowHeight="15"/>
  <cols>
    <col min="1" max="1" width="4.88671875" style="411" customWidth="1"/>
    <col min="2" max="2" width="51.33203125" style="371" customWidth="1"/>
    <col min="3" max="7" width="17.33203125" style="371" customWidth="1"/>
    <col min="8" max="8" width="103.77734375" style="494" customWidth="1"/>
    <col min="9" max="9" width="8.88671875" style="370"/>
    <col min="10" max="10" width="8.77734375" style="370" customWidth="1"/>
    <col min="11" max="16384" width="8.88671875" style="370"/>
  </cols>
  <sheetData>
    <row r="1" spans="1:9">
      <c r="B1" s="1057" t="s">
        <v>1062</v>
      </c>
      <c r="C1" s="1058"/>
      <c r="D1" s="1058"/>
      <c r="E1" s="1058"/>
      <c r="F1" s="1058"/>
      <c r="G1" s="1058"/>
      <c r="H1" s="1058"/>
      <c r="I1" s="373"/>
    </row>
    <row r="2" spans="1:9">
      <c r="B2" s="1059" t="str">
        <f>'4A - ADIT Summary'!$G$65</f>
        <v>PECO Energy Company</v>
      </c>
      <c r="C2" s="1060"/>
      <c r="D2" s="1060"/>
      <c r="E2" s="1060"/>
      <c r="F2" s="1060"/>
      <c r="G2" s="1060"/>
      <c r="H2" s="1060"/>
      <c r="I2" s="373"/>
    </row>
    <row r="3" spans="1:9">
      <c r="B3" s="413" t="s">
        <v>617</v>
      </c>
      <c r="C3" s="413"/>
      <c r="D3" s="413"/>
      <c r="E3" s="413"/>
      <c r="F3" s="413"/>
      <c r="G3" s="413"/>
      <c r="H3" s="487"/>
      <c r="I3" s="373"/>
    </row>
    <row r="4" spans="1:9">
      <c r="B4" s="458" t="s">
        <v>58</v>
      </c>
      <c r="C4" s="456" t="s">
        <v>59</v>
      </c>
      <c r="D4" s="456" t="s">
        <v>60</v>
      </c>
      <c r="E4" s="456" t="s">
        <v>61</v>
      </c>
      <c r="F4" s="456" t="s">
        <v>62</v>
      </c>
      <c r="G4" s="456" t="s">
        <v>63</v>
      </c>
      <c r="H4" s="487" t="s">
        <v>617</v>
      </c>
      <c r="I4" s="373"/>
    </row>
    <row r="5" spans="1:9">
      <c r="B5" s="413"/>
      <c r="C5" s="413"/>
      <c r="D5" s="420" t="s">
        <v>504</v>
      </c>
      <c r="E5" s="414" t="s">
        <v>492</v>
      </c>
      <c r="F5" s="415"/>
      <c r="G5" s="414"/>
      <c r="H5" s="487" t="s">
        <v>491</v>
      </c>
      <c r="I5" s="373"/>
    </row>
    <row r="6" spans="1:9">
      <c r="B6" s="413"/>
      <c r="C6" s="413"/>
      <c r="D6" s="420" t="s">
        <v>505</v>
      </c>
      <c r="E6" s="414" t="s">
        <v>17</v>
      </c>
      <c r="F6" s="414" t="s">
        <v>506</v>
      </c>
      <c r="G6" s="414" t="s">
        <v>459</v>
      </c>
      <c r="H6" s="488"/>
      <c r="I6" s="373"/>
    </row>
    <row r="7" spans="1:9">
      <c r="B7" s="413"/>
      <c r="C7" s="385" t="s">
        <v>13</v>
      </c>
      <c r="D7" s="420" t="s">
        <v>467</v>
      </c>
      <c r="E7" s="414" t="s">
        <v>467</v>
      </c>
      <c r="F7" s="414" t="s">
        <v>467</v>
      </c>
      <c r="G7" s="414" t="s">
        <v>467</v>
      </c>
      <c r="H7" s="488"/>
      <c r="I7" s="373"/>
    </row>
    <row r="8" spans="1:9">
      <c r="B8" s="413"/>
      <c r="C8" s="413"/>
      <c r="D8" s="413"/>
      <c r="E8" s="415"/>
      <c r="F8" s="415"/>
      <c r="G8" s="415"/>
      <c r="H8" s="487"/>
      <c r="I8" s="373"/>
    </row>
    <row r="9" spans="1:9">
      <c r="A9" s="411" t="s">
        <v>493</v>
      </c>
      <c r="B9" s="421" t="s">
        <v>474</v>
      </c>
      <c r="C9" s="489">
        <f>+C111</f>
        <v>-1261244191.7069497</v>
      </c>
      <c r="D9" s="413"/>
      <c r="E9" s="489">
        <f>E111</f>
        <v>-200390142.88362911</v>
      </c>
      <c r="F9" s="489">
        <f>F111</f>
        <v>0</v>
      </c>
      <c r="G9" s="489">
        <f>G111</f>
        <v>-31198495.823320538</v>
      </c>
      <c r="H9" s="475" t="s">
        <v>496</v>
      </c>
      <c r="I9" s="373"/>
    </row>
    <row r="10" spans="1:9">
      <c r="A10" s="411" t="s">
        <v>495</v>
      </c>
      <c r="B10" s="421" t="s">
        <v>480</v>
      </c>
      <c r="C10" s="489">
        <f>+C171</f>
        <v>-129949789.65678923</v>
      </c>
      <c r="D10" s="413"/>
      <c r="E10" s="489">
        <f>E171</f>
        <v>0</v>
      </c>
      <c r="F10" s="489">
        <f>F171</f>
        <v>-5165133.0714999996</v>
      </c>
      <c r="G10" s="489">
        <f>G171</f>
        <v>-104384870.66503523</v>
      </c>
      <c r="H10" s="475" t="s">
        <v>498</v>
      </c>
      <c r="I10" s="373"/>
    </row>
    <row r="11" spans="1:9">
      <c r="A11" s="411" t="s">
        <v>497</v>
      </c>
      <c r="B11" s="421" t="s">
        <v>483</v>
      </c>
      <c r="C11" s="489">
        <f>+C76</f>
        <v>169734783.94518024</v>
      </c>
      <c r="D11" s="413"/>
      <c r="E11" s="489">
        <f>E76</f>
        <v>0</v>
      </c>
      <c r="F11" s="489">
        <f>F76</f>
        <v>19259192.784540229</v>
      </c>
      <c r="G11" s="489">
        <f>G76</f>
        <v>116408740.36</v>
      </c>
      <c r="H11" s="475" t="s">
        <v>494</v>
      </c>
      <c r="I11" s="373"/>
    </row>
    <row r="12" spans="1:9">
      <c r="A12" s="411" t="s">
        <v>499</v>
      </c>
      <c r="B12" s="421" t="s">
        <v>500</v>
      </c>
      <c r="C12" s="489">
        <f>SUM(C9:C11)</f>
        <v>-1221459197.4185588</v>
      </c>
      <c r="D12" s="413"/>
      <c r="E12" s="489">
        <f>SUM(E9:E11)</f>
        <v>-200390142.88362911</v>
      </c>
      <c r="F12" s="489">
        <f>SUM(F9:F11)</f>
        <v>14094059.713040229</v>
      </c>
      <c r="G12" s="489">
        <f>SUM(G9:G11)</f>
        <v>-19174626.128355756</v>
      </c>
      <c r="H12" s="475" t="s">
        <v>501</v>
      </c>
      <c r="I12" s="373"/>
    </row>
    <row r="13" spans="1:9">
      <c r="B13" s="421"/>
      <c r="C13" s="489"/>
      <c r="D13" s="489"/>
      <c r="E13" s="490"/>
      <c r="F13" s="490"/>
      <c r="G13" s="490"/>
      <c r="H13" s="491"/>
      <c r="I13" s="373"/>
    </row>
    <row r="14" spans="1:9">
      <c r="B14" s="413"/>
      <c r="C14" s="489"/>
      <c r="D14" s="489"/>
      <c r="E14" s="489"/>
      <c r="F14" s="489"/>
      <c r="G14" s="489"/>
      <c r="H14" s="491"/>
      <c r="I14" s="373"/>
    </row>
    <row r="15" spans="1:9">
      <c r="B15" s="421"/>
      <c r="C15" s="489"/>
      <c r="D15" s="489"/>
      <c r="E15" s="489"/>
      <c r="F15" s="489"/>
      <c r="G15" s="489"/>
      <c r="H15" s="492"/>
      <c r="I15" s="373"/>
    </row>
    <row r="16" spans="1:9">
      <c r="B16" s="413"/>
      <c r="C16" s="415"/>
      <c r="D16" s="415"/>
      <c r="E16" s="415"/>
      <c r="F16" s="415"/>
      <c r="G16" s="415"/>
      <c r="H16" s="488"/>
      <c r="I16" s="373"/>
    </row>
    <row r="17" spans="1:12">
      <c r="A17" s="411" t="s">
        <v>8</v>
      </c>
      <c r="B17" s="412" t="s">
        <v>502</v>
      </c>
      <c r="C17" s="493"/>
      <c r="D17" s="415"/>
      <c r="E17" s="415"/>
      <c r="F17" s="415"/>
      <c r="G17" s="415"/>
      <c r="H17" s="488"/>
      <c r="I17" s="373"/>
    </row>
    <row r="18" spans="1:12">
      <c r="B18" s="424" t="s">
        <v>503</v>
      </c>
      <c r="C18" s="425"/>
      <c r="D18" s="406"/>
      <c r="E18" s="406"/>
      <c r="F18" s="406"/>
      <c r="G18" s="406"/>
    </row>
    <row r="19" spans="1:12">
      <c r="B19" s="418" t="s">
        <v>58</v>
      </c>
      <c r="C19" s="419" t="s">
        <v>59</v>
      </c>
      <c r="D19" s="419" t="s">
        <v>60</v>
      </c>
      <c r="E19" s="419" t="s">
        <v>61</v>
      </c>
      <c r="F19" s="419" t="s">
        <v>62</v>
      </c>
      <c r="G19" s="419" t="s">
        <v>63</v>
      </c>
      <c r="H19" s="495" t="s">
        <v>64</v>
      </c>
    </row>
    <row r="20" spans="1:12">
      <c r="B20" s="426" t="s">
        <v>1464</v>
      </c>
      <c r="C20" s="420" t="s">
        <v>13</v>
      </c>
      <c r="D20" s="420" t="s">
        <v>504</v>
      </c>
      <c r="E20" s="420" t="s">
        <v>492</v>
      </c>
      <c r="F20" s="420"/>
      <c r="G20" s="420"/>
    </row>
    <row r="21" spans="1:12">
      <c r="A21" s="411">
        <v>1</v>
      </c>
      <c r="C21" s="420"/>
      <c r="D21" s="420" t="s">
        <v>505</v>
      </c>
      <c r="E21" s="420" t="s">
        <v>17</v>
      </c>
      <c r="F21" s="420" t="s">
        <v>506</v>
      </c>
      <c r="G21" s="420" t="s">
        <v>459</v>
      </c>
    </row>
    <row r="22" spans="1:12">
      <c r="A22" s="411" t="s">
        <v>508</v>
      </c>
      <c r="C22" s="420"/>
      <c r="D22" s="420" t="s">
        <v>467</v>
      </c>
      <c r="E22" s="420" t="s">
        <v>467</v>
      </c>
      <c r="F22" s="420" t="s">
        <v>467</v>
      </c>
      <c r="G22" s="420" t="s">
        <v>467</v>
      </c>
      <c r="H22" s="496" t="s">
        <v>507</v>
      </c>
    </row>
    <row r="23" spans="1:12">
      <c r="A23" s="411" t="s">
        <v>509</v>
      </c>
      <c r="B23" s="428"/>
      <c r="C23" s="429"/>
      <c r="D23" s="497"/>
      <c r="E23" s="406"/>
      <c r="F23" s="406"/>
      <c r="G23" s="406"/>
    </row>
    <row r="24" spans="1:12" ht="45">
      <c r="A24" s="411" t="s">
        <v>510</v>
      </c>
      <c r="B24" s="947" t="s">
        <v>877</v>
      </c>
      <c r="C24" s="485">
        <v>429824</v>
      </c>
      <c r="D24" s="485">
        <v>429824</v>
      </c>
      <c r="E24" s="485">
        <v>0</v>
      </c>
      <c r="F24" s="485">
        <v>0</v>
      </c>
      <c r="G24" s="485">
        <v>0</v>
      </c>
      <c r="H24" s="486" t="s">
        <v>925</v>
      </c>
      <c r="L24" s="498"/>
    </row>
    <row r="25" spans="1:12">
      <c r="A25" s="430" t="s">
        <v>511</v>
      </c>
      <c r="B25" s="947" t="s">
        <v>879</v>
      </c>
      <c r="C25" s="485">
        <v>1541792</v>
      </c>
      <c r="D25" s="485">
        <v>0</v>
      </c>
      <c r="E25" s="485">
        <v>0</v>
      </c>
      <c r="F25" s="485">
        <v>0</v>
      </c>
      <c r="G25" s="485">
        <v>1541792</v>
      </c>
      <c r="H25" s="486" t="s">
        <v>926</v>
      </c>
    </row>
    <row r="26" spans="1:12">
      <c r="A26" s="430" t="s">
        <v>512</v>
      </c>
      <c r="B26" s="947" t="s">
        <v>880</v>
      </c>
      <c r="C26" s="485">
        <v>1122149</v>
      </c>
      <c r="D26" s="485">
        <v>0</v>
      </c>
      <c r="E26" s="485">
        <v>0</v>
      </c>
      <c r="F26" s="485">
        <v>0</v>
      </c>
      <c r="G26" s="485">
        <v>1122149</v>
      </c>
      <c r="H26" s="486" t="s">
        <v>927</v>
      </c>
    </row>
    <row r="27" spans="1:12">
      <c r="A27" s="430" t="s">
        <v>513</v>
      </c>
      <c r="B27" s="947" t="s">
        <v>881</v>
      </c>
      <c r="C27" s="485">
        <v>0</v>
      </c>
      <c r="D27" s="485">
        <v>0</v>
      </c>
      <c r="E27" s="485">
        <v>0</v>
      </c>
      <c r="F27" s="485">
        <v>0</v>
      </c>
      <c r="G27" s="485">
        <v>0</v>
      </c>
      <c r="H27" s="486" t="s">
        <v>878</v>
      </c>
    </row>
    <row r="28" spans="1:12" ht="30">
      <c r="A28" s="430" t="s">
        <v>514</v>
      </c>
      <c r="B28" s="947" t="s">
        <v>882</v>
      </c>
      <c r="C28" s="485">
        <v>15150483</v>
      </c>
      <c r="D28" s="485">
        <v>15150483</v>
      </c>
      <c r="E28" s="485">
        <v>0</v>
      </c>
      <c r="F28" s="485">
        <v>0</v>
      </c>
      <c r="G28" s="485">
        <v>0</v>
      </c>
      <c r="H28" s="486" t="s">
        <v>928</v>
      </c>
    </row>
    <row r="29" spans="1:12">
      <c r="A29" s="430" t="s">
        <v>515</v>
      </c>
      <c r="B29" s="947" t="s">
        <v>883</v>
      </c>
      <c r="C29" s="485">
        <v>2115506</v>
      </c>
      <c r="D29" s="485">
        <v>2115506</v>
      </c>
      <c r="E29" s="485">
        <v>0</v>
      </c>
      <c r="F29" s="485">
        <v>0</v>
      </c>
      <c r="G29" s="485">
        <v>0</v>
      </c>
      <c r="H29" s="486" t="s">
        <v>878</v>
      </c>
    </row>
    <row r="30" spans="1:12">
      <c r="A30" s="430" t="s">
        <v>516</v>
      </c>
      <c r="B30" s="947" t="s">
        <v>884</v>
      </c>
      <c r="C30" s="485">
        <v>767529</v>
      </c>
      <c r="D30" s="485">
        <v>767529</v>
      </c>
      <c r="E30" s="485">
        <v>0</v>
      </c>
      <c r="F30" s="485">
        <v>0</v>
      </c>
      <c r="G30" s="485">
        <v>0</v>
      </c>
      <c r="H30" s="486" t="s">
        <v>878</v>
      </c>
    </row>
    <row r="31" spans="1:12" ht="30">
      <c r="A31" s="430" t="s">
        <v>517</v>
      </c>
      <c r="B31" s="947" t="s">
        <v>885</v>
      </c>
      <c r="C31" s="485">
        <v>2126325</v>
      </c>
      <c r="D31" s="485">
        <v>2126325</v>
      </c>
      <c r="E31" s="485">
        <v>0</v>
      </c>
      <c r="F31" s="485">
        <v>0</v>
      </c>
      <c r="G31" s="485">
        <v>0</v>
      </c>
      <c r="H31" s="486" t="s">
        <v>929</v>
      </c>
    </row>
    <row r="32" spans="1:12">
      <c r="A32" s="430" t="s">
        <v>518</v>
      </c>
      <c r="B32" s="947" t="s">
        <v>1240</v>
      </c>
      <c r="C32" s="485">
        <v>243866</v>
      </c>
      <c r="D32" s="485">
        <v>243866</v>
      </c>
      <c r="E32" s="485">
        <v>0</v>
      </c>
      <c r="F32" s="485">
        <v>0</v>
      </c>
      <c r="G32" s="485">
        <v>0</v>
      </c>
      <c r="H32" s="486" t="s">
        <v>878</v>
      </c>
    </row>
    <row r="33" spans="1:13">
      <c r="A33" s="430" t="s">
        <v>519</v>
      </c>
      <c r="B33" s="947" t="s">
        <v>886</v>
      </c>
      <c r="C33" s="485">
        <v>18627</v>
      </c>
      <c r="D33" s="485">
        <v>0</v>
      </c>
      <c r="E33" s="485">
        <v>0</v>
      </c>
      <c r="F33" s="485">
        <v>0</v>
      </c>
      <c r="G33" s="485">
        <v>18627</v>
      </c>
      <c r="H33" s="928" t="s">
        <v>930</v>
      </c>
    </row>
    <row r="34" spans="1:13">
      <c r="A34" s="430" t="s">
        <v>520</v>
      </c>
      <c r="B34" s="947" t="s">
        <v>1241</v>
      </c>
      <c r="C34" s="485">
        <v>0</v>
      </c>
      <c r="D34" s="485">
        <v>0</v>
      </c>
      <c r="E34" s="485">
        <v>0</v>
      </c>
      <c r="F34" s="485">
        <v>0</v>
      </c>
      <c r="G34" s="485">
        <v>0</v>
      </c>
      <c r="H34" s="928" t="s">
        <v>1242</v>
      </c>
    </row>
    <row r="35" spans="1:13" ht="30">
      <c r="A35" s="430" t="s">
        <v>521</v>
      </c>
      <c r="B35" s="947" t="s">
        <v>909</v>
      </c>
      <c r="C35" s="485">
        <v>5603925</v>
      </c>
      <c r="D35" s="485">
        <v>5603925</v>
      </c>
      <c r="E35" s="485">
        <v>0</v>
      </c>
      <c r="F35" s="485">
        <v>0</v>
      </c>
      <c r="G35" s="485">
        <v>0</v>
      </c>
      <c r="H35" s="486" t="s">
        <v>1395</v>
      </c>
    </row>
    <row r="36" spans="1:13">
      <c r="A36" s="430" t="s">
        <v>522</v>
      </c>
      <c r="B36" s="947"/>
      <c r="C36" s="485">
        <v>0</v>
      </c>
      <c r="D36" s="485">
        <v>0</v>
      </c>
      <c r="E36" s="485">
        <v>0</v>
      </c>
      <c r="F36" s="485">
        <v>0</v>
      </c>
      <c r="G36" s="485">
        <v>0</v>
      </c>
      <c r="H36" s="486" t="s">
        <v>878</v>
      </c>
    </row>
    <row r="37" spans="1:13">
      <c r="A37" s="430" t="s">
        <v>523</v>
      </c>
      <c r="B37" s="947" t="s">
        <v>910</v>
      </c>
      <c r="C37" s="485">
        <v>11559004</v>
      </c>
      <c r="D37" s="485">
        <v>0</v>
      </c>
      <c r="E37" s="485">
        <v>0</v>
      </c>
      <c r="F37" s="485">
        <v>0</v>
      </c>
      <c r="G37" s="485">
        <v>11559004</v>
      </c>
      <c r="H37" s="486" t="s">
        <v>931</v>
      </c>
    </row>
    <row r="38" spans="1:13">
      <c r="A38" s="430" t="s">
        <v>524</v>
      </c>
      <c r="B38" s="947" t="s">
        <v>888</v>
      </c>
      <c r="C38" s="485">
        <v>0</v>
      </c>
      <c r="D38" s="485">
        <v>0</v>
      </c>
      <c r="E38" s="485">
        <v>0</v>
      </c>
      <c r="F38" s="485">
        <v>0</v>
      </c>
      <c r="G38" s="485">
        <v>0</v>
      </c>
      <c r="H38" s="486" t="s">
        <v>932</v>
      </c>
    </row>
    <row r="39" spans="1:13">
      <c r="A39" s="430" t="s">
        <v>525</v>
      </c>
      <c r="B39" s="947" t="s">
        <v>889</v>
      </c>
      <c r="C39" s="485">
        <v>0</v>
      </c>
      <c r="D39" s="485">
        <v>0</v>
      </c>
      <c r="E39" s="485">
        <v>0</v>
      </c>
      <c r="F39" s="485">
        <v>0</v>
      </c>
      <c r="G39" s="485">
        <v>0</v>
      </c>
      <c r="H39" s="486" t="s">
        <v>878</v>
      </c>
    </row>
    <row r="40" spans="1:13">
      <c r="A40" s="430" t="s">
        <v>526</v>
      </c>
      <c r="B40" s="947" t="s">
        <v>933</v>
      </c>
      <c r="C40" s="485">
        <v>0</v>
      </c>
      <c r="D40" s="485">
        <v>0</v>
      </c>
      <c r="E40" s="485">
        <v>0</v>
      </c>
      <c r="F40" s="485">
        <v>0</v>
      </c>
      <c r="G40" s="485">
        <v>0</v>
      </c>
      <c r="H40" s="486" t="s">
        <v>878</v>
      </c>
    </row>
    <row r="41" spans="1:13">
      <c r="A41" s="430" t="s">
        <v>527</v>
      </c>
      <c r="B41" s="947" t="s">
        <v>890</v>
      </c>
      <c r="C41" s="485">
        <v>530272</v>
      </c>
      <c r="D41" s="485">
        <v>530272</v>
      </c>
      <c r="E41" s="485">
        <v>0</v>
      </c>
      <c r="F41" s="485">
        <v>0</v>
      </c>
      <c r="G41" s="485">
        <v>0</v>
      </c>
      <c r="H41" s="928" t="s">
        <v>878</v>
      </c>
    </row>
    <row r="42" spans="1:13">
      <c r="A42" s="430" t="s">
        <v>528</v>
      </c>
      <c r="B42" s="947" t="s">
        <v>891</v>
      </c>
      <c r="C42" s="485">
        <v>0</v>
      </c>
      <c r="D42" s="485">
        <v>0</v>
      </c>
      <c r="E42" s="485">
        <v>0</v>
      </c>
      <c r="F42" s="485">
        <v>0</v>
      </c>
      <c r="G42" s="485">
        <v>0</v>
      </c>
      <c r="H42" s="928"/>
    </row>
    <row r="43" spans="1:13">
      <c r="A43" s="430" t="s">
        <v>529</v>
      </c>
      <c r="B43" s="947" t="s">
        <v>934</v>
      </c>
      <c r="C43" s="485">
        <v>0</v>
      </c>
      <c r="D43" s="485">
        <v>0</v>
      </c>
      <c r="E43" s="485">
        <v>0</v>
      </c>
      <c r="F43" s="485">
        <v>0</v>
      </c>
      <c r="G43" s="485">
        <v>0</v>
      </c>
      <c r="H43" s="928" t="s">
        <v>935</v>
      </c>
    </row>
    <row r="44" spans="1:13">
      <c r="A44" s="430" t="s">
        <v>530</v>
      </c>
      <c r="B44" s="947" t="s">
        <v>936</v>
      </c>
      <c r="C44" s="485">
        <v>86745</v>
      </c>
      <c r="D44" s="485">
        <v>86745</v>
      </c>
      <c r="E44" s="485">
        <v>0</v>
      </c>
      <c r="F44" s="485">
        <v>0</v>
      </c>
      <c r="G44" s="485">
        <v>0</v>
      </c>
      <c r="H44" s="928" t="s">
        <v>878</v>
      </c>
    </row>
    <row r="45" spans="1:13">
      <c r="A45" s="430" t="s">
        <v>531</v>
      </c>
      <c r="B45" s="947" t="s">
        <v>937</v>
      </c>
      <c r="C45" s="485">
        <v>70225.292108231806</v>
      </c>
      <c r="D45" s="485">
        <v>0</v>
      </c>
      <c r="E45" s="485">
        <v>0</v>
      </c>
      <c r="F45" s="485">
        <v>70225.292108231806</v>
      </c>
      <c r="G45" s="485">
        <v>0</v>
      </c>
      <c r="H45" s="928" t="s">
        <v>938</v>
      </c>
    </row>
    <row r="46" spans="1:13">
      <c r="A46" s="430" t="s">
        <v>532</v>
      </c>
      <c r="B46" s="947" t="s">
        <v>939</v>
      </c>
      <c r="C46" s="485">
        <v>258166</v>
      </c>
      <c r="D46" s="485">
        <v>0</v>
      </c>
      <c r="E46" s="485">
        <v>0</v>
      </c>
      <c r="F46" s="485">
        <v>258166</v>
      </c>
      <c r="G46" s="485">
        <v>0</v>
      </c>
      <c r="H46" s="928" t="s">
        <v>940</v>
      </c>
    </row>
    <row r="47" spans="1:13">
      <c r="A47" s="430" t="s">
        <v>533</v>
      </c>
      <c r="B47" s="947" t="s">
        <v>1243</v>
      </c>
      <c r="C47" s="485">
        <v>0</v>
      </c>
      <c r="D47" s="485">
        <v>0</v>
      </c>
      <c r="E47" s="485">
        <v>0</v>
      </c>
      <c r="F47" s="485">
        <v>0</v>
      </c>
      <c r="G47" s="485">
        <v>0</v>
      </c>
      <c r="H47" s="928" t="s">
        <v>1244</v>
      </c>
    </row>
    <row r="48" spans="1:13">
      <c r="A48" s="430" t="s">
        <v>534</v>
      </c>
      <c r="B48" s="947" t="s">
        <v>1245</v>
      </c>
      <c r="C48" s="485">
        <v>19225596</v>
      </c>
      <c r="D48" s="485">
        <v>0</v>
      </c>
      <c r="E48" s="485">
        <v>0</v>
      </c>
      <c r="F48" s="485">
        <v>19225596</v>
      </c>
      <c r="G48" s="485">
        <v>0</v>
      </c>
      <c r="H48" s="928" t="s">
        <v>1242</v>
      </c>
      <c r="M48" s="498"/>
    </row>
    <row r="49" spans="1:8" ht="30">
      <c r="A49" s="430" t="s">
        <v>535</v>
      </c>
      <c r="B49" s="947" t="s">
        <v>911</v>
      </c>
      <c r="C49" s="485">
        <v>0</v>
      </c>
      <c r="D49" s="485">
        <v>0</v>
      </c>
      <c r="E49" s="485">
        <v>0</v>
      </c>
      <c r="F49" s="485">
        <v>0</v>
      </c>
      <c r="G49" s="485">
        <v>0</v>
      </c>
      <c r="H49" s="928" t="s">
        <v>941</v>
      </c>
    </row>
    <row r="50" spans="1:8">
      <c r="A50" s="430" t="s">
        <v>536</v>
      </c>
      <c r="B50" s="947" t="s">
        <v>893</v>
      </c>
      <c r="C50" s="485">
        <v>0</v>
      </c>
      <c r="D50" s="485">
        <v>0</v>
      </c>
      <c r="E50" s="485">
        <v>0</v>
      </c>
      <c r="F50" s="485">
        <v>0</v>
      </c>
      <c r="G50" s="485">
        <v>0</v>
      </c>
      <c r="H50" s="928" t="s">
        <v>878</v>
      </c>
    </row>
    <row r="51" spans="1:8" ht="30">
      <c r="A51" s="430" t="s">
        <v>537</v>
      </c>
      <c r="B51" s="947" t="s">
        <v>912</v>
      </c>
      <c r="C51" s="485">
        <v>71516180</v>
      </c>
      <c r="D51" s="485">
        <v>0</v>
      </c>
      <c r="E51" s="485">
        <v>0</v>
      </c>
      <c r="F51" s="485">
        <v>0</v>
      </c>
      <c r="G51" s="485">
        <v>71516180</v>
      </c>
      <c r="H51" s="928" t="s">
        <v>942</v>
      </c>
    </row>
    <row r="52" spans="1:8" ht="30">
      <c r="A52" s="430" t="s">
        <v>538</v>
      </c>
      <c r="B52" s="947" t="s">
        <v>894</v>
      </c>
      <c r="C52" s="485">
        <v>0</v>
      </c>
      <c r="D52" s="485">
        <v>0</v>
      </c>
      <c r="E52" s="485">
        <v>0</v>
      </c>
      <c r="F52" s="485">
        <v>0</v>
      </c>
      <c r="G52" s="485">
        <v>0</v>
      </c>
      <c r="H52" s="928" t="s">
        <v>943</v>
      </c>
    </row>
    <row r="53" spans="1:8">
      <c r="A53" s="430" t="s">
        <v>539</v>
      </c>
      <c r="B53" s="947" t="s">
        <v>895</v>
      </c>
      <c r="C53" s="485">
        <v>2180599</v>
      </c>
      <c r="D53" s="485">
        <v>2180599</v>
      </c>
      <c r="E53" s="485">
        <v>0</v>
      </c>
      <c r="F53" s="485">
        <v>0</v>
      </c>
      <c r="G53" s="485">
        <v>0</v>
      </c>
      <c r="H53" s="486" t="s">
        <v>944</v>
      </c>
    </row>
    <row r="54" spans="1:8">
      <c r="A54" s="430" t="s">
        <v>540</v>
      </c>
      <c r="B54" s="947" t="s">
        <v>896</v>
      </c>
      <c r="C54" s="485">
        <v>0</v>
      </c>
      <c r="D54" s="485">
        <v>0</v>
      </c>
      <c r="E54" s="485">
        <v>0</v>
      </c>
      <c r="F54" s="485">
        <v>0</v>
      </c>
      <c r="G54" s="485">
        <v>0</v>
      </c>
      <c r="H54" s="486" t="s">
        <v>944</v>
      </c>
    </row>
    <row r="55" spans="1:8">
      <c r="A55" s="430" t="s">
        <v>541</v>
      </c>
      <c r="B55" s="947" t="s">
        <v>897</v>
      </c>
      <c r="C55" s="485">
        <v>0</v>
      </c>
      <c r="D55" s="485">
        <v>0</v>
      </c>
      <c r="E55" s="485">
        <v>0</v>
      </c>
      <c r="F55" s="485">
        <v>0</v>
      </c>
      <c r="G55" s="485">
        <v>0</v>
      </c>
      <c r="H55" s="486" t="s">
        <v>945</v>
      </c>
    </row>
    <row r="56" spans="1:8">
      <c r="A56" s="430" t="s">
        <v>542</v>
      </c>
      <c r="B56" s="947" t="s">
        <v>898</v>
      </c>
      <c r="C56" s="485">
        <v>177323</v>
      </c>
      <c r="D56" s="485">
        <v>0</v>
      </c>
      <c r="E56" s="485">
        <v>0</v>
      </c>
      <c r="F56" s="485">
        <v>0</v>
      </c>
      <c r="G56" s="485">
        <v>177323</v>
      </c>
      <c r="H56" s="486" t="s">
        <v>946</v>
      </c>
    </row>
    <row r="57" spans="1:8" ht="15" customHeight="1">
      <c r="A57" s="430" t="s">
        <v>543</v>
      </c>
      <c r="B57" s="947" t="s">
        <v>913</v>
      </c>
      <c r="C57" s="485">
        <v>902265</v>
      </c>
      <c r="D57" s="485">
        <v>902265</v>
      </c>
      <c r="E57" s="485">
        <v>0</v>
      </c>
      <c r="F57" s="485">
        <v>0</v>
      </c>
      <c r="G57" s="485">
        <v>0</v>
      </c>
      <c r="H57" s="486" t="s">
        <v>947</v>
      </c>
    </row>
    <row r="58" spans="1:8" ht="15" customHeight="1">
      <c r="A58" s="430" t="s">
        <v>544</v>
      </c>
      <c r="B58" s="947" t="s">
        <v>899</v>
      </c>
      <c r="C58" s="485">
        <v>2636769</v>
      </c>
      <c r="D58" s="485">
        <v>2636769</v>
      </c>
      <c r="E58" s="485">
        <v>0</v>
      </c>
      <c r="F58" s="485">
        <v>0</v>
      </c>
      <c r="G58" s="485">
        <v>0</v>
      </c>
      <c r="H58" s="486" t="s">
        <v>878</v>
      </c>
    </row>
    <row r="59" spans="1:8" ht="15" customHeight="1">
      <c r="A59" s="430" t="s">
        <v>545</v>
      </c>
      <c r="B59" s="947" t="s">
        <v>900</v>
      </c>
      <c r="C59" s="485">
        <v>8151016</v>
      </c>
      <c r="D59" s="485">
        <v>0</v>
      </c>
      <c r="E59" s="485">
        <v>0</v>
      </c>
      <c r="F59" s="485">
        <v>0</v>
      </c>
      <c r="G59" s="485">
        <v>8151016</v>
      </c>
      <c r="H59" s="486" t="s">
        <v>948</v>
      </c>
    </row>
    <row r="60" spans="1:8" ht="15" customHeight="1">
      <c r="A60" s="430" t="s">
        <v>546</v>
      </c>
      <c r="B60" s="485"/>
      <c r="C60" s="485"/>
      <c r="D60" s="485"/>
      <c r="E60" s="485"/>
      <c r="F60" s="485"/>
      <c r="G60" s="524"/>
      <c r="H60" s="486"/>
    </row>
    <row r="61" spans="1:8" ht="15" customHeight="1">
      <c r="A61" s="430" t="s">
        <v>547</v>
      </c>
      <c r="B61" s="485"/>
      <c r="C61" s="485"/>
      <c r="D61" s="485"/>
      <c r="E61" s="485"/>
      <c r="F61" s="485"/>
      <c r="G61" s="485"/>
      <c r="H61" s="486"/>
    </row>
    <row r="62" spans="1:8" ht="15" hidden="1" customHeight="1">
      <c r="A62" s="430" t="s">
        <v>548</v>
      </c>
      <c r="B62" s="485"/>
      <c r="C62" s="485"/>
      <c r="D62" s="485"/>
      <c r="E62" s="485"/>
      <c r="F62" s="485"/>
      <c r="G62" s="524"/>
      <c r="H62" s="486"/>
    </row>
    <row r="63" spans="1:8" ht="15" hidden="1" customHeight="1">
      <c r="A63" s="430" t="s">
        <v>549</v>
      </c>
      <c r="B63" s="485"/>
      <c r="C63" s="485"/>
      <c r="D63" s="485"/>
      <c r="E63" s="485"/>
      <c r="F63" s="485"/>
      <c r="G63" s="524"/>
      <c r="H63" s="486"/>
    </row>
    <row r="64" spans="1:8" ht="15" hidden="1" customHeight="1">
      <c r="A64" s="430" t="s">
        <v>550</v>
      </c>
      <c r="B64" s="485"/>
      <c r="C64" s="485"/>
      <c r="D64" s="485"/>
      <c r="E64" s="485"/>
      <c r="F64" s="485"/>
      <c r="G64" s="524"/>
      <c r="H64" s="486"/>
    </row>
    <row r="65" spans="1:10" ht="15" hidden="1" customHeight="1">
      <c r="A65" s="430" t="s">
        <v>551</v>
      </c>
      <c r="B65" s="485"/>
      <c r="C65" s="485"/>
      <c r="D65" s="485"/>
      <c r="E65" s="485"/>
      <c r="F65" s="525"/>
      <c r="G65" s="485"/>
      <c r="H65" s="526"/>
    </row>
    <row r="66" spans="1:10" ht="15" hidden="1" customHeight="1">
      <c r="A66" s="430" t="s">
        <v>552</v>
      </c>
      <c r="B66" s="485"/>
      <c r="C66" s="485"/>
      <c r="D66" s="485"/>
      <c r="E66" s="485"/>
      <c r="F66" s="485"/>
      <c r="G66" s="485"/>
      <c r="H66" s="527"/>
    </row>
    <row r="67" spans="1:10" ht="15" hidden="1" customHeight="1">
      <c r="A67" s="430" t="s">
        <v>553</v>
      </c>
      <c r="B67" s="485"/>
      <c r="C67" s="485"/>
      <c r="D67" s="485"/>
      <c r="E67" s="485"/>
      <c r="F67" s="485"/>
      <c r="G67" s="485"/>
      <c r="H67" s="526"/>
    </row>
    <row r="68" spans="1:10" ht="15" hidden="1" customHeight="1">
      <c r="A68" s="430" t="s">
        <v>554</v>
      </c>
      <c r="B68" s="485"/>
      <c r="C68" s="485"/>
      <c r="D68" s="485"/>
      <c r="E68" s="485"/>
      <c r="F68" s="485"/>
      <c r="G68" s="485"/>
      <c r="H68" s="486"/>
    </row>
    <row r="69" spans="1:10" ht="15" hidden="1" customHeight="1">
      <c r="A69" s="430" t="s">
        <v>555</v>
      </c>
      <c r="B69" s="485"/>
      <c r="C69" s="485"/>
      <c r="D69" s="485"/>
      <c r="E69" s="485"/>
      <c r="F69" s="485"/>
      <c r="G69" s="485"/>
      <c r="H69" s="486"/>
    </row>
    <row r="70" spans="1:10" ht="15" hidden="1" customHeight="1">
      <c r="A70" s="430" t="s">
        <v>556</v>
      </c>
      <c r="B70" s="528"/>
      <c r="C70" s="485"/>
      <c r="D70" s="485"/>
      <c r="E70" s="485"/>
      <c r="F70" s="485"/>
      <c r="G70" s="485"/>
      <c r="H70" s="526"/>
    </row>
    <row r="71" spans="1:10" ht="15" hidden="1" customHeight="1">
      <c r="A71" s="430" t="s">
        <v>557</v>
      </c>
      <c r="B71" s="529"/>
      <c r="C71" s="485">
        <v>0</v>
      </c>
      <c r="D71" s="485">
        <v>0</v>
      </c>
      <c r="E71" s="485"/>
      <c r="F71" s="485"/>
      <c r="G71" s="485"/>
      <c r="H71" s="526"/>
    </row>
    <row r="72" spans="1:10">
      <c r="A72" s="430" t="s">
        <v>296</v>
      </c>
      <c r="B72" s="948"/>
      <c r="C72" s="485">
        <v>0</v>
      </c>
      <c r="D72" s="485"/>
      <c r="E72" s="485"/>
      <c r="F72" s="485"/>
      <c r="G72" s="485"/>
      <c r="H72" s="526"/>
    </row>
    <row r="73" spans="1:10">
      <c r="A73" s="430">
        <v>2</v>
      </c>
      <c r="B73" s="499" t="s">
        <v>1054</v>
      </c>
      <c r="C73" s="500">
        <f>SUM(C24:C72)</f>
        <v>146414186.29210824</v>
      </c>
      <c r="D73" s="500">
        <f>SUM(D24:D72)</f>
        <v>32774108</v>
      </c>
      <c r="E73" s="500">
        <f>SUM(E24:E72)</f>
        <v>0</v>
      </c>
      <c r="F73" s="500">
        <f>SUM(F24:F72)</f>
        <v>19553987.29210823</v>
      </c>
      <c r="G73" s="500">
        <f>SUM(G24:G72)</f>
        <v>94086091</v>
      </c>
      <c r="H73" s="501"/>
      <c r="J73" s="434"/>
    </row>
    <row r="74" spans="1:10">
      <c r="A74" s="430">
        <v>3</v>
      </c>
      <c r="B74" s="499" t="s">
        <v>563</v>
      </c>
      <c r="C74" s="485">
        <v>-23320597.653072</v>
      </c>
      <c r="D74" s="485">
        <v>-1292742.80064</v>
      </c>
      <c r="E74" s="485">
        <v>0</v>
      </c>
      <c r="F74" s="485">
        <v>294794.507568</v>
      </c>
      <c r="G74" s="485">
        <v>-22322649.359999999</v>
      </c>
      <c r="H74" s="526"/>
    </row>
    <row r="75" spans="1:10">
      <c r="A75" s="430">
        <v>4</v>
      </c>
      <c r="B75" s="499" t="s">
        <v>564</v>
      </c>
      <c r="C75" s="485"/>
      <c r="D75" s="485"/>
      <c r="E75" s="485"/>
      <c r="F75" s="485"/>
      <c r="G75" s="485"/>
      <c r="H75" s="526"/>
    </row>
    <row r="76" spans="1:10">
      <c r="A76" s="411">
        <v>5</v>
      </c>
      <c r="B76" s="499" t="s">
        <v>1173</v>
      </c>
      <c r="C76" s="500">
        <f>+C73-C74-C75</f>
        <v>169734783.94518024</v>
      </c>
      <c r="D76" s="500">
        <f t="shared" ref="D76:G76" si="0">+D73-D74-D75</f>
        <v>34066850.800640002</v>
      </c>
      <c r="E76" s="500">
        <f t="shared" si="0"/>
        <v>0</v>
      </c>
      <c r="F76" s="500">
        <f t="shared" si="0"/>
        <v>19259192.784540229</v>
      </c>
      <c r="G76" s="500">
        <f t="shared" si="0"/>
        <v>116408740.36</v>
      </c>
      <c r="H76" s="501"/>
    </row>
    <row r="77" spans="1:10">
      <c r="B77" s="435"/>
      <c r="C77" s="436"/>
      <c r="D77" s="415"/>
      <c r="E77" s="415"/>
      <c r="F77" s="415"/>
      <c r="G77" s="437"/>
      <c r="H77" s="502"/>
    </row>
    <row r="78" spans="1:10">
      <c r="A78" s="430">
        <v>6</v>
      </c>
      <c r="B78" s="439" t="s">
        <v>565</v>
      </c>
      <c r="C78" s="440"/>
      <c r="D78" s="441"/>
      <c r="E78" s="441"/>
      <c r="F78" s="441"/>
      <c r="G78" s="442"/>
      <c r="H78" s="503"/>
    </row>
    <row r="79" spans="1:10">
      <c r="A79" s="430">
        <v>7</v>
      </c>
      <c r="B79" s="444" t="s">
        <v>566</v>
      </c>
      <c r="C79" s="415"/>
      <c r="D79" s="415"/>
      <c r="E79" s="415"/>
      <c r="F79" s="415"/>
      <c r="G79" s="415"/>
      <c r="H79" s="504"/>
    </row>
    <row r="80" spans="1:10">
      <c r="A80" s="430">
        <v>8</v>
      </c>
      <c r="B80" s="444" t="s">
        <v>567</v>
      </c>
      <c r="C80" s="446"/>
      <c r="D80" s="415"/>
      <c r="E80" s="415"/>
      <c r="F80" s="415"/>
      <c r="G80" s="437"/>
      <c r="H80" s="505"/>
    </row>
    <row r="81" spans="1:8">
      <c r="A81" s="430">
        <v>9</v>
      </c>
      <c r="B81" s="444" t="s">
        <v>568</v>
      </c>
      <c r="C81" s="446"/>
      <c r="D81" s="415"/>
      <c r="E81" s="415"/>
      <c r="F81" s="415"/>
      <c r="G81" s="437"/>
      <c r="H81" s="505"/>
    </row>
    <row r="82" spans="1:8">
      <c r="A82" s="430">
        <v>10</v>
      </c>
      <c r="B82" s="444" t="s">
        <v>569</v>
      </c>
      <c r="C82" s="446"/>
      <c r="D82" s="415"/>
      <c r="E82" s="415"/>
      <c r="F82" s="415"/>
      <c r="G82" s="437"/>
      <c r="H82" s="505"/>
    </row>
    <row r="83" spans="1:8">
      <c r="A83" s="430">
        <v>11</v>
      </c>
      <c r="B83" s="448" t="s">
        <v>570</v>
      </c>
      <c r="C83" s="415"/>
      <c r="D83" s="415"/>
      <c r="E83" s="415"/>
      <c r="F83" s="415"/>
      <c r="G83" s="415"/>
      <c r="H83" s="504"/>
    </row>
    <row r="84" spans="1:8">
      <c r="A84" s="430">
        <v>12</v>
      </c>
      <c r="B84" s="449" t="s">
        <v>571</v>
      </c>
      <c r="C84" s="415"/>
      <c r="D84" s="415"/>
      <c r="E84" s="415"/>
      <c r="F84" s="415"/>
      <c r="G84" s="415"/>
      <c r="H84" s="504"/>
    </row>
    <row r="85" spans="1:8">
      <c r="B85" s="450"/>
      <c r="C85" s="451"/>
      <c r="D85" s="452"/>
      <c r="E85" s="452"/>
      <c r="F85" s="452"/>
      <c r="G85" s="453"/>
      <c r="H85" s="506"/>
    </row>
    <row r="86" spans="1:8">
      <c r="B86" s="1059" t="str">
        <f>'4A - ADIT Summary'!$G$65</f>
        <v>PECO Energy Company</v>
      </c>
      <c r="C86" s="1060"/>
      <c r="D86" s="1060"/>
      <c r="E86" s="1060"/>
      <c r="F86" s="1060"/>
      <c r="G86" s="1060"/>
      <c r="H86" s="1060"/>
    </row>
    <row r="87" spans="1:8" ht="15.75">
      <c r="B87" s="413" t="s">
        <v>617</v>
      </c>
      <c r="C87" s="413"/>
      <c r="D87" s="413"/>
      <c r="E87" s="413"/>
      <c r="F87" s="413" t="s">
        <v>2</v>
      </c>
      <c r="G87" s="413"/>
      <c r="H87" s="507"/>
    </row>
    <row r="88" spans="1:8">
      <c r="B88" s="413"/>
      <c r="C88" s="456"/>
      <c r="D88" s="457"/>
      <c r="E88" s="457"/>
      <c r="F88" s="457"/>
      <c r="G88" s="457"/>
      <c r="H88" s="508"/>
    </row>
    <row r="89" spans="1:8">
      <c r="B89" s="458"/>
      <c r="C89" s="456"/>
      <c r="D89" s="457"/>
      <c r="E89" s="457"/>
      <c r="F89" s="457"/>
      <c r="G89" s="457"/>
      <c r="H89" s="487" t="s">
        <v>617</v>
      </c>
    </row>
    <row r="90" spans="1:8">
      <c r="B90" s="458"/>
      <c r="C90" s="456"/>
      <c r="D90" s="457"/>
      <c r="E90" s="457"/>
      <c r="F90" s="457"/>
      <c r="G90" s="457"/>
      <c r="H90" s="487" t="s">
        <v>572</v>
      </c>
    </row>
    <row r="91" spans="1:8">
      <c r="B91" s="458"/>
      <c r="C91" s="456"/>
      <c r="D91" s="457"/>
      <c r="E91" s="457"/>
      <c r="F91" s="457"/>
      <c r="G91" s="457"/>
      <c r="H91" s="488"/>
    </row>
    <row r="92" spans="1:8">
      <c r="B92" s="413"/>
      <c r="C92" s="415"/>
      <c r="D92" s="415"/>
      <c r="E92" s="415"/>
      <c r="F92" s="415"/>
      <c r="G92" s="415"/>
      <c r="H92" s="509"/>
    </row>
    <row r="93" spans="1:8">
      <c r="B93" s="413"/>
      <c r="C93" s="415"/>
      <c r="D93" s="415"/>
      <c r="E93" s="415"/>
      <c r="F93" s="415"/>
      <c r="G93" s="415"/>
      <c r="H93" s="509"/>
    </row>
    <row r="94" spans="1:8">
      <c r="B94" s="458" t="s">
        <v>58</v>
      </c>
      <c r="C94" s="419" t="s">
        <v>59</v>
      </c>
      <c r="D94" s="456" t="s">
        <v>60</v>
      </c>
      <c r="E94" s="456" t="s">
        <v>61</v>
      </c>
      <c r="F94" s="456" t="s">
        <v>62</v>
      </c>
      <c r="G94" s="456" t="s">
        <v>63</v>
      </c>
      <c r="H94" s="510" t="s">
        <v>64</v>
      </c>
    </row>
    <row r="95" spans="1:8">
      <c r="B95" s="421" t="s">
        <v>1465</v>
      </c>
      <c r="C95" s="420" t="s">
        <v>13</v>
      </c>
      <c r="D95" s="420" t="s">
        <v>504</v>
      </c>
      <c r="E95" s="414" t="s">
        <v>492</v>
      </c>
      <c r="F95" s="414"/>
      <c r="G95" s="414"/>
      <c r="H95" s="488"/>
    </row>
    <row r="96" spans="1:8">
      <c r="B96" s="435"/>
      <c r="C96" s="420"/>
      <c r="D96" s="420" t="s">
        <v>505</v>
      </c>
      <c r="E96" s="414" t="s">
        <v>17</v>
      </c>
      <c r="F96" s="414" t="s">
        <v>506</v>
      </c>
      <c r="G96" s="414" t="s">
        <v>459</v>
      </c>
      <c r="H96" s="488"/>
    </row>
    <row r="97" spans="1:8">
      <c r="B97" s="460"/>
      <c r="C97" s="461"/>
      <c r="D97" s="420" t="s">
        <v>467</v>
      </c>
      <c r="E97" s="414" t="s">
        <v>467</v>
      </c>
      <c r="F97" s="414" t="s">
        <v>467</v>
      </c>
      <c r="G97" s="414" t="s">
        <v>467</v>
      </c>
      <c r="H97" s="509" t="s">
        <v>507</v>
      </c>
    </row>
    <row r="98" spans="1:8">
      <c r="B98" s="413"/>
      <c r="C98" s="462"/>
      <c r="D98" s="415"/>
      <c r="E98" s="415"/>
      <c r="F98" s="415"/>
      <c r="G98" s="415"/>
      <c r="H98" s="488"/>
    </row>
    <row r="99" spans="1:8">
      <c r="A99" s="411" t="s">
        <v>573</v>
      </c>
      <c r="B99" s="934" t="s">
        <v>1111</v>
      </c>
      <c r="C99" s="935">
        <v>0</v>
      </c>
      <c r="D99" s="935">
        <v>0</v>
      </c>
      <c r="E99" s="935">
        <v>0</v>
      </c>
      <c r="F99" s="935">
        <v>0</v>
      </c>
      <c r="G99" s="935">
        <v>0</v>
      </c>
      <c r="H99" s="936"/>
    </row>
    <row r="100" spans="1:8">
      <c r="A100" s="411" t="s">
        <v>574</v>
      </c>
      <c r="B100" s="934" t="s">
        <v>702</v>
      </c>
      <c r="C100" s="935">
        <v>-29107226</v>
      </c>
      <c r="D100" s="935">
        <v>0</v>
      </c>
      <c r="E100" s="935">
        <v>0</v>
      </c>
      <c r="F100" s="935">
        <v>0</v>
      </c>
      <c r="G100" s="935">
        <v>-29107226</v>
      </c>
      <c r="H100" s="936" t="s">
        <v>949</v>
      </c>
    </row>
    <row r="101" spans="1:8">
      <c r="A101" s="411" t="s">
        <v>575</v>
      </c>
      <c r="B101" s="934" t="s">
        <v>778</v>
      </c>
      <c r="C101" s="935">
        <v>-1277494888</v>
      </c>
      <c r="D101" s="935">
        <v>-1277494888</v>
      </c>
      <c r="E101" s="935">
        <v>0</v>
      </c>
      <c r="F101" s="935">
        <v>0</v>
      </c>
      <c r="G101" s="935">
        <v>0</v>
      </c>
      <c r="H101" s="936" t="s">
        <v>950</v>
      </c>
    </row>
    <row r="102" spans="1:8">
      <c r="A102" s="430" t="s">
        <v>576</v>
      </c>
      <c r="B102" s="934" t="s">
        <v>902</v>
      </c>
      <c r="C102" s="935">
        <v>-3136156</v>
      </c>
      <c r="D102" s="935">
        <v>0</v>
      </c>
      <c r="E102" s="935">
        <v>0</v>
      </c>
      <c r="F102" s="935">
        <v>0</v>
      </c>
      <c r="G102" s="935">
        <v>-3136156</v>
      </c>
      <c r="H102" s="936" t="s">
        <v>949</v>
      </c>
    </row>
    <row r="103" spans="1:8">
      <c r="A103" s="430" t="s">
        <v>577</v>
      </c>
      <c r="B103" s="934" t="s">
        <v>17</v>
      </c>
      <c r="C103" s="935">
        <v>-235859579</v>
      </c>
      <c r="D103" s="935">
        <v>0</v>
      </c>
      <c r="E103" s="935">
        <v>-235859579</v>
      </c>
      <c r="F103" s="935">
        <v>0</v>
      </c>
      <c r="G103" s="935">
        <v>0</v>
      </c>
      <c r="H103" s="936" t="s">
        <v>901</v>
      </c>
    </row>
    <row r="104" spans="1:8">
      <c r="A104" s="430" t="s">
        <v>578</v>
      </c>
      <c r="B104" s="935"/>
      <c r="C104" s="935"/>
      <c r="D104" s="929"/>
      <c r="E104" s="929"/>
      <c r="F104" s="929"/>
      <c r="G104" s="929"/>
      <c r="H104" s="937"/>
    </row>
    <row r="105" spans="1:8">
      <c r="A105" s="430" t="s">
        <v>579</v>
      </c>
      <c r="B105" s="935"/>
      <c r="C105" s="935"/>
      <c r="D105" s="929"/>
      <c r="E105" s="929"/>
      <c r="F105" s="929"/>
      <c r="G105" s="929"/>
      <c r="H105" s="937"/>
    </row>
    <row r="106" spans="1:8">
      <c r="A106" s="430" t="s">
        <v>580</v>
      </c>
      <c r="B106" s="935"/>
      <c r="C106" s="935"/>
      <c r="D106" s="929"/>
      <c r="E106" s="929"/>
      <c r="F106" s="929"/>
      <c r="G106" s="929"/>
      <c r="H106" s="937"/>
    </row>
    <row r="107" spans="1:8">
      <c r="A107" s="430" t="s">
        <v>296</v>
      </c>
      <c r="B107" s="935"/>
      <c r="C107" s="935"/>
      <c r="D107" s="929"/>
      <c r="E107" s="929"/>
      <c r="F107" s="929"/>
      <c r="G107" s="929"/>
      <c r="H107" s="937"/>
    </row>
    <row r="108" spans="1:8">
      <c r="A108" s="430">
        <v>14</v>
      </c>
      <c r="B108" s="431" t="s">
        <v>1056</v>
      </c>
      <c r="C108" s="432">
        <f>SUM(C99:C107)</f>
        <v>-1545597849</v>
      </c>
      <c r="D108" s="432">
        <f>SUM(D99:D107)</f>
        <v>-1277494888</v>
      </c>
      <c r="E108" s="432">
        <f>SUM(E99:E107)</f>
        <v>-235859579</v>
      </c>
      <c r="F108" s="432">
        <f>SUM(F99:F107)</f>
        <v>0</v>
      </c>
      <c r="G108" s="432">
        <f>SUM(G99:G107)</f>
        <v>-32243382</v>
      </c>
      <c r="H108" s="511"/>
    </row>
    <row r="109" spans="1:8">
      <c r="A109" s="430">
        <v>15</v>
      </c>
      <c r="B109" s="431" t="s">
        <v>563</v>
      </c>
      <c r="C109" s="939">
        <v>-284353657.29305041</v>
      </c>
      <c r="D109" s="939">
        <v>-247839335</v>
      </c>
      <c r="E109" s="939">
        <v>-35469436.116370887</v>
      </c>
      <c r="F109" s="939">
        <v>0</v>
      </c>
      <c r="G109" s="939">
        <v>-1044886.1766794622</v>
      </c>
      <c r="H109" s="937"/>
    </row>
    <row r="110" spans="1:8">
      <c r="A110" s="430">
        <v>16</v>
      </c>
      <c r="B110" s="431" t="s">
        <v>564</v>
      </c>
      <c r="C110" s="939"/>
      <c r="D110" s="939"/>
      <c r="E110" s="939"/>
      <c r="F110" s="939"/>
      <c r="G110" s="939"/>
      <c r="H110" s="949"/>
    </row>
    <row r="111" spans="1:8">
      <c r="A111" s="430">
        <v>17</v>
      </c>
      <c r="B111" s="431" t="s">
        <v>1154</v>
      </c>
      <c r="C111" s="512">
        <f>+C108-C109-C110</f>
        <v>-1261244191.7069497</v>
      </c>
      <c r="D111" s="512">
        <f>+D108-D109-D110</f>
        <v>-1029655553</v>
      </c>
      <c r="E111" s="512">
        <f>+E108-E109-E110</f>
        <v>-200390142.88362911</v>
      </c>
      <c r="F111" s="512">
        <f>+F108-F109-F110</f>
        <v>0</v>
      </c>
      <c r="G111" s="512">
        <f>+G108-G109-G110</f>
        <v>-31198495.823320538</v>
      </c>
      <c r="H111" s="513"/>
    </row>
    <row r="112" spans="1:8">
      <c r="B112" s="435"/>
      <c r="C112" s="464"/>
      <c r="D112" s="464"/>
      <c r="E112" s="464"/>
      <c r="F112" s="464"/>
      <c r="G112" s="415"/>
      <c r="H112" s="514"/>
    </row>
    <row r="113" spans="1:8" ht="15.75" thickBot="1">
      <c r="B113" s="435"/>
      <c r="C113" s="436"/>
      <c r="D113" s="415"/>
      <c r="E113" s="415"/>
      <c r="F113" s="415"/>
      <c r="G113" s="437"/>
      <c r="H113" s="515"/>
    </row>
    <row r="114" spans="1:8">
      <c r="A114" s="430">
        <v>18</v>
      </c>
      <c r="B114" s="466" t="s">
        <v>581</v>
      </c>
      <c r="C114" s="467"/>
      <c r="D114" s="468"/>
      <c r="E114" s="468"/>
      <c r="F114" s="468"/>
      <c r="G114" s="469"/>
      <c r="H114" s="516"/>
    </row>
    <row r="115" spans="1:8">
      <c r="A115" s="430">
        <v>19</v>
      </c>
      <c r="B115" s="444" t="s">
        <v>566</v>
      </c>
      <c r="C115" s="471"/>
      <c r="D115" s="457"/>
      <c r="E115" s="457"/>
      <c r="F115" s="457"/>
      <c r="G115" s="457"/>
      <c r="H115" s="476"/>
    </row>
    <row r="116" spans="1:8">
      <c r="A116" s="430">
        <v>20</v>
      </c>
      <c r="B116" s="444" t="s">
        <v>567</v>
      </c>
      <c r="C116" s="446"/>
      <c r="D116" s="415"/>
      <c r="E116" s="415"/>
      <c r="F116" s="415"/>
      <c r="G116" s="437"/>
      <c r="H116" s="517"/>
    </row>
    <row r="117" spans="1:8">
      <c r="A117" s="430">
        <v>21</v>
      </c>
      <c r="B117" s="444" t="s">
        <v>568</v>
      </c>
      <c r="C117" s="446"/>
      <c r="D117" s="415"/>
      <c r="E117" s="415"/>
      <c r="F117" s="415"/>
      <c r="G117" s="437"/>
      <c r="H117" s="517"/>
    </row>
    <row r="118" spans="1:8">
      <c r="A118" s="430">
        <v>22</v>
      </c>
      <c r="B118" s="444" t="s">
        <v>569</v>
      </c>
      <c r="C118" s="446"/>
      <c r="D118" s="415"/>
      <c r="E118" s="415"/>
      <c r="F118" s="415"/>
      <c r="G118" s="437"/>
      <c r="H118" s="517"/>
    </row>
    <row r="119" spans="1:8">
      <c r="A119" s="430">
        <v>23</v>
      </c>
      <c r="B119" s="448" t="s">
        <v>570</v>
      </c>
      <c r="C119" s="474"/>
      <c r="D119" s="475"/>
      <c r="E119" s="475"/>
      <c r="F119" s="475"/>
      <c r="G119" s="475"/>
      <c r="H119" s="476"/>
    </row>
    <row r="120" spans="1:8">
      <c r="A120" s="430">
        <v>24</v>
      </c>
      <c r="B120" s="449" t="s">
        <v>571</v>
      </c>
      <c r="C120" s="475"/>
      <c r="D120" s="475"/>
      <c r="E120" s="475"/>
      <c r="F120" s="475"/>
      <c r="G120" s="475"/>
      <c r="H120" s="476"/>
    </row>
    <row r="121" spans="1:8" ht="15.75" thickBot="1">
      <c r="B121" s="518"/>
      <c r="C121" s="477"/>
      <c r="D121" s="478"/>
      <c r="E121" s="478"/>
      <c r="F121" s="478"/>
      <c r="G121" s="479"/>
      <c r="H121" s="519"/>
    </row>
    <row r="122" spans="1:8">
      <c r="B122" s="1059" t="str">
        <f>'4A - ADIT Summary'!$G$65</f>
        <v>PECO Energy Company</v>
      </c>
      <c r="C122" s="1060"/>
      <c r="D122" s="1060"/>
      <c r="E122" s="1060"/>
      <c r="F122" s="1060"/>
      <c r="G122" s="1060"/>
      <c r="H122" s="1060"/>
    </row>
    <row r="123" spans="1:8" ht="15.75">
      <c r="B123" s="413" t="s">
        <v>617</v>
      </c>
      <c r="C123" s="413"/>
      <c r="D123" s="413"/>
      <c r="E123" s="413"/>
      <c r="F123" s="413"/>
      <c r="G123" s="413"/>
      <c r="H123" s="507"/>
    </row>
    <row r="124" spans="1:8">
      <c r="B124" s="413"/>
      <c r="C124" s="520"/>
      <c r="D124" s="520"/>
      <c r="E124" s="520"/>
      <c r="F124" s="520"/>
      <c r="G124" s="520"/>
      <c r="H124" s="508"/>
    </row>
    <row r="125" spans="1:8">
      <c r="B125" s="520"/>
      <c r="C125" s="520"/>
      <c r="D125" s="520"/>
      <c r="E125" s="520"/>
      <c r="F125" s="520"/>
      <c r="G125" s="520"/>
      <c r="H125" s="487" t="s">
        <v>617</v>
      </c>
    </row>
    <row r="126" spans="1:8">
      <c r="B126" s="520"/>
      <c r="C126" s="520"/>
      <c r="D126" s="520"/>
      <c r="E126" s="520"/>
      <c r="F126" s="520"/>
      <c r="G126" s="520"/>
      <c r="H126" s="487" t="s">
        <v>582</v>
      </c>
    </row>
    <row r="127" spans="1:8">
      <c r="B127" s="435"/>
      <c r="C127" s="436"/>
      <c r="D127" s="415"/>
      <c r="E127" s="415"/>
      <c r="F127" s="415"/>
      <c r="G127" s="437"/>
      <c r="H127" s="515"/>
    </row>
    <row r="128" spans="1:8">
      <c r="B128" s="458" t="s">
        <v>58</v>
      </c>
      <c r="C128" s="419" t="s">
        <v>59</v>
      </c>
      <c r="D128" s="456" t="s">
        <v>60</v>
      </c>
      <c r="E128" s="456" t="s">
        <v>61</v>
      </c>
      <c r="F128" s="456" t="s">
        <v>62</v>
      </c>
      <c r="G128" s="456" t="s">
        <v>63</v>
      </c>
      <c r="H128" s="510" t="s">
        <v>64</v>
      </c>
    </row>
    <row r="129" spans="1:12">
      <c r="B129" s="421" t="s">
        <v>1466</v>
      </c>
      <c r="C129" s="420" t="s">
        <v>13</v>
      </c>
      <c r="D129" s="420" t="s">
        <v>504</v>
      </c>
      <c r="E129" s="414" t="s">
        <v>492</v>
      </c>
      <c r="F129" s="414"/>
      <c r="G129" s="414"/>
      <c r="H129" s="488"/>
    </row>
    <row r="130" spans="1:12">
      <c r="B130" s="413"/>
      <c r="C130" s="420"/>
      <c r="D130" s="420" t="s">
        <v>505</v>
      </c>
      <c r="E130" s="414" t="s">
        <v>17</v>
      </c>
      <c r="F130" s="414" t="s">
        <v>506</v>
      </c>
      <c r="G130" s="414" t="s">
        <v>459</v>
      </c>
      <c r="H130" s="488"/>
    </row>
    <row r="131" spans="1:12">
      <c r="B131" s="460"/>
      <c r="C131" s="461"/>
      <c r="D131" s="420" t="s">
        <v>467</v>
      </c>
      <c r="E131" s="414" t="s">
        <v>467</v>
      </c>
      <c r="F131" s="414" t="s">
        <v>467</v>
      </c>
      <c r="G131" s="414" t="s">
        <v>467</v>
      </c>
      <c r="H131" s="509" t="s">
        <v>507</v>
      </c>
    </row>
    <row r="132" spans="1:12">
      <c r="B132" s="460"/>
      <c r="C132" s="461"/>
      <c r="D132" s="415"/>
      <c r="E132" s="415"/>
      <c r="F132" s="415"/>
      <c r="G132" s="415"/>
      <c r="H132" s="475"/>
    </row>
    <row r="133" spans="1:12">
      <c r="B133" s="460"/>
      <c r="C133" s="461"/>
      <c r="D133" s="415"/>
      <c r="E133" s="415"/>
      <c r="F133" s="415"/>
      <c r="G133" s="415"/>
      <c r="H133" s="488"/>
    </row>
    <row r="134" spans="1:12">
      <c r="A134" s="411" t="s">
        <v>583</v>
      </c>
      <c r="B134" s="950" t="s">
        <v>914</v>
      </c>
      <c r="C134" s="929">
        <v>0</v>
      </c>
      <c r="D134" s="929">
        <v>0</v>
      </c>
      <c r="E134" s="929">
        <v>0</v>
      </c>
      <c r="F134" s="929">
        <v>0</v>
      </c>
      <c r="G134" s="929">
        <v>0</v>
      </c>
      <c r="H134" s="936" t="s">
        <v>944</v>
      </c>
    </row>
    <row r="135" spans="1:12">
      <c r="A135" s="411" t="s">
        <v>584</v>
      </c>
      <c r="B135" s="950" t="s">
        <v>903</v>
      </c>
      <c r="C135" s="929">
        <v>-930652</v>
      </c>
      <c r="D135" s="929">
        <v>-930652</v>
      </c>
      <c r="E135" s="929">
        <v>0</v>
      </c>
      <c r="F135" s="929">
        <v>0</v>
      </c>
      <c r="G135" s="929">
        <v>0</v>
      </c>
      <c r="H135" s="936" t="s">
        <v>944</v>
      </c>
      <c r="L135" s="498"/>
    </row>
    <row r="136" spans="1:12">
      <c r="A136" s="411" t="s">
        <v>585</v>
      </c>
      <c r="B136" s="950" t="s">
        <v>915</v>
      </c>
      <c r="C136" s="929">
        <v>-269975</v>
      </c>
      <c r="D136" s="929">
        <v>0</v>
      </c>
      <c r="E136" s="929">
        <v>0</v>
      </c>
      <c r="F136" s="929">
        <v>-269975</v>
      </c>
      <c r="G136" s="929">
        <v>0</v>
      </c>
      <c r="H136" s="936" t="s">
        <v>951</v>
      </c>
      <c r="L136" s="498"/>
    </row>
    <row r="137" spans="1:12">
      <c r="A137" s="430" t="s">
        <v>586</v>
      </c>
      <c r="B137" s="950" t="s">
        <v>904</v>
      </c>
      <c r="C137" s="929">
        <v>0</v>
      </c>
      <c r="D137" s="929">
        <v>0</v>
      </c>
      <c r="E137" s="929">
        <v>0</v>
      </c>
      <c r="F137" s="929">
        <v>0</v>
      </c>
      <c r="G137" s="929">
        <v>0</v>
      </c>
      <c r="H137" s="936" t="s">
        <v>944</v>
      </c>
    </row>
    <row r="138" spans="1:12">
      <c r="A138" s="430" t="s">
        <v>587</v>
      </c>
      <c r="B138" s="950" t="s">
        <v>905</v>
      </c>
      <c r="C138" s="929">
        <v>0</v>
      </c>
      <c r="D138" s="929">
        <v>0</v>
      </c>
      <c r="E138" s="929">
        <v>0</v>
      </c>
      <c r="F138" s="929">
        <v>0</v>
      </c>
      <c r="G138" s="929">
        <v>0</v>
      </c>
      <c r="H138" s="936" t="s">
        <v>944</v>
      </c>
    </row>
    <row r="139" spans="1:12">
      <c r="A139" s="430" t="s">
        <v>588</v>
      </c>
      <c r="B139" s="950" t="s">
        <v>906</v>
      </c>
      <c r="C139" s="929">
        <v>-43613</v>
      </c>
      <c r="D139" s="929">
        <v>-43613</v>
      </c>
      <c r="E139" s="929">
        <v>0</v>
      </c>
      <c r="F139" s="929">
        <v>0</v>
      </c>
      <c r="G139" s="929">
        <v>0</v>
      </c>
      <c r="H139" s="936" t="s">
        <v>944</v>
      </c>
    </row>
    <row r="140" spans="1:12" ht="14.25" customHeight="1">
      <c r="A140" s="430" t="s">
        <v>589</v>
      </c>
      <c r="B140" s="950" t="s">
        <v>907</v>
      </c>
      <c r="C140" s="929">
        <v>-142257</v>
      </c>
      <c r="D140" s="929">
        <v>-142257</v>
      </c>
      <c r="E140" s="929">
        <v>0</v>
      </c>
      <c r="F140" s="929">
        <v>0</v>
      </c>
      <c r="G140" s="929">
        <v>0</v>
      </c>
      <c r="H140" s="936" t="s">
        <v>944</v>
      </c>
    </row>
    <row r="141" spans="1:12">
      <c r="A141" s="430" t="s">
        <v>590</v>
      </c>
      <c r="B141" s="950" t="s">
        <v>952</v>
      </c>
      <c r="C141" s="929">
        <v>-60560.730809999994</v>
      </c>
      <c r="D141" s="929">
        <v>-60560.730809999994</v>
      </c>
      <c r="E141" s="929">
        <v>0</v>
      </c>
      <c r="F141" s="929">
        <v>0</v>
      </c>
      <c r="G141" s="929">
        <v>0</v>
      </c>
      <c r="H141" s="936" t="s">
        <v>944</v>
      </c>
    </row>
    <row r="142" spans="1:12">
      <c r="A142" s="430" t="s">
        <v>591</v>
      </c>
      <c r="B142" s="950" t="s">
        <v>953</v>
      </c>
      <c r="C142" s="929">
        <v>-192532</v>
      </c>
      <c r="D142" s="929">
        <v>-192532</v>
      </c>
      <c r="E142" s="929">
        <v>0</v>
      </c>
      <c r="F142" s="929">
        <v>0</v>
      </c>
      <c r="G142" s="929">
        <v>0</v>
      </c>
      <c r="H142" s="936" t="s">
        <v>944</v>
      </c>
    </row>
    <row r="143" spans="1:12">
      <c r="A143" s="430" t="s">
        <v>592</v>
      </c>
      <c r="B143" s="950" t="s">
        <v>908</v>
      </c>
      <c r="C143" s="929">
        <v>-262244</v>
      </c>
      <c r="D143" s="929">
        <v>0</v>
      </c>
      <c r="E143" s="929">
        <v>0</v>
      </c>
      <c r="F143" s="929">
        <v>0</v>
      </c>
      <c r="G143" s="929">
        <v>-262244</v>
      </c>
      <c r="H143" s="940" t="s">
        <v>954</v>
      </c>
    </row>
    <row r="144" spans="1:12">
      <c r="A144" s="430" t="s">
        <v>593</v>
      </c>
      <c r="B144" s="950" t="s">
        <v>955</v>
      </c>
      <c r="C144" s="929">
        <v>0</v>
      </c>
      <c r="D144" s="929">
        <v>0</v>
      </c>
      <c r="E144" s="929">
        <v>0</v>
      </c>
      <c r="F144" s="929">
        <v>0</v>
      </c>
      <c r="G144" s="929">
        <v>0</v>
      </c>
      <c r="H144" s="940" t="s">
        <v>878</v>
      </c>
    </row>
    <row r="145" spans="1:8">
      <c r="A145" s="430" t="s">
        <v>594</v>
      </c>
      <c r="B145" s="950" t="s">
        <v>956</v>
      </c>
      <c r="C145" s="929">
        <v>0</v>
      </c>
      <c r="D145" s="929">
        <v>0</v>
      </c>
      <c r="E145" s="929">
        <v>0</v>
      </c>
      <c r="F145" s="929">
        <v>0</v>
      </c>
      <c r="G145" s="929">
        <v>0</v>
      </c>
      <c r="H145" s="936">
        <v>0</v>
      </c>
    </row>
    <row r="146" spans="1:8" ht="30">
      <c r="A146" s="430" t="s">
        <v>595</v>
      </c>
      <c r="B146" s="950" t="s">
        <v>957</v>
      </c>
      <c r="C146" s="929">
        <v>-51488.033567999999</v>
      </c>
      <c r="D146" s="929">
        <v>0</v>
      </c>
      <c r="E146" s="929">
        <v>0</v>
      </c>
      <c r="F146" s="929">
        <v>-51488.033567999999</v>
      </c>
      <c r="G146" s="929">
        <v>0</v>
      </c>
      <c r="H146" s="936" t="s">
        <v>958</v>
      </c>
    </row>
    <row r="147" spans="1:8">
      <c r="A147" s="430" t="s">
        <v>596</v>
      </c>
      <c r="B147" s="950" t="s">
        <v>959</v>
      </c>
      <c r="C147" s="929">
        <v>-1600829.496357</v>
      </c>
      <c r="D147" s="929">
        <v>-1600829.496357</v>
      </c>
      <c r="E147" s="929">
        <v>0</v>
      </c>
      <c r="F147" s="929">
        <v>0</v>
      </c>
      <c r="G147" s="929">
        <v>0</v>
      </c>
      <c r="H147" s="936" t="s">
        <v>960</v>
      </c>
    </row>
    <row r="148" spans="1:8">
      <c r="A148" s="430" t="s">
        <v>597</v>
      </c>
      <c r="B148" s="950" t="s">
        <v>961</v>
      </c>
      <c r="C148" s="929">
        <v>-3337244</v>
      </c>
      <c r="D148" s="929">
        <v>-3337244</v>
      </c>
      <c r="E148" s="929">
        <v>0</v>
      </c>
      <c r="F148" s="929">
        <v>0</v>
      </c>
      <c r="G148" s="929">
        <v>0</v>
      </c>
      <c r="H148" s="936" t="s">
        <v>944</v>
      </c>
    </row>
    <row r="149" spans="1:8">
      <c r="A149" s="430" t="s">
        <v>598</v>
      </c>
      <c r="B149" s="950" t="s">
        <v>1246</v>
      </c>
      <c r="C149" s="929">
        <v>0</v>
      </c>
      <c r="D149" s="929">
        <v>0</v>
      </c>
      <c r="E149" s="929">
        <v>0</v>
      </c>
      <c r="F149" s="929">
        <v>0</v>
      </c>
      <c r="G149" s="929">
        <v>0</v>
      </c>
      <c r="H149" s="936" t="s">
        <v>944</v>
      </c>
    </row>
    <row r="150" spans="1:8">
      <c r="A150" s="430" t="s">
        <v>599</v>
      </c>
      <c r="B150" s="950" t="s">
        <v>1247</v>
      </c>
      <c r="C150" s="929">
        <v>-1015422.099972</v>
      </c>
      <c r="D150" s="929">
        <v>-1015422.099972</v>
      </c>
      <c r="E150" s="929">
        <v>0</v>
      </c>
      <c r="F150" s="929">
        <v>0</v>
      </c>
      <c r="G150" s="929">
        <v>0</v>
      </c>
      <c r="H150" s="936" t="s">
        <v>944</v>
      </c>
    </row>
    <row r="151" spans="1:8">
      <c r="A151" s="430" t="s">
        <v>600</v>
      </c>
      <c r="B151" s="950" t="s">
        <v>886</v>
      </c>
      <c r="C151" s="929">
        <v>-206972.603244</v>
      </c>
      <c r="D151" s="929">
        <v>0</v>
      </c>
      <c r="E151" s="929">
        <v>0</v>
      </c>
      <c r="F151" s="929">
        <v>0</v>
      </c>
      <c r="G151" s="929">
        <v>-206972.603244</v>
      </c>
      <c r="H151" s="936" t="s">
        <v>930</v>
      </c>
    </row>
    <row r="152" spans="1:8" ht="30">
      <c r="A152" s="430" t="s">
        <v>601</v>
      </c>
      <c r="B152" s="950" t="s">
        <v>962</v>
      </c>
      <c r="C152" s="929">
        <v>-67402.95793199999</v>
      </c>
      <c r="D152" s="929">
        <v>0</v>
      </c>
      <c r="E152" s="929">
        <v>0</v>
      </c>
      <c r="F152" s="929">
        <v>-67402.95793199999</v>
      </c>
      <c r="G152" s="929">
        <v>0</v>
      </c>
      <c r="H152" s="936" t="s">
        <v>963</v>
      </c>
    </row>
    <row r="153" spans="1:8">
      <c r="A153" s="430" t="s">
        <v>602</v>
      </c>
      <c r="B153" s="950" t="s">
        <v>1248</v>
      </c>
      <c r="C153" s="929">
        <v>-142256.61061199999</v>
      </c>
      <c r="D153" s="929">
        <v>-142256.61061199999</v>
      </c>
      <c r="E153" s="929">
        <v>0</v>
      </c>
      <c r="F153" s="929">
        <v>0</v>
      </c>
      <c r="G153" s="929">
        <v>0</v>
      </c>
      <c r="H153" s="936" t="s">
        <v>944</v>
      </c>
    </row>
    <row r="154" spans="1:8" ht="30">
      <c r="A154" s="430" t="s">
        <v>603</v>
      </c>
      <c r="B154" s="950" t="s">
        <v>964</v>
      </c>
      <c r="C154" s="929">
        <v>-1.1556840001303349E-2</v>
      </c>
      <c r="D154" s="929">
        <v>0</v>
      </c>
      <c r="E154" s="929">
        <v>0</v>
      </c>
      <c r="F154" s="929">
        <v>0</v>
      </c>
      <c r="G154" s="929">
        <v>-1.1556840001303349E-2</v>
      </c>
      <c r="H154" s="936" t="s">
        <v>1396</v>
      </c>
    </row>
    <row r="155" spans="1:8">
      <c r="A155" s="430" t="s">
        <v>604</v>
      </c>
      <c r="B155" s="950" t="s">
        <v>892</v>
      </c>
      <c r="C155" s="929">
        <v>0</v>
      </c>
      <c r="D155" s="929">
        <v>0</v>
      </c>
      <c r="E155" s="929">
        <v>0</v>
      </c>
      <c r="F155" s="929">
        <v>0</v>
      </c>
      <c r="G155" s="929">
        <v>0</v>
      </c>
      <c r="H155" s="936" t="s">
        <v>965</v>
      </c>
    </row>
    <row r="156" spans="1:8" ht="30">
      <c r="A156" s="430" t="s">
        <v>605</v>
      </c>
      <c r="B156" s="950" t="s">
        <v>911</v>
      </c>
      <c r="C156" s="929">
        <v>-94537653</v>
      </c>
      <c r="D156" s="929">
        <v>0</v>
      </c>
      <c r="E156" s="929">
        <v>0</v>
      </c>
      <c r="F156" s="929">
        <v>0</v>
      </c>
      <c r="G156" s="929">
        <v>-94537653</v>
      </c>
      <c r="H156" s="936" t="s">
        <v>941</v>
      </c>
    </row>
    <row r="157" spans="1:8">
      <c r="A157" s="430" t="s">
        <v>606</v>
      </c>
      <c r="B157" s="950" t="s">
        <v>1249</v>
      </c>
      <c r="C157" s="929">
        <v>-6167317</v>
      </c>
      <c r="D157" s="929">
        <v>-6167317</v>
      </c>
      <c r="E157" s="929">
        <v>0</v>
      </c>
      <c r="F157" s="929">
        <v>0</v>
      </c>
      <c r="G157" s="929">
        <v>0</v>
      </c>
      <c r="H157" s="936" t="s">
        <v>1250</v>
      </c>
    </row>
    <row r="158" spans="1:8">
      <c r="A158" s="430" t="s">
        <v>607</v>
      </c>
      <c r="B158" s="950" t="s">
        <v>916</v>
      </c>
      <c r="C158" s="929">
        <v>-3653636</v>
      </c>
      <c r="D158" s="929">
        <v>0</v>
      </c>
      <c r="E158" s="929">
        <v>0</v>
      </c>
      <c r="F158" s="929">
        <v>-3653636</v>
      </c>
      <c r="G158" s="929">
        <v>0</v>
      </c>
      <c r="H158" s="936" t="s">
        <v>966</v>
      </c>
    </row>
    <row r="159" spans="1:8">
      <c r="A159" s="430" t="s">
        <v>608</v>
      </c>
      <c r="B159" s="950" t="s">
        <v>1591</v>
      </c>
      <c r="C159" s="929">
        <v>-5140850</v>
      </c>
      <c r="D159" s="929">
        <v>-5140850</v>
      </c>
      <c r="E159" s="929">
        <v>0</v>
      </c>
      <c r="F159" s="929">
        <v>0</v>
      </c>
      <c r="G159" s="929">
        <v>0</v>
      </c>
      <c r="H159" s="936"/>
    </row>
    <row r="160" spans="1:8">
      <c r="A160" s="430" t="s">
        <v>609</v>
      </c>
      <c r="B160" s="950" t="s">
        <v>1637</v>
      </c>
      <c r="C160" s="929">
        <v>-557889.98250299995</v>
      </c>
      <c r="D160" s="929">
        <v>-557889.98250299995</v>
      </c>
      <c r="E160" s="929">
        <v>0</v>
      </c>
      <c r="F160" s="929">
        <v>0</v>
      </c>
      <c r="G160" s="929">
        <v>0</v>
      </c>
      <c r="H160" s="951"/>
    </row>
    <row r="161" spans="1:10">
      <c r="A161" s="430" t="s">
        <v>610</v>
      </c>
      <c r="B161" s="941" t="s">
        <v>1638</v>
      </c>
      <c r="C161" s="929">
        <v>-68722</v>
      </c>
      <c r="D161" s="929">
        <v>-68722</v>
      </c>
      <c r="E161" s="929">
        <v>0</v>
      </c>
      <c r="F161" s="929">
        <v>0</v>
      </c>
      <c r="G161" s="929">
        <v>0</v>
      </c>
      <c r="H161" s="936" t="s">
        <v>944</v>
      </c>
    </row>
    <row r="162" spans="1:10">
      <c r="A162" s="430" t="s">
        <v>611</v>
      </c>
      <c r="B162" s="941" t="s">
        <v>1639</v>
      </c>
      <c r="C162" s="929">
        <v>-941505</v>
      </c>
      <c r="D162" s="929">
        <v>-941537</v>
      </c>
      <c r="E162" s="929">
        <v>0</v>
      </c>
      <c r="F162" s="929">
        <v>0</v>
      </c>
      <c r="G162" s="929">
        <v>0</v>
      </c>
      <c r="H162" s="952"/>
    </row>
    <row r="163" spans="1:10">
      <c r="A163" s="430" t="s">
        <v>612</v>
      </c>
      <c r="B163" s="941"/>
      <c r="C163" s="929">
        <v>0</v>
      </c>
      <c r="D163" s="929"/>
      <c r="E163" s="929"/>
      <c r="F163" s="929"/>
      <c r="G163" s="929"/>
      <c r="H163" s="936"/>
    </row>
    <row r="164" spans="1:10">
      <c r="A164" s="430" t="s">
        <v>613</v>
      </c>
      <c r="B164" s="943"/>
      <c r="C164" s="929">
        <v>0</v>
      </c>
      <c r="D164" s="929"/>
      <c r="E164" s="929"/>
      <c r="F164" s="929"/>
      <c r="G164" s="929"/>
      <c r="H164" s="953"/>
    </row>
    <row r="165" spans="1:10">
      <c r="A165" s="411" t="s">
        <v>614</v>
      </c>
      <c r="B165" s="938"/>
      <c r="C165" s="929">
        <v>0</v>
      </c>
      <c r="D165" s="929"/>
      <c r="E165" s="929"/>
      <c r="F165" s="929"/>
      <c r="G165" s="929"/>
      <c r="H165" s="954"/>
    </row>
    <row r="166" spans="1:10">
      <c r="A166" s="411" t="s">
        <v>615</v>
      </c>
      <c r="B166" s="938"/>
      <c r="C166" s="929">
        <v>0</v>
      </c>
      <c r="D166" s="929"/>
      <c r="E166" s="929"/>
      <c r="F166" s="929"/>
      <c r="G166" s="929"/>
      <c r="H166" s="953"/>
    </row>
    <row r="167" spans="1:10">
      <c r="A167" s="430" t="s">
        <v>615</v>
      </c>
      <c r="B167" s="938"/>
      <c r="C167" s="929"/>
      <c r="D167" s="929"/>
      <c r="E167" s="929"/>
      <c r="F167" s="929"/>
      <c r="G167" s="929"/>
      <c r="H167" s="951"/>
    </row>
    <row r="168" spans="1:10">
      <c r="A168" s="411">
        <v>26</v>
      </c>
      <c r="B168" s="431" t="s">
        <v>1058</v>
      </c>
      <c r="C168" s="521">
        <f>SUM(C134:C167)</f>
        <v>-119391022.52655484</v>
      </c>
      <c r="D168" s="521">
        <f>SUM(D134:D167)</f>
        <v>-20341682.920254003</v>
      </c>
      <c r="E168" s="521">
        <f>SUM(E131:E167)</f>
        <v>0</v>
      </c>
      <c r="F168" s="521">
        <f>SUM(F131:F167)</f>
        <v>-4042501.9915</v>
      </c>
      <c r="G168" s="521">
        <f>SUM(G131:G167)</f>
        <v>-95006869.614800841</v>
      </c>
      <c r="H168" s="522"/>
      <c r="J168" s="434"/>
    </row>
    <row r="169" spans="1:10">
      <c r="A169" s="411">
        <v>27</v>
      </c>
      <c r="B169" s="431" t="s">
        <v>563</v>
      </c>
      <c r="C169" s="939">
        <v>10558767.130234392</v>
      </c>
      <c r="D169" s="939">
        <v>58135</v>
      </c>
      <c r="E169" s="939">
        <v>0</v>
      </c>
      <c r="F169" s="939">
        <v>1122631.08</v>
      </c>
      <c r="G169" s="939">
        <v>9378001.0502343923</v>
      </c>
      <c r="H169" s="526"/>
    </row>
    <row r="170" spans="1:10">
      <c r="A170" s="411">
        <v>28</v>
      </c>
      <c r="B170" s="431" t="s">
        <v>564</v>
      </c>
      <c r="C170" s="939"/>
      <c r="D170" s="955"/>
      <c r="E170" s="955"/>
      <c r="F170" s="955"/>
      <c r="G170" s="955"/>
      <c r="H170" s="951"/>
    </row>
    <row r="171" spans="1:10">
      <c r="A171" s="430">
        <v>29</v>
      </c>
      <c r="B171" s="431" t="s">
        <v>13</v>
      </c>
      <c r="C171" s="521">
        <f>C168-C169-C170</f>
        <v>-129949789.65678923</v>
      </c>
      <c r="D171" s="521">
        <f>+D168-D169-D170</f>
        <v>-20399817.920254003</v>
      </c>
      <c r="E171" s="521">
        <f>+E168-E169-E170</f>
        <v>0</v>
      </c>
      <c r="F171" s="521">
        <f>+F168-F169-F170</f>
        <v>-5165133.0714999996</v>
      </c>
      <c r="G171" s="521">
        <f>+G168-G169-G170</f>
        <v>-104384870.66503523</v>
      </c>
      <c r="H171" s="522"/>
    </row>
    <row r="172" spans="1:10" ht="15.75" thickBot="1">
      <c r="A172" s="430"/>
      <c r="B172" s="435"/>
      <c r="C172" s="484"/>
      <c r="D172" s="484"/>
      <c r="E172" s="484"/>
      <c r="F172" s="484"/>
      <c r="G172" s="484"/>
      <c r="H172" s="523"/>
    </row>
    <row r="173" spans="1:10">
      <c r="A173" s="430">
        <v>30</v>
      </c>
      <c r="B173" s="466" t="s">
        <v>616</v>
      </c>
    </row>
    <row r="174" spans="1:10">
      <c r="A174" s="430">
        <v>31</v>
      </c>
      <c r="B174" s="444" t="s">
        <v>566</v>
      </c>
    </row>
    <row r="175" spans="1:10">
      <c r="A175" s="430">
        <v>32</v>
      </c>
      <c r="B175" s="444" t="s">
        <v>567</v>
      </c>
      <c r="C175" s="406"/>
    </row>
    <row r="176" spans="1:10">
      <c r="A176" s="430">
        <v>33</v>
      </c>
      <c r="B176" s="444" t="s">
        <v>568</v>
      </c>
    </row>
    <row r="177" spans="1:2">
      <c r="A177" s="430">
        <v>34</v>
      </c>
      <c r="B177" s="444" t="s">
        <v>569</v>
      </c>
    </row>
    <row r="178" spans="1:2">
      <c r="A178" s="430">
        <v>35</v>
      </c>
      <c r="B178" s="448" t="s">
        <v>570</v>
      </c>
    </row>
    <row r="179" spans="1:2">
      <c r="A179" s="430">
        <v>36</v>
      </c>
      <c r="B179" s="449" t="s">
        <v>571</v>
      </c>
    </row>
    <row r="180" spans="1:2">
      <c r="A180" s="430"/>
    </row>
  </sheetData>
  <sheetProtection algorithmName="SHA-512" hashValue="x0lemK4gSpEassfNp6XBWIeQ36QNcsJ4XBMtBMy3mJSlzAr1yoNVwk9vJbHSs9WbTEDZIyuftgChyQFM5FKrJg==" saltValue="wsUrKHfJquwc528F533MSQ=="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8:G168 C108:G108 C73:G7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10 - Pension Asset Discount</vt:lpstr>
      <vt:lpstr>11 - Cost of Capital</vt:lpstr>
      <vt:lpstr>'10 - Pension Asset Discount'!Print_Area</vt:lpstr>
      <vt:lpstr>'11 - Cost of Capital'!Print_Area</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Alvarez, Marianne M:(BSC)</cp:lastModifiedBy>
  <cp:lastPrinted>2019-05-29T17:23:09Z</cp:lastPrinted>
  <dcterms:created xsi:type="dcterms:W3CDTF">2019-04-12T17:49:11Z</dcterms:created>
  <dcterms:modified xsi:type="dcterms:W3CDTF">2020-05-29T19:32:15Z</dcterms:modified>
  <cp:contentStatus/>
</cp:coreProperties>
</file>