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filterPrivacy="1" codeName="ThisWorkbook" defaultThemeVersion="124226"/>
  <xr:revisionPtr revIDLastSave="0" documentId="8_{275EFEDF-DD17-47AF-AC19-E8C0E1F8DC38}" xr6:coauthVersionLast="45" xr6:coauthVersionMax="45" xr10:uidLastSave="{00000000-0000-0000-0000-000000000000}"/>
  <bookViews>
    <workbookView xWindow="1100" yWindow="1100" windowWidth="14400" windowHeight="7360" tabRatio="865" xr2:uid="{00000000-000D-0000-FFFF-FFFF00000000}"/>
  </bookViews>
  <sheets>
    <sheet name="ATT H-2A" sheetId="48" r:id="rId1"/>
    <sheet name="1A - ADIT" sheetId="69" r:id="rId2"/>
    <sheet name="1B - ADIT Amortization" sheetId="75" r:id="rId3"/>
    <sheet name="1C - ADIT Remeasurement" sheetId="76" r:id="rId4"/>
    <sheet name="2 - Other Tax" sheetId="70" r:id="rId5"/>
    <sheet name="3 - Revenue Credits" sheetId="71" r:id="rId6"/>
    <sheet name="Exh E - Cap Add Worksheet" sheetId="55" state="hidden" r:id="rId7"/>
    <sheet name="Exh F - AA-BL Items" sheetId="64" state="hidden" r:id="rId8"/>
    <sheet name="4 - 100 Basis Pt ROE" sheetId="54" r:id="rId9"/>
    <sheet name="5 - Cost Support" sheetId="65" r:id="rId10"/>
    <sheet name="5a - Affiliate Allocations" sheetId="73" r:id="rId11"/>
    <sheet name="6- Est &amp; True-up WS" sheetId="68" r:id="rId12"/>
    <sheet name="7 - Cap Add WS" sheetId="72" r:id="rId13"/>
    <sheet name="8 - Securitization" sheetId="53" r:id="rId14"/>
    <sheet name="9- Depr Rates" sheetId="7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0">#REF!</definedName>
    <definedName name="\1">'[1]Header Data'!#REF!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hidden="1">[15]Inputs!#REF!</definedName>
    <definedName name="__123Graph_C" hidden="1">'[14]AL2 151'!#REF!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hidden="1">[18]Masterdata!#REF!</definedName>
    <definedName name="_2QTR">#REF!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hidden="1">{#N/A,#N/A,FALSE,"EMPPAY"}</definedName>
    <definedName name="_FED179">[19]DEPR96!#REF!</definedName>
    <definedName name="_Fill" hidden="1">#REF!</definedName>
    <definedName name="_Fill.1" hidden="1">#REF!</definedName>
    <definedName name="_gas2">#REF!</definedName>
    <definedName name="_gas2006">#REF!</definedName>
    <definedName name="_H1">{"'Metretek HTML'!$A$7:$W$42"}</definedName>
    <definedName name="_JAN01"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#REF!</definedName>
    <definedName name="a.1" hidden="1">{"LBO Summary",#N/A,FALSE,"Summary"}</definedName>
    <definedName name="AA">#REF!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[19]DEPR96!#REF!</definedName>
    <definedName name="AC_255">'[22]AC 255'!$A$1:$M$32</definedName>
    <definedName name="AC_282">[23]December!#REF!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#REF!</definedName>
    <definedName name="Accum._Other_Comprehensive_Income">#REF!</definedName>
    <definedName name="ACQ">[19]DEPR96!#REF!</definedName>
    <definedName name="ACRS">#REF!</definedName>
    <definedName name="Active1">#REF!</definedName>
    <definedName name="Active2">#REF!</definedName>
    <definedName name="ActivityType">'[24]Activity Type'!$1:$1048576</definedName>
    <definedName name="ACTTextLen">#REF!</definedName>
    <definedName name="Actual">[25]Assumptions!$E$52</definedName>
    <definedName name="adds2008">#REF!</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#REF!</definedName>
    <definedName name="Admin___Other_Labor_included_in_O_M">#REF!</definedName>
    <definedName name="ads">#REF!</definedName>
    <definedName name="ADTL">'[26]C. Input'!$F$144</definedName>
    <definedName name="Affiliate_Interest_Expense__Revenue">#REF!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hidden="1">{#N/A,#N/A,FALSE,"Aging Summary";#N/A,#N/A,FALSE,"Ratio Analysis";#N/A,#N/A,FALSE,"Test 120 Day Accts";#N/A,#N/A,FALSE,"Tickmarks"}</definedName>
    <definedName name="AGXP">'[26]C. Input'!$F$201</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#REF!</definedName>
    <definedName name="ALERT2">#REF!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#REF!</definedName>
    <definedName name="Allocator.gross.plant">'[30]Appendix A'!$H$30</definedName>
    <definedName name="Allocator.net.plant">'[30]Appendix A'!$H$33</definedName>
    <definedName name="Allocator.wages.salary">'[30]Appendix A'!$H$18</definedName>
    <definedName name="ALLOW">#REF!</definedName>
    <definedName name="Allow_for_Funds_Used_During_Const.">#REF!</definedName>
    <definedName name="ALLRD">[29]ALL!$C$25</definedName>
    <definedName name="ALLSKP">[29]ALL!$E$25</definedName>
    <definedName name="ALLYRS_MESSAGE">#REF!</definedName>
    <definedName name="ALOC">#REF!</definedName>
    <definedName name="ALOC_2">#REF!</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#REF!</definedName>
    <definedName name="AMOUNT">#REF!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{"'Metretek HTML'!$A$7:$W$42"}</definedName>
    <definedName name="AS2DocOpenMode" hidden="1">"AS2DocumentEdit"</definedName>
    <definedName name="ASD">#REF!</definedName>
    <definedName name="ASD_LEXTERNAL">#REF!</definedName>
    <definedName name="asda">[31]Pepco!#REF!</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#REF!</definedName>
    <definedName name="AUG">#REF!</definedName>
    <definedName name="AV.FM.1..adjusted..print">#REF!</definedName>
    <definedName name="AV.FM.1.print">#REF!</definedName>
    <definedName name="AVG">#REF!</definedName>
    <definedName name="avoidint">"V2001-12-31"</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'[38]10.08.5 - 2008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'[38]10.08.3 - 2008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'[38]10.08.5 - 2008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'[38]10.08.5 - 2008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'[38]10.08.2 - 2008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'[38]10.08.3 - 2008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'[38]10.08.4 -2008 Capital'!#REF!</definedName>
    <definedName name="BEx1U15M7LVVFZENH830B2BGWC04" hidden="1">#REF!</definedName>
    <definedName name="BEx1U5NGVTXGL4CIPVT5O034KGGR" hidden="1">'[38]10.08.3 - 2008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'[38]10.08.5 - 2008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'[38]10.08.5 - 2008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[39]Table!#REF!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'[38]10.08.5 - 2008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'[38]10.08.5 - 2008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'[38]10.08.3 - 2008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[39]Table!#REF!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'[38]10.08.5 - 2008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'[38]10.08.4 -2008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'[38]10.08.5 - 2008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'[38]10.08.5 - 2008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'[38]10.08.4 -2008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'[38]10.08.5 - 2008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'[38]10.08.3 - 2008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'[38]10.08.2 - 2008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'[38]10.08.3 - 2008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'[38]10.08.5 - 2008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'[38]10.08.5 - 2008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'[38]10.08.5 - 2008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'[38]10.08.2 - 2008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'[38]10.08.5 - 2008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'[38]10.08.2 - 2008 Expense'!#REF!</definedName>
    <definedName name="BExCUW1QXVMEP3B9SFPNEEWCG9I0" hidden="1">'[38]10.08.5 - 2008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'[38]10.08.4 -2008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'[38]10.08.2 - 2008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'[38]10.08.3 - 2008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[39]Table!#REF!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'[38]10.08.4 -2008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'[38]10.08.4 -2008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'[38]10.08.2 - 2008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'[38]10.08.5 - 2008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'[38]10.08.4 -2008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'[38]10.08.5 - 2008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'[38]10.08.4 -2008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'[38]10.08.4 -2008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'[38]10.08.2 - 2008 Expense'!#REF!</definedName>
    <definedName name="BExIM2RXHXBO63HBPUTHF775IIRY" hidden="1">#REF!</definedName>
    <definedName name="BExIM2RXYS5BGYBDMFLU1RE8039Z" hidden="1">#REF!</definedName>
    <definedName name="BExIM2X90EG7J3TG4STQ3J1OK4O0" hidden="1">'[38]10.08.5 - 2008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'[38]10.08.5 - 2008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'[38]10.08.5 - 2008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'[38]10.08.2 - 2008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'[38]10.08.4 -2008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'[38]10.08.4 -2008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'[38]10.08.5 - 2008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[39]Table!#REF!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'[38]10.08.5 - 2008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'[38]10.08.5 - 2008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'[38]10.08.5 - 2008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'[38]10.08.3 - 2008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'[38]10.08.2 - 2008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'[38]10.08.5 - 2008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[39]Table!#REF!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'[38]10.08.2 - 2008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'[38]10.08.5 - 2008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'[38]10.08.3 - 2008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'[38]10.08.2 - 2008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'[38]10.08.2 - 2008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[39]Table!#REF!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'[38]10.08.4 -2008 Capital'!#REF!</definedName>
    <definedName name="BExTYLUCLWGGQOEPH6W91DIYL3RQ" hidden="1">#REF!</definedName>
    <definedName name="BExTYOZQGNRDMMFZOG8515WQDGU3" hidden="1">'[38]10.08.5 - 2008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'[38]10.08.2 - 2008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'[38]10.08.5 - 2008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'[38]10.08.5 - 2008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'[38]10.08.5 - 2008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'[38]10.08.3 - 2008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'[38]10.08.2 - 2008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'[38]10.08.5 - 2008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'[38]10.08.3 - 2008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'[38]10.08.5 - 2008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'[38]10.08.2 - 2008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'[38]10.08.3 - 2008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'[38]10.08.5 - 2008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'[38]10.08.5 - 2008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'[38]10.08.5 - 2008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[25]Assumptions!$E$33</definedName>
    <definedName name="BGS_Forecast">[40]Assumptions!#REF!</definedName>
    <definedName name="BGS_Rate">#REF!</definedName>
    <definedName name="BGS_RFP">[25]Assumptions!$E$36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#REF!</definedName>
    <definedName name="bu9total99a">#REF!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hidden="1">{#N/A,#N/A,FALSE,"O&amp;M by processes";#N/A,#N/A,FALSE,"Elec Act vs Bud";#N/A,#N/A,FALSE,"G&amp;A";#N/A,#N/A,FALSE,"BGS";#N/A,#N/A,FALSE,"Res Cost"}</definedName>
    <definedName name="cap_interest">'[37]Input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#REF!</definedName>
    <definedName name="CEP_Amortization">'[41]JFJ-4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ASSES">#N/A</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#REF!</definedName>
    <definedName name="COMPAR_PRT_RNG">[10]Comparison!$B$8:$BT$170</definedName>
    <definedName name="compInc">[46]Inputs!$B$4</definedName>
    <definedName name="CONSOLDEFTAXBAL">#REF!</definedName>
    <definedName name="CONSOLDEFTAXSUM">#REF!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#REF!</definedName>
    <definedName name="Cost_of_Goods_Sold_CPM">#REF!</definedName>
    <definedName name="cost2001">[48]Input!$M$23</definedName>
    <definedName name="COUNTER">'[10]Macro Tables'!$C$21</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#REF!</definedName>
    <definedName name="Data06">#REF!</definedName>
    <definedName name="DATA1">'[50]New Accts 2009'!#REF!</definedName>
    <definedName name="DATA10">'[51]3640'!#REF!</definedName>
    <definedName name="DATA11">'[51]3640'!#REF!</definedName>
    <definedName name="DATA12">#REF!</definedName>
    <definedName name="DATA13">#REF!</definedName>
    <definedName name="DATA14">#REF!</definedName>
    <definedName name="DATA15">#REF!</definedName>
    <definedName name="DATA2">'[52]190100'!#REF!</definedName>
    <definedName name="DATA3">'[52]190100'!#REF!</definedName>
    <definedName name="DATA4">'[52]190100'!#REF!</definedName>
    <definedName name="DATA5">#REF!</definedName>
    <definedName name="DATA6">#REF!</definedName>
    <definedName name="DATA7">'[52]190100'!#REF!</definedName>
    <definedName name="DATA8">'[52]190100'!#REF!</definedName>
    <definedName name="DATA9">'[51]3640'!#REF!</definedName>
    <definedName name="data97">#REF!</definedName>
    <definedName name="_xlnm.Database">[53]DSUM!#REF!</definedName>
    <definedName name="Database_MI">#REF!</definedName>
    <definedName name="DATAFEEDER">[54]!DATAFEEDER</definedName>
    <definedName name="DATALINE">'[1]Header Data'!#REF!</definedName>
    <definedName name="Date">[55]Settings!$F$23</definedName>
    <definedName name="DATE1">#REF!</definedName>
    <definedName name="DATE2">#REF!</definedName>
    <definedName name="DATE3">#REF!</definedName>
    <definedName name="DATE4">#REF!</definedName>
    <definedName name="DateTime">#REF!</definedName>
    <definedName name="DB_CPK">#N/A</definedName>
    <definedName name="DB_CPK1">[56]FERCFACT!#REF!</definedName>
    <definedName name="DB_CPK2">#REF!</definedName>
    <definedName name="DB_CPK3">#REF!</definedName>
    <definedName name="DB_CUST">#N/A</definedName>
    <definedName name="DB_EGR">#N/A</definedName>
    <definedName name="DB_EGR1">[56]FERCFACT!#REF!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[57]IS!#REF!</definedName>
    <definedName name="DD.">[58]Input!$F$33</definedName>
    <definedName name="ddd">[59]Sheet1!$J$130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#REF!</definedName>
    <definedName name="Deferral_Interest_Rate">[25]Assumptions!$H$14</definedName>
    <definedName name="Deferral_Recovery">'[41]JFJ-1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#REF!</definedName>
    <definedName name="DR">'[26]C. Input'!$F$23</definedName>
    <definedName name="DR_1">#N/A</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#REF!</definedName>
    <definedName name="dyqre101">#REF!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#REF!</definedName>
    <definedName name="Edison_Development_YR_2005">'[35]Aday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#REF!</definedName>
    <definedName name="end_coal">'[37]Input Page'!#REF!</definedName>
    <definedName name="end_CWIP">'[37]Input Page'!#REF!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#REF!</definedName>
    <definedName name="EPRI">'[26]C. Input'!$F$203</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#REF!</definedName>
    <definedName name="ESPYMT">#REF!</definedName>
    <definedName name="EssOptions">"1100000000130100_11-          00"</definedName>
    <definedName name="EST_2005">#REF!</definedName>
    <definedName name="EST_BY_ACCT">#REF!</definedName>
    <definedName name="ETR">#REF!</definedName>
    <definedName name="EV__LASTREFTIME__">39773.6430324074</definedName>
    <definedName name="exclude_cap">'[37]Input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4">#REF!</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#REF!</definedName>
    <definedName name="FACTRS">#REF!</definedName>
    <definedName name="FAS109YTD">[23]December!#REF!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#REF!</definedName>
    <definedName name="Final_Consolidation">#REF!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#REF!</definedName>
    <definedName name="Format">#REF!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#REF!</definedName>
    <definedName name="fullyrcredit101">#REF!</definedName>
    <definedName name="fullyrcredit102">#REF!</definedName>
    <definedName name="fullyrcredit103">#REF!</definedName>
    <definedName name="fullyrcredit99">#REF!</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#REF!</definedName>
    <definedName name="GR">#REF!</definedName>
    <definedName name="GR_PRT_RANGE">[10]Gross_Rec!$A$8:$R$52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#REF!</definedName>
    <definedName name="grtm1">[10]Print!$I$32</definedName>
    <definedName name="grtm2">[10]Print!$G$32</definedName>
    <definedName name="grtm3">[10]Print!$E$32</definedName>
    <definedName name="grtm4">[10]Print!$C$32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#REF!</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#REF!</definedName>
    <definedName name="howToChange">#REF!</definedName>
    <definedName name="howToCheck">#REF!</definedName>
    <definedName name="HPNTSR">'[26]A.2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#REF!</definedName>
    <definedName name="int_rate">#REF!</definedName>
    <definedName name="intang_afudc910">[67]criteria!$A$5:$B$6</definedName>
    <definedName name="INTCUT">#REF!</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#REF!</definedName>
    <definedName name="JanCP">#REF!</definedName>
    <definedName name="JE">#REF!</definedName>
    <definedName name="JE33WP">#REF!</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[70]Lists!$A$2:$A$4</definedName>
    <definedName name="L4_A">[71]total!#REF!</definedName>
    <definedName name="L4_B">[71]total!#REF!</definedName>
    <definedName name="LabHour">#REF!</definedName>
    <definedName name="Labor">#REF!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{"'Metretek HTML'!$A$7:$W$42"}</definedName>
    <definedName name="ll" hidden="1">{#N/A,#N/A,FALSE,"EMPPAY"}</definedName>
    <definedName name="LOAD">#REF!</definedName>
    <definedName name="LOAD_4">[71]total!#REF!</definedName>
    <definedName name="Loan_from_Affiliate">#REF!</definedName>
    <definedName name="lob">#REF!</definedName>
    <definedName name="lobcolumn">#REF!</definedName>
    <definedName name="LOCATE3">#N/A</definedName>
    <definedName name="LOCTABLE">#REF!</definedName>
    <definedName name="LOCTextLen">#REF!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#REF!</definedName>
    <definedName name="LRG_GJ">#REF!</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#REF!</definedName>
    <definedName name="MC">#REF!</definedName>
    <definedName name="MCDATA">'[72]MTHLY MEAS.'!#REF!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#REF!</definedName>
    <definedName name="MTH">#N/A</definedName>
    <definedName name="N_A">'[26]C. Input'!#REF!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#REF!</definedName>
    <definedName name="NEW_YEAR">#REF!</definedName>
    <definedName name="NewHire">8500</definedName>
    <definedName name="NEXT_STEP">[10]Comparison!$CK$14</definedName>
    <definedName name="NINE">#N/A</definedName>
    <definedName name="Node">[76]Hierarchy!$B$2:$E$16455</definedName>
    <definedName name="NoErrMsg">#REF!</definedName>
    <definedName name="non_cap_int">'[37]Input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#REF!</definedName>
    <definedName name="Nuclear_Decommissioning_Trust_Funds">#REF!</definedName>
    <definedName name="Nuclear_Secur_Date">[25]Assumptions!$E$21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TR_TST">'[26]A.2 PTP'!$P$129</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#REF!</definedName>
    <definedName name="PGAUG">#REF!</definedName>
    <definedName name="pgprct">'[29]Percent Read YTD '!#REF!</definedName>
    <definedName name="PGPSA">#REF!</definedName>
    <definedName name="Phase">'[10]Macro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#REF!</definedName>
    <definedName name="Print.selection.print">#REF!</definedName>
    <definedName name="PRINT_1">#REF!</definedName>
    <definedName name="PRINT_2">#REF!</definedName>
    <definedName name="PRINT_3">#REF!</definedName>
    <definedName name="Print_99_IS">'[75]2nd qtr 2000'!$D$1:$I$58,'[75]2nd qtr 2000'!$N$1:$T$58,'[75]2nd qtr 2000'!$AA$1:$AH$57</definedName>
    <definedName name="_xlnm.Print_Area" localSheetId="2">'1B - ADIT Amortization'!$A$1:$S$203</definedName>
    <definedName name="_xlnm.Print_Area" localSheetId="4">'2 - Other Tax'!$A$1:$H$71</definedName>
    <definedName name="_xlnm.Print_Area" localSheetId="9">'5 - Cost Support'!$A$1:$Q$283</definedName>
    <definedName name="_xlnm.Print_Area" localSheetId="14">'9- Depr Rates'!$A$1:$E$48</definedName>
    <definedName name="_xlnm.Print_Area" localSheetId="0">'ATT H-2A'!$A$1:$H$358</definedName>
    <definedName name="_xlnm.Print_Area" localSheetId="7">'Exh F - AA-BL Items'!$A$4:$Q$424</definedName>
    <definedName name="_xlnm.Print_Area">#REF!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ADIT'!$1:$4</definedName>
    <definedName name="_xlnm.Print_Titles" localSheetId="2">'1B - ADIT Amortization'!$1:$4</definedName>
    <definedName name="_xlnm.Print_Titles" localSheetId="3">'1C - ADIT Remeasurement'!$1:$4</definedName>
    <definedName name="_xlnm.Print_Titles" localSheetId="9">'5 - Cost Support'!$1:$3</definedName>
    <definedName name="_xlnm.Print_Titles" localSheetId="12">'7 - Cap Add WS'!$A:$B</definedName>
    <definedName name="_xlnm.Print_Titles" localSheetId="0">'ATT H-2A'!$A:$G</definedName>
    <definedName name="_xlnm.Print_Titles" localSheetId="6">'Exh E - Cap Add Worksheet'!$A:$B</definedName>
    <definedName name="Print_Titles_MI">'[84]DACTIVE$'!$A$1:$IV$4,'[84]DACTIVE$'!$A$1:$A$65536</definedName>
    <definedName name="PRINT2">#REF!</definedName>
    <definedName name="printarea">#REF!</definedName>
    <definedName name="PrintareaDec">'[85]kWh-Mcf'!$E$97,'[85]kWh-Mcf'!$A$81:$E$118,'[85]kWh-Mcf'!$AM$86:$AO$118</definedName>
    <definedName name="PRINTFILE">#REF!</definedName>
    <definedName name="printyearfrom">#REF!</definedName>
    <definedName name="printyearto">#REF!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#REF!</definedName>
    <definedName name="Projection">'[30]Appendix A'!$H$7</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'[10]Gross_Rec:QRE''s'!$B$53:$N$112</definedName>
    <definedName name="QRE_HELP">#REF!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{"'Metretek HTML'!$A$7:$W$42"}</definedName>
    <definedName name="RA">'[26]C. Input'!$F$343</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#REF!</definedName>
    <definedName name="Restricted_Cash_Account">#REF!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[19]DEPR96!#REF!</definedName>
    <definedName name="RPT_B">#REF!</definedName>
    <definedName name="RPT_G">#REF!</definedName>
    <definedName name="RPTX">#REF!</definedName>
    <definedName name="RRE">'[26]C. Input'!$F$207</definedName>
    <definedName name="rrrr" hidden="1">{#N/A,#N/A,FALSE,"O&amp;M by processes";#N/A,#N/A,FALSE,"Elec Act vs Bud";#N/A,#N/A,FALSE,"G&amp;A";#N/A,#N/A,FALSE,"BGS";#N/A,#N/A,FALSE,"Res Cost"}</definedName>
    <definedName name="RSHCust">'[88]Chart6-8 data'!#REF!</definedName>
    <definedName name="RSUM">#REF!</definedName>
    <definedName name="RTT">#REF!</definedName>
    <definedName name="RTX">'[26]C. Input'!$F$222</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#REF!</definedName>
    <definedName name="Securitized_Bonds">#REF!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#REF!</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Collapse_Columns</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adj" localSheetId="0" hidden="1">'ATT H-2A'!#REF!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lin" hidden="1">0</definedName>
    <definedName name="solver_neg" localSheetId="0" hidden="1">2</definedName>
    <definedName name="solver_num" localSheetId="0" hidden="1">0</definedName>
    <definedName name="solver_num" hidden="1">0</definedName>
    <definedName name="solver_nwt" localSheetId="0" hidden="1">1</definedName>
    <definedName name="solver_opt" localSheetId="0" hidden="1">'ATT H-2A'!#REF!</definedName>
    <definedName name="solver_opt" hidden="1">#REF!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typ" hidden="1">1</definedName>
    <definedName name="solver_val" localSheetId="0" hidden="1">981598</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#REF!</definedName>
    <definedName name="stats">#REF!</definedName>
    <definedName name="statsrevised" hidden="1">{#N/A,#N/A,FALSE,"O&amp;M by processes";#N/A,#N/A,FALSE,"Elec Act vs Bud";#N/A,#N/A,FALSE,"G&amp;A";#N/A,#N/A,FALSE,"BGS";#N/A,#N/A,FALSE,"Res Cost"}</definedName>
    <definedName name="STILL1040">'[90]Addt''l 1040 Exclusions'!$A$5:$U$44</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hidden="1">{#N/A,#N/A,FALSE,"O&amp;M by processes";#N/A,#N/A,FALSE,"Elec Act vs Bud";#N/A,#N/A,FALSE,"G&amp;A";#N/A,#N/A,FALSE,"BGS";#N/A,#N/A,FALSE,"Res Cost"}</definedName>
    <definedName name="SUPPORTACT">'[3]Curr adj - depn basis diff'!#REF!</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#REF!</definedName>
    <definedName name="sysOpImprov">[48]Input!#REF!</definedName>
    <definedName name="sysOpYears">[48]Input!#REF!</definedName>
    <definedName name="t_and_d_exp">'[37]Input Page'!#REF!</definedName>
    <definedName name="TABLE">#REF!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#REF!</definedName>
    <definedName name="Tax_Rate">#REF!</definedName>
    <definedName name="Tax1997b">#REF!</definedName>
    <definedName name="TAXES">#REF!</definedName>
    <definedName name="Taxrate">'[91]Case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#REF!</definedName>
    <definedName name="Temp_Investment___Affiliate">#REF!</definedName>
    <definedName name="TEN">#N/A</definedName>
    <definedName name="TEQ">'[26]C. Input'!$F$277</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#REF!</definedName>
    <definedName name="TESTVKEY">#REF!</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#REF!</definedName>
    <definedName name="Utility_Plant_Expenditures">#REF!</definedName>
    <definedName name="Utility_Plant_Retirements__input">#REF!</definedName>
    <definedName name="UTILRANGE">#REF!</definedName>
    <definedName name="v">[94]Cover!$A$9</definedName>
    <definedName name="valDate">[46]Inputs!$B$1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[95]Cover!$A$9</definedName>
    <definedName name="VSPAE">'[26]C. Input'!#REF!</definedName>
    <definedName name="VSPRB">'[26]C. Input'!#REF!</definedName>
    <definedName name="WATERACT">'[3]Curr adj - depn basis diff'!#REF!</definedName>
    <definedName name="WCCGCR2">[88]Rates!$B$96:$C$190</definedName>
    <definedName name="we">{"'Metretek HTML'!$A$7:$W$42"}</definedName>
    <definedName name="WELL_HEAD_ESTIMATES">#REF!</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#REF!</definedName>
    <definedName name="Working_Capital_Changes">#REF!</definedName>
    <definedName name="Working_Capital_CPM">#REF!</definedName>
    <definedName name="WORKSHEET">#REF!</definedName>
    <definedName name="WORKSHEET2">#REF!</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'[93]MISO Cover'!$I$201</definedName>
    <definedName name="xa">{"'Metretek HTML'!$A$7:$W$42"}</definedName>
    <definedName name="XLRG_GE">#REF!</definedName>
    <definedName name="XLRG_GJ">#REF!</definedName>
    <definedName name="xls">{"'Metretek HTML'!$A$7:$W$42"}</definedName>
    <definedName name="XO">{"'Metretek HTML'!$A$7:$W$42"}</definedName>
    <definedName name="xs">{"'Metretek HTML'!$A$7:$W$42"}</definedName>
    <definedName name="xTc">'[97]PMG Annual'!#REF!</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5" i="48" l="1"/>
  <c r="G44" i="70"/>
  <c r="D109" i="68" l="1"/>
  <c r="H84" i="65"/>
  <c r="I46" i="65" l="1"/>
  <c r="E305" i="48" l="1"/>
  <c r="H92" i="48"/>
  <c r="H202" i="48" l="1"/>
  <c r="E20" i="69"/>
  <c r="H82" i="48"/>
  <c r="H78" i="48"/>
  <c r="H75" i="48"/>
  <c r="H74" i="48"/>
  <c r="E139" i="69"/>
  <c r="E138" i="69"/>
  <c r="E137" i="69"/>
  <c r="E136" i="69"/>
  <c r="E135" i="69"/>
  <c r="E134" i="69"/>
  <c r="E133" i="69"/>
  <c r="E132" i="69"/>
  <c r="E131" i="69"/>
  <c r="E130" i="69"/>
  <c r="E129" i="69"/>
  <c r="E128" i="69"/>
  <c r="E127" i="69"/>
  <c r="E126" i="69"/>
  <c r="E125" i="69"/>
  <c r="E124" i="69"/>
  <c r="E123" i="69"/>
  <c r="E122" i="69"/>
  <c r="E121" i="69"/>
  <c r="E120" i="69"/>
  <c r="E119" i="69"/>
  <c r="E118" i="69"/>
  <c r="E117" i="69"/>
  <c r="E85" i="69"/>
  <c r="E84" i="69"/>
  <c r="G83" i="69"/>
  <c r="E83" i="69" s="1"/>
  <c r="E81" i="69"/>
  <c r="I55" i="69"/>
  <c r="I53" i="69"/>
  <c r="H55" i="69"/>
  <c r="H53" i="69"/>
  <c r="G55" i="69"/>
  <c r="G53" i="69"/>
  <c r="F55" i="69"/>
  <c r="E48" i="69"/>
  <c r="E47" i="69"/>
  <c r="E46" i="69"/>
  <c r="E45" i="69"/>
  <c r="E44" i="69"/>
  <c r="E43" i="69"/>
  <c r="E42" i="69"/>
  <c r="E41" i="69"/>
  <c r="E40" i="69"/>
  <c r="E39" i="69"/>
  <c r="E38" i="69"/>
  <c r="E37" i="69"/>
  <c r="E36" i="69"/>
  <c r="E35" i="69"/>
  <c r="E80" i="69" l="1"/>
  <c r="E82" i="69"/>
  <c r="F50" i="69"/>
  <c r="H244" i="48" l="1"/>
  <c r="H243" i="48"/>
  <c r="H242" i="48"/>
  <c r="H241" i="48"/>
  <c r="F173" i="69"/>
  <c r="G173" i="69"/>
  <c r="M54" i="75" l="1"/>
  <c r="EN155" i="72" l="1"/>
  <c r="EM67" i="72"/>
  <c r="EM68" i="72" s="1"/>
  <c r="EM31" i="72"/>
  <c r="EN23" i="72"/>
  <c r="EO23" i="72" s="1"/>
  <c r="EP23" i="72" s="1"/>
  <c r="EJ155" i="72"/>
  <c r="EI67" i="72"/>
  <c r="EI68" i="72" s="1"/>
  <c r="EI31" i="72"/>
  <c r="EJ23" i="72"/>
  <c r="EK23" i="72" s="1"/>
  <c r="EL23" i="72" s="1"/>
  <c r="EF155" i="72"/>
  <c r="EE67" i="72"/>
  <c r="EE31" i="72"/>
  <c r="EF23" i="72"/>
  <c r="EG23" i="72" s="1"/>
  <c r="EH23" i="72" s="1"/>
  <c r="EN156" i="72" l="1"/>
  <c r="EN149" i="72"/>
  <c r="EN150" i="72" s="1"/>
  <c r="EN151" i="72" s="1"/>
  <c r="EN152" i="72" s="1"/>
  <c r="EN153" i="72" s="1"/>
  <c r="EN154" i="72" s="1"/>
  <c r="EN147" i="72"/>
  <c r="EN148" i="72" s="1"/>
  <c r="EN145" i="72"/>
  <c r="EN146" i="72" s="1"/>
  <c r="EN143" i="72"/>
  <c r="EN144" i="72" s="1"/>
  <c r="EN141" i="72"/>
  <c r="EN142" i="72" s="1"/>
  <c r="EN139" i="72"/>
  <c r="EN140" i="72" s="1"/>
  <c r="EN137" i="72"/>
  <c r="EN138" i="72" s="1"/>
  <c r="EN135" i="72"/>
  <c r="EN136" i="72" s="1"/>
  <c r="EN133" i="72"/>
  <c r="EN134" i="72" s="1"/>
  <c r="EN131" i="72"/>
  <c r="EN132" i="72" s="1"/>
  <c r="EN129" i="72"/>
  <c r="EN130" i="72" s="1"/>
  <c r="EN127" i="72"/>
  <c r="EN128" i="72" s="1"/>
  <c r="EN125" i="72"/>
  <c r="EN126" i="72" s="1"/>
  <c r="EN123" i="72"/>
  <c r="EN124" i="72" s="1"/>
  <c r="EN121" i="72"/>
  <c r="EN122" i="72" s="1"/>
  <c r="EN119" i="72"/>
  <c r="EN120" i="72" s="1"/>
  <c r="EN117" i="72"/>
  <c r="EN118" i="72" s="1"/>
  <c r="EN115" i="72"/>
  <c r="EN116" i="72" s="1"/>
  <c r="EN113" i="72"/>
  <c r="EN114" i="72" s="1"/>
  <c r="EN111" i="72"/>
  <c r="EN112" i="72" s="1"/>
  <c r="EN109" i="72"/>
  <c r="EN110" i="72" s="1"/>
  <c r="EN107" i="72"/>
  <c r="EN108" i="72" s="1"/>
  <c r="EN105" i="72"/>
  <c r="EN106" i="72" s="1"/>
  <c r="EN103" i="72"/>
  <c r="EN104" i="72" s="1"/>
  <c r="EN101" i="72"/>
  <c r="EN102" i="72" s="1"/>
  <c r="EN99" i="72"/>
  <c r="EN100" i="72" s="1"/>
  <c r="EN97" i="72"/>
  <c r="EN98" i="72" s="1"/>
  <c r="EN95" i="72"/>
  <c r="EN96" i="72" s="1"/>
  <c r="EN93" i="72"/>
  <c r="EN94" i="72" s="1"/>
  <c r="EN91" i="72"/>
  <c r="EN92" i="72" s="1"/>
  <c r="EN69" i="72"/>
  <c r="EN70" i="72" s="1"/>
  <c r="EN71" i="72" s="1"/>
  <c r="EN72" i="72" s="1"/>
  <c r="EN73" i="72" s="1"/>
  <c r="EN74" i="72" s="1"/>
  <c r="EN75" i="72" s="1"/>
  <c r="EN76" i="72" s="1"/>
  <c r="EN77" i="72" s="1"/>
  <c r="EN67" i="72"/>
  <c r="EN68" i="72" s="1"/>
  <c r="EO68" i="72" s="1"/>
  <c r="EJ156" i="72"/>
  <c r="EJ67" i="72"/>
  <c r="EJ68" i="72" s="1"/>
  <c r="EK68" i="72" s="1"/>
  <c r="EJ69" i="72"/>
  <c r="EJ70" i="72" s="1"/>
  <c r="EJ71" i="72" s="1"/>
  <c r="EJ72" i="72" s="1"/>
  <c r="EJ73" i="72" s="1"/>
  <c r="EJ74" i="72" s="1"/>
  <c r="EJ75" i="72" s="1"/>
  <c r="EJ76" i="72" s="1"/>
  <c r="EJ77" i="72" s="1"/>
  <c r="EJ78" i="72"/>
  <c r="EJ80" i="72" s="1"/>
  <c r="EJ82" i="72" s="1"/>
  <c r="EJ84" i="72" s="1"/>
  <c r="EJ86" i="72" s="1"/>
  <c r="EJ88" i="72" s="1"/>
  <c r="EJ90" i="72" s="1"/>
  <c r="EJ79" i="72"/>
  <c r="EJ81" i="72" s="1"/>
  <c r="EJ83" i="72" s="1"/>
  <c r="EJ85" i="72" s="1"/>
  <c r="EJ87" i="72" s="1"/>
  <c r="EJ89" i="72" s="1"/>
  <c r="EJ91" i="72"/>
  <c r="EJ92" i="72" s="1"/>
  <c r="EJ93" i="72"/>
  <c r="EJ94" i="72" s="1"/>
  <c r="EJ95" i="72"/>
  <c r="EJ96" i="72" s="1"/>
  <c r="EJ97" i="72"/>
  <c r="EJ98" i="72" s="1"/>
  <c r="EJ99" i="72"/>
  <c r="EJ100" i="72" s="1"/>
  <c r="EJ101" i="72"/>
  <c r="EJ102" i="72" s="1"/>
  <c r="EJ103" i="72"/>
  <c r="EJ104" i="72" s="1"/>
  <c r="EJ105" i="72"/>
  <c r="EJ106" i="72" s="1"/>
  <c r="EJ107" i="72"/>
  <c r="EJ108" i="72" s="1"/>
  <c r="EJ109" i="72"/>
  <c r="EJ110" i="72" s="1"/>
  <c r="EJ111" i="72"/>
  <c r="EJ112" i="72" s="1"/>
  <c r="EJ113" i="72"/>
  <c r="EJ114" i="72" s="1"/>
  <c r="EJ115" i="72"/>
  <c r="EJ116" i="72" s="1"/>
  <c r="EJ117" i="72"/>
  <c r="EJ118" i="72" s="1"/>
  <c r="EJ119" i="72"/>
  <c r="EJ120" i="72" s="1"/>
  <c r="EJ121" i="72"/>
  <c r="EJ122" i="72" s="1"/>
  <c r="EJ123" i="72"/>
  <c r="EJ124" i="72" s="1"/>
  <c r="EJ125" i="72"/>
  <c r="EJ126" i="72" s="1"/>
  <c r="EJ127" i="72"/>
  <c r="EJ128" i="72" s="1"/>
  <c r="EJ129" i="72"/>
  <c r="EJ130" i="72" s="1"/>
  <c r="EJ131" i="72"/>
  <c r="EJ132" i="72" s="1"/>
  <c r="EJ133" i="72"/>
  <c r="EJ134" i="72" s="1"/>
  <c r="EJ135" i="72"/>
  <c r="EJ136" i="72" s="1"/>
  <c r="EJ137" i="72"/>
  <c r="EJ138" i="72" s="1"/>
  <c r="EJ139" i="72"/>
  <c r="EJ140" i="72" s="1"/>
  <c r="EJ141" i="72"/>
  <c r="EJ142" i="72" s="1"/>
  <c r="EJ143" i="72"/>
  <c r="EJ144" i="72" s="1"/>
  <c r="EJ145" i="72"/>
  <c r="EJ146" i="72" s="1"/>
  <c r="EJ147" i="72"/>
  <c r="EJ148" i="72" s="1"/>
  <c r="EJ149" i="72"/>
  <c r="EJ150" i="72" s="1"/>
  <c r="EJ151" i="72" s="1"/>
  <c r="EJ152" i="72" s="1"/>
  <c r="EJ153" i="72" s="1"/>
  <c r="EJ154" i="72" s="1"/>
  <c r="EK67" i="72"/>
  <c r="EF156" i="72"/>
  <c r="EF67" i="72"/>
  <c r="EF68" i="72" s="1"/>
  <c r="EF69" i="72"/>
  <c r="EF111" i="72"/>
  <c r="EF112" i="72" s="1"/>
  <c r="EF95" i="72"/>
  <c r="EF96" i="72" s="1"/>
  <c r="EF127" i="72"/>
  <c r="EF128" i="72" s="1"/>
  <c r="EF99" i="72"/>
  <c r="EF100" i="72" s="1"/>
  <c r="EF139" i="72"/>
  <c r="EF140" i="72" s="1"/>
  <c r="EF123" i="72"/>
  <c r="EF124" i="72" s="1"/>
  <c r="EF115" i="72"/>
  <c r="EF116" i="72" s="1"/>
  <c r="EF109" i="72"/>
  <c r="EF110" i="72" s="1"/>
  <c r="EF101" i="72"/>
  <c r="EF102" i="72" s="1"/>
  <c r="EF143" i="72"/>
  <c r="EF144" i="72" s="1"/>
  <c r="EF119" i="72"/>
  <c r="EF120" i="72" s="1"/>
  <c r="EF103" i="72"/>
  <c r="EF104" i="72" s="1"/>
  <c r="EF91" i="72"/>
  <c r="EF92" i="72" s="1"/>
  <c r="EF149" i="72"/>
  <c r="EF150" i="72" s="1"/>
  <c r="EF151" i="72" s="1"/>
  <c r="EF141" i="72"/>
  <c r="EF142" i="72" s="1"/>
  <c r="EF135" i="72"/>
  <c r="EF136" i="72" s="1"/>
  <c r="EF131" i="72"/>
  <c r="EF132" i="72" s="1"/>
  <c r="EF129" i="72"/>
  <c r="EF130" i="72" s="1"/>
  <c r="EF121" i="72"/>
  <c r="EF122" i="72" s="1"/>
  <c r="EF113" i="72"/>
  <c r="EF114" i="72" s="1"/>
  <c r="EF105" i="72"/>
  <c r="EF106" i="72" s="1"/>
  <c r="EF152" i="72"/>
  <c r="EF153" i="72" s="1"/>
  <c r="EF154" i="72" s="1"/>
  <c r="EF147" i="72"/>
  <c r="EF148" i="72" s="1"/>
  <c r="EF145" i="72"/>
  <c r="EF146" i="72" s="1"/>
  <c r="EF137" i="72"/>
  <c r="EF138" i="72" s="1"/>
  <c r="EF133" i="72"/>
  <c r="EF134" i="72" s="1"/>
  <c r="EF125" i="72"/>
  <c r="EF126" i="72" s="1"/>
  <c r="EF117" i="72"/>
  <c r="EF118" i="72" s="1"/>
  <c r="EF107" i="72"/>
  <c r="EF108" i="72" s="1"/>
  <c r="EF97" i="72"/>
  <c r="EF98" i="72" s="1"/>
  <c r="EF93" i="72"/>
  <c r="EF94" i="72" s="1"/>
  <c r="EM69" i="72" l="1"/>
  <c r="EO67" i="72"/>
  <c r="EN78" i="72"/>
  <c r="EN80" i="72" s="1"/>
  <c r="EN82" i="72" s="1"/>
  <c r="EN84" i="72" s="1"/>
  <c r="EN86" i="72" s="1"/>
  <c r="EN88" i="72" s="1"/>
  <c r="EN90" i="72" s="1"/>
  <c r="EN79" i="72"/>
  <c r="EN81" i="72" s="1"/>
  <c r="EN83" i="72" s="1"/>
  <c r="EN85" i="72" s="1"/>
  <c r="EN87" i="72" s="1"/>
  <c r="EN89" i="72" s="1"/>
  <c r="EI69" i="72"/>
  <c r="EF70" i="72"/>
  <c r="EF71" i="72" s="1"/>
  <c r="EF72" i="72" s="1"/>
  <c r="EF73" i="72" s="1"/>
  <c r="EF74" i="72" s="1"/>
  <c r="EF75" i="72" s="1"/>
  <c r="EF76" i="72" s="1"/>
  <c r="EF77" i="72" s="1"/>
  <c r="EM70" i="72" l="1"/>
  <c r="EO70" i="72" s="1"/>
  <c r="EO69" i="72"/>
  <c r="EI70" i="72"/>
  <c r="EK70" i="72" s="1"/>
  <c r="EK69" i="72"/>
  <c r="EF78" i="72"/>
  <c r="EF80" i="72" s="1"/>
  <c r="EF82" i="72" s="1"/>
  <c r="EF84" i="72" s="1"/>
  <c r="EF86" i="72" s="1"/>
  <c r="EF88" i="72" s="1"/>
  <c r="EF90" i="72" s="1"/>
  <c r="EF79" i="72"/>
  <c r="EF81" i="72" s="1"/>
  <c r="EF83" i="72" s="1"/>
  <c r="EF85" i="72" s="1"/>
  <c r="EF87" i="72" s="1"/>
  <c r="EF89" i="72" s="1"/>
  <c r="EM71" i="72" l="1"/>
  <c r="EI71" i="72"/>
  <c r="EE68" i="72"/>
  <c r="EG68" i="72" s="1"/>
  <c r="EG67" i="72"/>
  <c r="EM72" i="72" l="1"/>
  <c r="EO72" i="72" s="1"/>
  <c r="EO71" i="72"/>
  <c r="EI72" i="72"/>
  <c r="EK72" i="72" s="1"/>
  <c r="EK71" i="72"/>
  <c r="EE69" i="72"/>
  <c r="EM73" i="72" l="1"/>
  <c r="EI73" i="72"/>
  <c r="EE70" i="72"/>
  <c r="EG70" i="72" s="1"/>
  <c r="EG69" i="72"/>
  <c r="EM74" i="72" l="1"/>
  <c r="EO74" i="72" s="1"/>
  <c r="EO73" i="72"/>
  <c r="EI74" i="72"/>
  <c r="EK74" i="72" s="1"/>
  <c r="EK73" i="72"/>
  <c r="EE71" i="72"/>
  <c r="EM75" i="72" l="1"/>
  <c r="EI75" i="72"/>
  <c r="EE72" i="72"/>
  <c r="EG72" i="72" s="1"/>
  <c r="EG71" i="72"/>
  <c r="EM76" i="72" l="1"/>
  <c r="EO76" i="72" s="1"/>
  <c r="EO75" i="72"/>
  <c r="EI76" i="72"/>
  <c r="EK76" i="72" s="1"/>
  <c r="EK75" i="72"/>
  <c r="EE73" i="72"/>
  <c r="EM77" i="72" l="1"/>
  <c r="EI77" i="72"/>
  <c r="EE74" i="72"/>
  <c r="EG74" i="72" s="1"/>
  <c r="EG73" i="72"/>
  <c r="EM78" i="72" l="1"/>
  <c r="EO78" i="72" s="1"/>
  <c r="EO77" i="72"/>
  <c r="EI78" i="72"/>
  <c r="EK78" i="72" s="1"/>
  <c r="EK77" i="72"/>
  <c r="EE75" i="72"/>
  <c r="HD67" i="72"/>
  <c r="HD68" i="72" s="1"/>
  <c r="HD31" i="72"/>
  <c r="HE87" i="72" s="1"/>
  <c r="HE88" i="72" s="1"/>
  <c r="EM79" i="72" l="1"/>
  <c r="EI79" i="72"/>
  <c r="HE67" i="72"/>
  <c r="HE68" i="72" s="1"/>
  <c r="HE69" i="72"/>
  <c r="EE76" i="72"/>
  <c r="EG76" i="72" s="1"/>
  <c r="EG75" i="72"/>
  <c r="HF67" i="72"/>
  <c r="HF68" i="72"/>
  <c r="HE70" i="72"/>
  <c r="HE71" i="72" s="1"/>
  <c r="HE72" i="72" s="1"/>
  <c r="HE73" i="72" s="1"/>
  <c r="HE74" i="72" s="1"/>
  <c r="HE75" i="72" s="1"/>
  <c r="HE76" i="72" s="1"/>
  <c r="HE77" i="72" s="1"/>
  <c r="EM80" i="72" l="1"/>
  <c r="EO80" i="72" s="1"/>
  <c r="EO79" i="72"/>
  <c r="EI80" i="72"/>
  <c r="EK80" i="72" s="1"/>
  <c r="EK79" i="72"/>
  <c r="EE77" i="72"/>
  <c r="HE78" i="72"/>
  <c r="HE80" i="72" s="1"/>
  <c r="HE82" i="72" s="1"/>
  <c r="HE84" i="72" s="1"/>
  <c r="HE85" i="72" s="1"/>
  <c r="HE86" i="72" s="1"/>
  <c r="HE79" i="72"/>
  <c r="HE81" i="72" s="1"/>
  <c r="HE83" i="72" s="1"/>
  <c r="EM81" i="72" l="1"/>
  <c r="EI81" i="72"/>
  <c r="EE78" i="72"/>
  <c r="EG78" i="72" s="1"/>
  <c r="EG77" i="72"/>
  <c r="EM82" i="72" l="1"/>
  <c r="EO82" i="72" s="1"/>
  <c r="EO81" i="72"/>
  <c r="EI82" i="72"/>
  <c r="EK82" i="72" s="1"/>
  <c r="EK81" i="72"/>
  <c r="EE79" i="72"/>
  <c r="HD69" i="72"/>
  <c r="EM83" i="72" l="1"/>
  <c r="EI83" i="72"/>
  <c r="EE80" i="72"/>
  <c r="EG80" i="72" s="1"/>
  <c r="EG79" i="72"/>
  <c r="HD70" i="72"/>
  <c r="HF70" i="72" s="1"/>
  <c r="HF69" i="72"/>
  <c r="EM84" i="72" l="1"/>
  <c r="EO84" i="72" s="1"/>
  <c r="EO83" i="72"/>
  <c r="EK83" i="72"/>
  <c r="EI84" i="72"/>
  <c r="EK84" i="72" s="1"/>
  <c r="EE81" i="72"/>
  <c r="HD71" i="72"/>
  <c r="EM85" i="72" l="1"/>
  <c r="EI85" i="72"/>
  <c r="EE82" i="72"/>
  <c r="EG82" i="72" s="1"/>
  <c r="EG81" i="72"/>
  <c r="HD72" i="72"/>
  <c r="HF72" i="72" s="1"/>
  <c r="HF71" i="72"/>
  <c r="EM86" i="72" l="1"/>
  <c r="EO86" i="72" s="1"/>
  <c r="EO85" i="72"/>
  <c r="EI86" i="72"/>
  <c r="EK86" i="72" s="1"/>
  <c r="EK85" i="72"/>
  <c r="EE83" i="72"/>
  <c r="HD73" i="72"/>
  <c r="EM87" i="72" l="1"/>
  <c r="EI87" i="72"/>
  <c r="EE84" i="72"/>
  <c r="EG84" i="72" s="1"/>
  <c r="EG83" i="72"/>
  <c r="HD74" i="72"/>
  <c r="HF74" i="72" s="1"/>
  <c r="HF73" i="72"/>
  <c r="EM88" i="72" l="1"/>
  <c r="EO88" i="72" s="1"/>
  <c r="EO87" i="72"/>
  <c r="EI88" i="72"/>
  <c r="EK88" i="72" s="1"/>
  <c r="EK87" i="72"/>
  <c r="EE85" i="72"/>
  <c r="HD75" i="72"/>
  <c r="EM89" i="72" l="1"/>
  <c r="EI89" i="72"/>
  <c r="EE86" i="72"/>
  <c r="EG86" i="72" s="1"/>
  <c r="EG85" i="72"/>
  <c r="HD76" i="72"/>
  <c r="HF76" i="72" s="1"/>
  <c r="HF75" i="72"/>
  <c r="EM90" i="72" l="1"/>
  <c r="EO90" i="72" s="1"/>
  <c r="EO89" i="72"/>
  <c r="EK89" i="72"/>
  <c r="EI90" i="72"/>
  <c r="EK90" i="72" s="1"/>
  <c r="EE87" i="72"/>
  <c r="HD77" i="72"/>
  <c r="EM91" i="72" l="1"/>
  <c r="EI91" i="72"/>
  <c r="EE88" i="72"/>
  <c r="EG88" i="72" s="1"/>
  <c r="EG87" i="72"/>
  <c r="HD78" i="72"/>
  <c r="HF78" i="72" s="1"/>
  <c r="HF77" i="72"/>
  <c r="EM92" i="72" l="1"/>
  <c r="EO92" i="72" s="1"/>
  <c r="EO91" i="72"/>
  <c r="EK91" i="72"/>
  <c r="EI92" i="72"/>
  <c r="EK92" i="72" s="1"/>
  <c r="EE89" i="72"/>
  <c r="HD79" i="72"/>
  <c r="EM93" i="72" l="1"/>
  <c r="EI93" i="72"/>
  <c r="EE90" i="72"/>
  <c r="EG90" i="72" s="1"/>
  <c r="EG89" i="72"/>
  <c r="HD80" i="72"/>
  <c r="HF80" i="72" s="1"/>
  <c r="HF79" i="72"/>
  <c r="EM94" i="72" l="1"/>
  <c r="EO94" i="72" s="1"/>
  <c r="EO93" i="72"/>
  <c r="EK93" i="72"/>
  <c r="EI94" i="72"/>
  <c r="EK94" i="72" s="1"/>
  <c r="EE91" i="72"/>
  <c r="HD81" i="72"/>
  <c r="EM95" i="72" l="1"/>
  <c r="EI95" i="72"/>
  <c r="EE92" i="72"/>
  <c r="EG92" i="72" s="1"/>
  <c r="EG91" i="72"/>
  <c r="HD82" i="72"/>
  <c r="HF82" i="72" s="1"/>
  <c r="HF81" i="72"/>
  <c r="EM96" i="72" l="1"/>
  <c r="EO96" i="72" s="1"/>
  <c r="EO95" i="72"/>
  <c r="EI96" i="72"/>
  <c r="EK96" i="72" s="1"/>
  <c r="EK95" i="72"/>
  <c r="EE93" i="72"/>
  <c r="HD83" i="72"/>
  <c r="EM97" i="72" l="1"/>
  <c r="EI97" i="72"/>
  <c r="EE94" i="72"/>
  <c r="EG94" i="72" s="1"/>
  <c r="EG93" i="72"/>
  <c r="HD84" i="72"/>
  <c r="HF84" i="72" s="1"/>
  <c r="HF83" i="72"/>
  <c r="EM98" i="72" l="1"/>
  <c r="EO98" i="72" s="1"/>
  <c r="EO97" i="72"/>
  <c r="EI98" i="72"/>
  <c r="EK98" i="72" s="1"/>
  <c r="EK97" i="72"/>
  <c r="EE95" i="72"/>
  <c r="HD85" i="72"/>
  <c r="EM99" i="72" l="1"/>
  <c r="EI99" i="72"/>
  <c r="EE96" i="72"/>
  <c r="EG96" i="72" s="1"/>
  <c r="EG95" i="72"/>
  <c r="HD86" i="72"/>
  <c r="HF86" i="72" s="1"/>
  <c r="HF85" i="72"/>
  <c r="EM100" i="72" l="1"/>
  <c r="EO100" i="72" s="1"/>
  <c r="EO99" i="72"/>
  <c r="EK99" i="72"/>
  <c r="EI100" i="72"/>
  <c r="EK100" i="72" s="1"/>
  <c r="EE97" i="72"/>
  <c r="HD87" i="72"/>
  <c r="EM101" i="72" l="1"/>
  <c r="EI101" i="72"/>
  <c r="EE98" i="72"/>
  <c r="EG98" i="72" s="1"/>
  <c r="EG97" i="72"/>
  <c r="HD88" i="72"/>
  <c r="HF88" i="72" s="1"/>
  <c r="HF87" i="72"/>
  <c r="EM102" i="72" l="1"/>
  <c r="EO102" i="72" s="1"/>
  <c r="EO101" i="72"/>
  <c r="EI102" i="72"/>
  <c r="EK102" i="72" s="1"/>
  <c r="EK101" i="72"/>
  <c r="EE99" i="72"/>
  <c r="EM103" i="72" l="1"/>
  <c r="EI103" i="72"/>
  <c r="EE100" i="72"/>
  <c r="EG100" i="72" s="1"/>
  <c r="EG99" i="72"/>
  <c r="EM104" i="72" l="1"/>
  <c r="EO104" i="72" s="1"/>
  <c r="EO103" i="72"/>
  <c r="EI104" i="72"/>
  <c r="EK104" i="72" s="1"/>
  <c r="EK103" i="72"/>
  <c r="EE101" i="72"/>
  <c r="EM105" i="72" l="1"/>
  <c r="EI105" i="72"/>
  <c r="EE102" i="72"/>
  <c r="EG102" i="72" s="1"/>
  <c r="EG101" i="72"/>
  <c r="EM106" i="72" l="1"/>
  <c r="EO106" i="72" s="1"/>
  <c r="EO105" i="72"/>
  <c r="EK105" i="72"/>
  <c r="EI106" i="72"/>
  <c r="EK106" i="72" s="1"/>
  <c r="EE103" i="72"/>
  <c r="EM107" i="72" l="1"/>
  <c r="EI107" i="72"/>
  <c r="EE104" i="72"/>
  <c r="EG104" i="72" s="1"/>
  <c r="EG103" i="72"/>
  <c r="EM108" i="72" l="1"/>
  <c r="EO108" i="72" s="1"/>
  <c r="EO107" i="72"/>
  <c r="EK107" i="72"/>
  <c r="EI108" i="72"/>
  <c r="EK108" i="72" s="1"/>
  <c r="EE105" i="72"/>
  <c r="EM109" i="72" l="1"/>
  <c r="EI109" i="72"/>
  <c r="EE106" i="72"/>
  <c r="EG106" i="72" s="1"/>
  <c r="EG105" i="72"/>
  <c r="EM110" i="72" l="1"/>
  <c r="EO110" i="72" s="1"/>
  <c r="EO109" i="72"/>
  <c r="EK109" i="72"/>
  <c r="EI110" i="72"/>
  <c r="EK110" i="72" s="1"/>
  <c r="EE107" i="72"/>
  <c r="EM111" i="72" l="1"/>
  <c r="EI111" i="72"/>
  <c r="EE108" i="72"/>
  <c r="EG108" i="72" s="1"/>
  <c r="EG107" i="72"/>
  <c r="EM112" i="72" l="1"/>
  <c r="EO112" i="72" s="1"/>
  <c r="EO111" i="72"/>
  <c r="EI112" i="72"/>
  <c r="EK112" i="72" s="1"/>
  <c r="EK111" i="72"/>
  <c r="EE109" i="72"/>
  <c r="EM113" i="72" l="1"/>
  <c r="EI113" i="72"/>
  <c r="EE110" i="72"/>
  <c r="EG110" i="72" s="1"/>
  <c r="EG109" i="72"/>
  <c r="EM114" i="72" l="1"/>
  <c r="EO114" i="72" s="1"/>
  <c r="EO113" i="72"/>
  <c r="EI114" i="72"/>
  <c r="EK114" i="72" s="1"/>
  <c r="EK113" i="72"/>
  <c r="EE111" i="72"/>
  <c r="EM115" i="72" l="1"/>
  <c r="EI115" i="72"/>
  <c r="EE112" i="72"/>
  <c r="EG112" i="72" s="1"/>
  <c r="EG111" i="72"/>
  <c r="EM116" i="72" l="1"/>
  <c r="EO116" i="72" s="1"/>
  <c r="EO115" i="72"/>
  <c r="EI116" i="72"/>
  <c r="EK116" i="72" s="1"/>
  <c r="EK115" i="72"/>
  <c r="EE113" i="72"/>
  <c r="EM117" i="72" l="1"/>
  <c r="EI117" i="72"/>
  <c r="EE114" i="72"/>
  <c r="EG114" i="72" s="1"/>
  <c r="EG113" i="72"/>
  <c r="EM118" i="72" l="1"/>
  <c r="EO118" i="72" s="1"/>
  <c r="EO117" i="72"/>
  <c r="EI118" i="72"/>
  <c r="EK118" i="72" s="1"/>
  <c r="EK117" i="72"/>
  <c r="EE115" i="72"/>
  <c r="EM119" i="72" l="1"/>
  <c r="EI119" i="72"/>
  <c r="EE116" i="72"/>
  <c r="EG116" i="72" s="1"/>
  <c r="EG115" i="72"/>
  <c r="EM120" i="72" l="1"/>
  <c r="EO120" i="72" s="1"/>
  <c r="EO119" i="72"/>
  <c r="EI120" i="72"/>
  <c r="EK120" i="72" s="1"/>
  <c r="EK119" i="72"/>
  <c r="EE117" i="72"/>
  <c r="EM121" i="72" l="1"/>
  <c r="EI121" i="72"/>
  <c r="EE118" i="72"/>
  <c r="EG118" i="72" s="1"/>
  <c r="EG117" i="72"/>
  <c r="EM122" i="72" l="1"/>
  <c r="EO122" i="72" s="1"/>
  <c r="EO121" i="72"/>
  <c r="EI122" i="72"/>
  <c r="EK122" i="72" s="1"/>
  <c r="EK121" i="72"/>
  <c r="EE119" i="72"/>
  <c r="EM123" i="72" l="1"/>
  <c r="EI123" i="72"/>
  <c r="EE120" i="72"/>
  <c r="EG120" i="72" s="1"/>
  <c r="EG119" i="72"/>
  <c r="EM124" i="72" l="1"/>
  <c r="EO124" i="72" s="1"/>
  <c r="EO123" i="72"/>
  <c r="EI124" i="72"/>
  <c r="EK124" i="72" s="1"/>
  <c r="EK123" i="72"/>
  <c r="EE121" i="72"/>
  <c r="EM125" i="72" l="1"/>
  <c r="EI125" i="72"/>
  <c r="EE122" i="72"/>
  <c r="EG122" i="72" s="1"/>
  <c r="EG121" i="72"/>
  <c r="EM126" i="72" l="1"/>
  <c r="EO126" i="72" s="1"/>
  <c r="EO125" i="72"/>
  <c r="EK125" i="72"/>
  <c r="EI126" i="72"/>
  <c r="EK126" i="72" s="1"/>
  <c r="EE123" i="72"/>
  <c r="EM127" i="72" l="1"/>
  <c r="EI127" i="72"/>
  <c r="EE124" i="72"/>
  <c r="EG124" i="72" s="1"/>
  <c r="EG123" i="72"/>
  <c r="EM128" i="72" l="1"/>
  <c r="EO128" i="72" s="1"/>
  <c r="EO127" i="72"/>
  <c r="EI128" i="72"/>
  <c r="EK128" i="72" s="1"/>
  <c r="EK127" i="72"/>
  <c r="EE125" i="72"/>
  <c r="EM129" i="72" l="1"/>
  <c r="EI129" i="72"/>
  <c r="EE126" i="72"/>
  <c r="EG126" i="72" s="1"/>
  <c r="EG125" i="72"/>
  <c r="EM130" i="72" l="1"/>
  <c r="EO130" i="72" s="1"/>
  <c r="EO129" i="72"/>
  <c r="EI130" i="72"/>
  <c r="EK130" i="72" s="1"/>
  <c r="EK129" i="72"/>
  <c r="EE127" i="72"/>
  <c r="EM131" i="72" l="1"/>
  <c r="EI131" i="72"/>
  <c r="EE128" i="72"/>
  <c r="EG128" i="72" s="1"/>
  <c r="EG127" i="72"/>
  <c r="EM132" i="72" l="1"/>
  <c r="EO132" i="72" s="1"/>
  <c r="EO131" i="72"/>
  <c r="EI132" i="72"/>
  <c r="EK132" i="72" s="1"/>
  <c r="EK131" i="72"/>
  <c r="EE129" i="72"/>
  <c r="EM133" i="72" l="1"/>
  <c r="EI133" i="72"/>
  <c r="EE130" i="72"/>
  <c r="EG130" i="72" s="1"/>
  <c r="EG129" i="72"/>
  <c r="EM134" i="72" l="1"/>
  <c r="EO134" i="72" s="1"/>
  <c r="EO133" i="72"/>
  <c r="EI134" i="72"/>
  <c r="EK134" i="72" s="1"/>
  <c r="EK133" i="72"/>
  <c r="EE131" i="72"/>
  <c r="EM135" i="72" l="1"/>
  <c r="EI135" i="72"/>
  <c r="EE132" i="72"/>
  <c r="EG132" i="72" s="1"/>
  <c r="EG131" i="72"/>
  <c r="EM136" i="72" l="1"/>
  <c r="EO136" i="72" s="1"/>
  <c r="EO135" i="72"/>
  <c r="EI136" i="72"/>
  <c r="EK136" i="72" s="1"/>
  <c r="EK135" i="72"/>
  <c r="EE133" i="72"/>
  <c r="EM137" i="72" l="1"/>
  <c r="EI137" i="72"/>
  <c r="EE134" i="72"/>
  <c r="EG134" i="72" s="1"/>
  <c r="EG133" i="72"/>
  <c r="EM138" i="72" l="1"/>
  <c r="EO138" i="72" s="1"/>
  <c r="EO137" i="72"/>
  <c r="EK137" i="72"/>
  <c r="EI138" i="72"/>
  <c r="EK138" i="72" s="1"/>
  <c r="EE135" i="72"/>
  <c r="EM139" i="72" l="1"/>
  <c r="EI139" i="72"/>
  <c r="EE136" i="72"/>
  <c r="EG136" i="72" s="1"/>
  <c r="EG135" i="72"/>
  <c r="EM140" i="72" l="1"/>
  <c r="EO140" i="72" s="1"/>
  <c r="EO139" i="72"/>
  <c r="EI140" i="72"/>
  <c r="EK140" i="72" s="1"/>
  <c r="EK139" i="72"/>
  <c r="EE137" i="72"/>
  <c r="EM141" i="72" l="1"/>
  <c r="EI141" i="72"/>
  <c r="EE138" i="72"/>
  <c r="EG138" i="72" s="1"/>
  <c r="EG137" i="72"/>
  <c r="EM142" i="72" l="1"/>
  <c r="EO142" i="72" s="1"/>
  <c r="EO141" i="72"/>
  <c r="EK141" i="72"/>
  <c r="EI142" i="72"/>
  <c r="EK142" i="72" s="1"/>
  <c r="EE139" i="72"/>
  <c r="EM143" i="72" l="1"/>
  <c r="EI143" i="72"/>
  <c r="EE140" i="72"/>
  <c r="EG140" i="72" s="1"/>
  <c r="EG139" i="72"/>
  <c r="EM144" i="72" l="1"/>
  <c r="EO144" i="72" s="1"/>
  <c r="EO143" i="72"/>
  <c r="EI144" i="72"/>
  <c r="EK144" i="72" s="1"/>
  <c r="EK143" i="72"/>
  <c r="EE141" i="72"/>
  <c r="EM145" i="72" l="1"/>
  <c r="EI145" i="72"/>
  <c r="EE142" i="72"/>
  <c r="EG142" i="72" s="1"/>
  <c r="EG141" i="72"/>
  <c r="EM146" i="72" l="1"/>
  <c r="EO146" i="72" s="1"/>
  <c r="EO145" i="72"/>
  <c r="EI146" i="72"/>
  <c r="EK146" i="72" s="1"/>
  <c r="EK145" i="72"/>
  <c r="EE143" i="72"/>
  <c r="EM147" i="72" l="1"/>
  <c r="EI147" i="72"/>
  <c r="EE144" i="72"/>
  <c r="EG144" i="72" s="1"/>
  <c r="EG143" i="72"/>
  <c r="EM148" i="72" l="1"/>
  <c r="EO148" i="72" s="1"/>
  <c r="EO147" i="72"/>
  <c r="EI148" i="72"/>
  <c r="EK148" i="72" s="1"/>
  <c r="EK147" i="72"/>
  <c r="EE145" i="72"/>
  <c r="EM149" i="72" l="1"/>
  <c r="EI149" i="72"/>
  <c r="EE146" i="72"/>
  <c r="EG146" i="72" s="1"/>
  <c r="EG145" i="72"/>
  <c r="EM150" i="72" l="1"/>
  <c r="EO150" i="72" s="1"/>
  <c r="EO149" i="72"/>
  <c r="EI150" i="72"/>
  <c r="EK150" i="72" s="1"/>
  <c r="EK149" i="72"/>
  <c r="EE147" i="72"/>
  <c r="EM151" i="72" l="1"/>
  <c r="EI151" i="72"/>
  <c r="EE148" i="72"/>
  <c r="EG148" i="72" s="1"/>
  <c r="EG147" i="72"/>
  <c r="EM152" i="72" l="1"/>
  <c r="EO152" i="72" s="1"/>
  <c r="EO151" i="72"/>
  <c r="EI152" i="72"/>
  <c r="EK152" i="72" s="1"/>
  <c r="EK151" i="72"/>
  <c r="EE149" i="72"/>
  <c r="EM153" i="72" l="1"/>
  <c r="EI153" i="72"/>
  <c r="EE150" i="72"/>
  <c r="EG150" i="72" s="1"/>
  <c r="EG149" i="72"/>
  <c r="EM154" i="72" l="1"/>
  <c r="EO154" i="72" s="1"/>
  <c r="EO153" i="72"/>
  <c r="EK153" i="72"/>
  <c r="EI154" i="72"/>
  <c r="EK154" i="72" s="1"/>
  <c r="EE151" i="72"/>
  <c r="EM155" i="72" l="1"/>
  <c r="EI155" i="72"/>
  <c r="EE152" i="72"/>
  <c r="EG152" i="72" s="1"/>
  <c r="EE153" i="72" s="1"/>
  <c r="EG151" i="72"/>
  <c r="EM156" i="72" l="1"/>
  <c r="EO156" i="72" s="1"/>
  <c r="EO155" i="72"/>
  <c r="EI156" i="72"/>
  <c r="EK156" i="72" s="1"/>
  <c r="EK155" i="72"/>
  <c r="EE154" i="72"/>
  <c r="EG154" i="72" s="1"/>
  <c r="EG153" i="72"/>
  <c r="EE155" i="72" l="1"/>
  <c r="EE156" i="72" l="1"/>
  <c r="EG156" i="72" s="1"/>
  <c r="EG155" i="72"/>
  <c r="E63" i="70" l="1"/>
  <c r="E29" i="70"/>
  <c r="E28" i="70"/>
  <c r="I17" i="65" l="1"/>
  <c r="I13" i="65"/>
  <c r="H161" i="65" l="1"/>
  <c r="I34" i="65" l="1"/>
  <c r="I21" i="65" l="1"/>
  <c r="G16" i="65" l="1"/>
  <c r="I16" i="65"/>
  <c r="D40" i="71" l="1"/>
  <c r="D46" i="71"/>
  <c r="D7" i="71" l="1"/>
  <c r="E53" i="70"/>
  <c r="H185" i="48" l="1"/>
  <c r="H102" i="48" l="1"/>
  <c r="BX23" i="72" l="1"/>
  <c r="BY23" i="72" s="1"/>
  <c r="BZ23" i="72" s="1"/>
  <c r="CN23" i="72"/>
  <c r="CO23" i="72" s="1"/>
  <c r="CP23" i="72" s="1"/>
  <c r="CZ23" i="72"/>
  <c r="DA23" i="72" s="1"/>
  <c r="DB23" i="72" s="1"/>
  <c r="CR23" i="72"/>
  <c r="CS23" i="72" s="1"/>
  <c r="CT23" i="72" s="1"/>
  <c r="DD23" i="72"/>
  <c r="DE23" i="72" s="1"/>
  <c r="DF23" i="72" s="1"/>
  <c r="EB23" i="72"/>
  <c r="EC23" i="72" s="1"/>
  <c r="ED23" i="72" s="1"/>
  <c r="DX23" i="72"/>
  <c r="DY23" i="72" s="1"/>
  <c r="DZ23" i="72" s="1"/>
  <c r="DH23" i="72"/>
  <c r="DI23" i="72" s="1"/>
  <c r="DJ23" i="72" s="1"/>
  <c r="DL23" i="72"/>
  <c r="DM23" i="72" s="1"/>
  <c r="DN23" i="72" s="1"/>
  <c r="DW30" i="72"/>
  <c r="EA30" i="72"/>
  <c r="GZ65" i="72" l="1"/>
  <c r="GV65" i="72"/>
  <c r="GZ31" i="72"/>
  <c r="HA85" i="72" s="1"/>
  <c r="HA86" i="72" s="1"/>
  <c r="GV31" i="72"/>
  <c r="GW85" i="72" s="1"/>
  <c r="GW86" i="72" s="1"/>
  <c r="HA67" i="72" l="1"/>
  <c r="HA68" i="72" s="1"/>
  <c r="HA69" i="72" s="1"/>
  <c r="HA70" i="72" s="1"/>
  <c r="HA71" i="72" s="1"/>
  <c r="HA72" i="72" s="1"/>
  <c r="HA73" i="72" s="1"/>
  <c r="HA74" i="72" s="1"/>
  <c r="HA75" i="72" s="1"/>
  <c r="HA76" i="72" s="1"/>
  <c r="HA77" i="72" s="1"/>
  <c r="HA78" i="72" s="1"/>
  <c r="HA80" i="72" s="1"/>
  <c r="HA82" i="72" s="1"/>
  <c r="HA84" i="72" s="1"/>
  <c r="HA65" i="72"/>
  <c r="HA66" i="72" s="1"/>
  <c r="HB66" i="72" s="1"/>
  <c r="GZ67" i="72" s="1"/>
  <c r="GZ66" i="72"/>
  <c r="GW65" i="72"/>
  <c r="GW66" i="72" s="1"/>
  <c r="GW67" i="72"/>
  <c r="GW68" i="72" s="1"/>
  <c r="GW69" i="72" s="1"/>
  <c r="GW70" i="72" s="1"/>
  <c r="GW71" i="72" s="1"/>
  <c r="GW72" i="72" s="1"/>
  <c r="GW73" i="72" s="1"/>
  <c r="GW74" i="72" s="1"/>
  <c r="GW75" i="72" s="1"/>
  <c r="GW76" i="72" s="1"/>
  <c r="GW77" i="72" s="1"/>
  <c r="GW79" i="72" s="1"/>
  <c r="GW81" i="72" s="1"/>
  <c r="GW83" i="72" s="1"/>
  <c r="GV66" i="72"/>
  <c r="GX66" i="72" s="1"/>
  <c r="GV67" i="72" s="1"/>
  <c r="HA79" i="72" l="1"/>
  <c r="HA81" i="72" s="1"/>
  <c r="HA83" i="72" s="1"/>
  <c r="GW78" i="72"/>
  <c r="GW80" i="72" s="1"/>
  <c r="GW82" i="72" s="1"/>
  <c r="GW84" i="72" s="1"/>
  <c r="GX65" i="72"/>
  <c r="HB65" i="72"/>
  <c r="HB67" i="72"/>
  <c r="GZ68" i="72"/>
  <c r="HB68" i="72" s="1"/>
  <c r="GZ69" i="72" s="1"/>
  <c r="GX67" i="72"/>
  <c r="GV68" i="72"/>
  <c r="GX68" i="72" s="1"/>
  <c r="GV69" i="72" l="1"/>
  <c r="HB69" i="72"/>
  <c r="GZ70" i="72"/>
  <c r="HB70" i="72" s="1"/>
  <c r="GZ71" i="72" s="1"/>
  <c r="HB71" i="72" l="1"/>
  <c r="GZ72" i="72"/>
  <c r="HB72" i="72" s="1"/>
  <c r="GX69" i="72"/>
  <c r="GV70" i="72"/>
  <c r="GX70" i="72" s="1"/>
  <c r="GV71" i="72" l="1"/>
  <c r="GZ73" i="72"/>
  <c r="HB73" i="72" l="1"/>
  <c r="GZ74" i="72"/>
  <c r="HB74" i="72" s="1"/>
  <c r="GX71" i="72"/>
  <c r="GV72" i="72"/>
  <c r="GX72" i="72" s="1"/>
  <c r="GV73" i="72" l="1"/>
  <c r="GZ75" i="72"/>
  <c r="GZ76" i="72" l="1"/>
  <c r="HB76" i="72" s="1"/>
  <c r="HB75" i="72"/>
  <c r="GX73" i="72"/>
  <c r="GV74" i="72"/>
  <c r="GX74" i="72" s="1"/>
  <c r="GV75" i="72" l="1"/>
  <c r="GZ77" i="72"/>
  <c r="HB77" i="72" l="1"/>
  <c r="GZ78" i="72"/>
  <c r="HB78" i="72" s="1"/>
  <c r="GV76" i="72"/>
  <c r="GX76" i="72" s="1"/>
  <c r="GX75" i="72"/>
  <c r="GZ79" i="72" l="1"/>
  <c r="GV77" i="72"/>
  <c r="GV78" i="72" l="1"/>
  <c r="GX78" i="72" s="1"/>
  <c r="GX77" i="72"/>
  <c r="GZ80" i="72"/>
  <c r="HB80" i="72" s="1"/>
  <c r="HB79" i="72"/>
  <c r="GZ81" i="72" l="1"/>
  <c r="GV79" i="72"/>
  <c r="GV80" i="72" l="1"/>
  <c r="GX80" i="72" s="1"/>
  <c r="GX79" i="72"/>
  <c r="HB81" i="72"/>
  <c r="GZ82" i="72"/>
  <c r="HB82" i="72" s="1"/>
  <c r="GZ83" i="72" l="1"/>
  <c r="GV81" i="72"/>
  <c r="GV82" i="72" l="1"/>
  <c r="GX82" i="72" s="1"/>
  <c r="GX81" i="72"/>
  <c r="GZ84" i="72"/>
  <c r="HB84" i="72" s="1"/>
  <c r="HB83" i="72"/>
  <c r="GZ85" i="72" l="1"/>
  <c r="GV83" i="72"/>
  <c r="GX83" i="72" l="1"/>
  <c r="GV84" i="72"/>
  <c r="GX84" i="72" s="1"/>
  <c r="HB85" i="72"/>
  <c r="GZ86" i="72"/>
  <c r="HB86" i="72" s="1"/>
  <c r="GV85" i="72" l="1"/>
  <c r="GV86" i="72" l="1"/>
  <c r="GX86" i="72" s="1"/>
  <c r="GX85" i="72"/>
  <c r="I91" i="65" l="1"/>
  <c r="I84" i="65"/>
  <c r="H70" i="65"/>
  <c r="I68" i="65"/>
  <c r="H37" i="65"/>
  <c r="H36" i="65"/>
  <c r="H34" i="65"/>
  <c r="H33" i="65"/>
  <c r="H32" i="65"/>
  <c r="H21" i="65"/>
  <c r="H20" i="65"/>
  <c r="H19" i="65"/>
  <c r="H17" i="65"/>
  <c r="H16" i="65"/>
  <c r="H15" i="65"/>
  <c r="H13" i="65"/>
  <c r="H11" i="65"/>
  <c r="H10" i="65"/>
  <c r="H9" i="65"/>
  <c r="I89" i="69" l="1"/>
  <c r="H89" i="69"/>
  <c r="G89" i="69"/>
  <c r="F53" i="69" l="1"/>
  <c r="F141" i="69" l="1"/>
  <c r="G141" i="69"/>
  <c r="H141" i="69"/>
  <c r="I141" i="69"/>
  <c r="I91" i="69"/>
  <c r="H91" i="69"/>
  <c r="G91" i="69"/>
  <c r="I90" i="69"/>
  <c r="E90" i="69" l="1"/>
  <c r="C16" i="75" l="1"/>
  <c r="C17" i="75" s="1"/>
  <c r="C18" i="75" s="1"/>
  <c r="C19" i="75" s="1"/>
  <c r="C21" i="75" s="1"/>
  <c r="C23" i="75" s="1"/>
  <c r="C25" i="75" s="1"/>
  <c r="C26" i="75" s="1"/>
  <c r="C27" i="75" s="1"/>
  <c r="C28" i="75" s="1"/>
  <c r="C30" i="75" s="1"/>
  <c r="C32" i="75" s="1"/>
  <c r="C34" i="75" s="1"/>
  <c r="C35" i="75" s="1"/>
  <c r="C36" i="75" s="1"/>
  <c r="C37" i="75" s="1"/>
  <c r="C39" i="75" s="1"/>
  <c r="C41" i="75" s="1"/>
  <c r="C50" i="75" s="1"/>
  <c r="C52" i="75" s="1"/>
  <c r="C53" i="75" s="1"/>
  <c r="C54" i="75" l="1"/>
  <c r="C55" i="75" s="1"/>
  <c r="C57" i="75" s="1"/>
  <c r="C59" i="75" s="1"/>
  <c r="C68" i="75" s="1"/>
  <c r="C69" i="75" s="1"/>
  <c r="C70" i="75" s="1"/>
  <c r="C71" i="75" s="1"/>
  <c r="C73" i="75" s="1"/>
  <c r="C75" i="75" s="1"/>
  <c r="C77" i="75" s="1"/>
  <c r="C86" i="75" s="1"/>
  <c r="C87" i="75" s="1"/>
  <c r="C89" i="75" s="1"/>
  <c r="C101" i="75" s="1"/>
  <c r="C103" i="75" s="1"/>
  <c r="C104" i="75" s="1"/>
  <c r="C105" i="75" s="1"/>
  <c r="C106" i="75" s="1"/>
  <c r="C108" i="75" s="1"/>
  <c r="C110" i="75" s="1"/>
  <c r="C112" i="75" s="1"/>
  <c r="C113" i="75" s="1"/>
  <c r="C114" i="75" s="1"/>
  <c r="C115" i="75" s="1"/>
  <c r="C117" i="75" s="1"/>
  <c r="C119" i="75" s="1"/>
  <c r="C121" i="75" s="1"/>
  <c r="C122" i="75" s="1"/>
  <c r="C123" i="75" s="1"/>
  <c r="C124" i="75" s="1"/>
  <c r="C126" i="75" s="1"/>
  <c r="C128" i="75" s="1"/>
  <c r="C137" i="75" s="1"/>
  <c r="C138" i="75" s="1"/>
  <c r="C139" i="75" l="1"/>
  <c r="C140" i="75" s="1"/>
  <c r="C142" i="75" s="1"/>
  <c r="C144" i="75" s="1"/>
  <c r="C146" i="75" s="1"/>
  <c r="C155" i="75" s="1"/>
  <c r="C156" i="75" s="1"/>
  <c r="C158" i="75" s="1"/>
  <c r="C169" i="75" s="1"/>
  <c r="C170" i="75" s="1"/>
  <c r="C172" i="75" s="1"/>
  <c r="F236" i="48" l="1"/>
  <c r="E78" i="48" l="1"/>
  <c r="G175" i="69" l="1"/>
  <c r="H235" i="48" s="1"/>
  <c r="F251" i="48" l="1"/>
  <c r="F247" i="48"/>
  <c r="F245" i="48"/>
  <c r="F86" i="48" l="1"/>
  <c r="F84" i="48"/>
  <c r="F79" i="48"/>
  <c r="E102" i="48" l="1"/>
  <c r="F91" i="69" l="1"/>
  <c r="I79" i="54" l="1"/>
  <c r="A260" i="65"/>
  <c r="A259" i="65"/>
  <c r="A258" i="65"/>
  <c r="A257" i="65"/>
  <c r="A255" i="65"/>
  <c r="A71" i="64"/>
  <c r="C71" i="64"/>
  <c r="A84" i="54"/>
  <c r="A82" i="54"/>
  <c r="A81" i="54"/>
  <c r="A80" i="54"/>
  <c r="G82" i="54" s="1"/>
  <c r="A79" i="54"/>
  <c r="A78" i="54"/>
  <c r="A77" i="54"/>
  <c r="A76" i="54"/>
  <c r="A73" i="54"/>
  <c r="A70" i="54"/>
  <c r="A67" i="54"/>
  <c r="A66" i="54"/>
  <c r="G71" i="54" l="1"/>
  <c r="G81" i="54"/>
  <c r="G86" i="54"/>
  <c r="G80" i="54"/>
  <c r="E244" i="48" l="1"/>
  <c r="E243" i="48"/>
  <c r="E242" i="48"/>
  <c r="E241" i="48"/>
  <c r="E234" i="48"/>
  <c r="E227" i="48"/>
  <c r="E228" i="48"/>
  <c r="F246" i="48"/>
  <c r="A236" i="48"/>
  <c r="E83" i="48"/>
  <c r="E82" i="48"/>
  <c r="E71" i="64"/>
  <c r="E77" i="48"/>
  <c r="E76" i="48"/>
  <c r="E75" i="48"/>
  <c r="E74" i="48"/>
  <c r="G148" i="69"/>
  <c r="G154" i="69" s="1"/>
  <c r="G13" i="69" s="1"/>
  <c r="G179" i="69"/>
  <c r="F175" i="69"/>
  <c r="E146" i="69"/>
  <c r="E145" i="69"/>
  <c r="E144" i="69"/>
  <c r="E143" i="69"/>
  <c r="E86" i="69"/>
  <c r="I87" i="69"/>
  <c r="G87" i="69"/>
  <c r="G94" i="69" s="1"/>
  <c r="I50" i="69"/>
  <c r="H50" i="69"/>
  <c r="G50" i="69"/>
  <c r="E92" i="69"/>
  <c r="E89" i="69"/>
  <c r="A237" i="48" l="1"/>
  <c r="A72" i="54" s="1"/>
  <c r="A71" i="54"/>
  <c r="F179" i="69"/>
  <c r="G100" i="69"/>
  <c r="G12" i="69" s="1"/>
  <c r="F238" i="48"/>
  <c r="E91" i="69"/>
  <c r="I94" i="69"/>
  <c r="G73" i="54" l="1"/>
  <c r="E52" i="69"/>
  <c r="E11" i="69"/>
  <c r="B11" i="69"/>
  <c r="B12" i="69" s="1"/>
  <c r="B13" i="69" s="1"/>
  <c r="B15" i="69" s="1"/>
  <c r="B20" i="69" s="1"/>
  <c r="E55" i="69" l="1"/>
  <c r="G57" i="69"/>
  <c r="G63" i="69" s="1"/>
  <c r="G10" i="69" s="1"/>
  <c r="G15" i="69" s="1"/>
  <c r="I57" i="69"/>
  <c r="E53" i="69"/>
  <c r="H57" i="69"/>
  <c r="E54" i="69"/>
  <c r="K54" i="75" l="1"/>
  <c r="K37" i="75" l="1"/>
  <c r="K35" i="75"/>
  <c r="K34" i="75"/>
  <c r="K28" i="75"/>
  <c r="K26" i="75"/>
  <c r="K25" i="75"/>
  <c r="K18" i="75"/>
  <c r="K17" i="75"/>
  <c r="N71" i="76"/>
  <c r="N47" i="76"/>
  <c r="H47" i="76"/>
  <c r="F47" i="76"/>
  <c r="P33" i="76"/>
  <c r="T36" i="76"/>
  <c r="N36" i="76"/>
  <c r="H36" i="76"/>
  <c r="H73" i="76" s="1"/>
  <c r="F36" i="76"/>
  <c r="V71" i="76"/>
  <c r="H71" i="76"/>
  <c r="F71" i="76"/>
  <c r="T70" i="76"/>
  <c r="T71" i="76" s="1"/>
  <c r="O70" i="76"/>
  <c r="L70" i="76"/>
  <c r="M70" i="76" s="1"/>
  <c r="I70" i="76"/>
  <c r="G70" i="76"/>
  <c r="O69" i="76"/>
  <c r="L69" i="76"/>
  <c r="M69" i="76" s="1"/>
  <c r="I69" i="76"/>
  <c r="G69" i="76"/>
  <c r="O68" i="76"/>
  <c r="L68" i="76"/>
  <c r="M68" i="76" s="1"/>
  <c r="I68" i="76"/>
  <c r="G68" i="76"/>
  <c r="O67" i="76"/>
  <c r="L67" i="76"/>
  <c r="M67" i="76" s="1"/>
  <c r="I67" i="76"/>
  <c r="G67" i="76"/>
  <c r="O66" i="76"/>
  <c r="L66" i="76"/>
  <c r="M66" i="76" s="1"/>
  <c r="I66" i="76"/>
  <c r="G66" i="76"/>
  <c r="O65" i="76"/>
  <c r="L65" i="76"/>
  <c r="M65" i="76" s="1"/>
  <c r="I65" i="76"/>
  <c r="G65" i="76"/>
  <c r="O64" i="76"/>
  <c r="L64" i="76"/>
  <c r="M64" i="76" s="1"/>
  <c r="I64" i="76"/>
  <c r="G64" i="76"/>
  <c r="O63" i="76"/>
  <c r="L63" i="76"/>
  <c r="M63" i="76" s="1"/>
  <c r="I63" i="76"/>
  <c r="G63" i="76"/>
  <c r="O62" i="76"/>
  <c r="L62" i="76"/>
  <c r="M62" i="76" s="1"/>
  <c r="I62" i="76"/>
  <c r="G62" i="76"/>
  <c r="O61" i="76"/>
  <c r="L61" i="76"/>
  <c r="M61" i="76" s="1"/>
  <c r="I61" i="76"/>
  <c r="G61" i="76"/>
  <c r="O60" i="76"/>
  <c r="L60" i="76"/>
  <c r="M60" i="76" s="1"/>
  <c r="I60" i="76"/>
  <c r="G60" i="76"/>
  <c r="O59" i="76"/>
  <c r="L59" i="76"/>
  <c r="M59" i="76" s="1"/>
  <c r="I59" i="76"/>
  <c r="G59" i="76"/>
  <c r="O58" i="76"/>
  <c r="L58" i="76"/>
  <c r="M58" i="76" s="1"/>
  <c r="I58" i="76"/>
  <c r="G58" i="76"/>
  <c r="O57" i="76"/>
  <c r="L57" i="76"/>
  <c r="M57" i="76" s="1"/>
  <c r="I57" i="76"/>
  <c r="G57" i="76"/>
  <c r="O56" i="76"/>
  <c r="L56" i="76"/>
  <c r="M56" i="76" s="1"/>
  <c r="I56" i="76"/>
  <c r="G56" i="76"/>
  <c r="O55" i="76"/>
  <c r="L55" i="76"/>
  <c r="M55" i="76" s="1"/>
  <c r="I55" i="76"/>
  <c r="G55" i="76"/>
  <c r="O54" i="76"/>
  <c r="L54" i="76"/>
  <c r="M54" i="76" s="1"/>
  <c r="I54" i="76"/>
  <c r="G54" i="76"/>
  <c r="O53" i="76"/>
  <c r="L53" i="76"/>
  <c r="M53" i="76" s="1"/>
  <c r="I53" i="76"/>
  <c r="G53" i="76"/>
  <c r="O52" i="76"/>
  <c r="L52" i="76"/>
  <c r="M52" i="76" s="1"/>
  <c r="I52" i="76"/>
  <c r="G52" i="76"/>
  <c r="O51" i="76"/>
  <c r="L51" i="76"/>
  <c r="M51" i="76" s="1"/>
  <c r="I51" i="76"/>
  <c r="G51" i="76"/>
  <c r="O50" i="76"/>
  <c r="O71" i="76" s="1"/>
  <c r="L50" i="76"/>
  <c r="M50" i="76" s="1"/>
  <c r="I50" i="76"/>
  <c r="G50" i="76"/>
  <c r="G71" i="76" s="1"/>
  <c r="V47" i="76"/>
  <c r="T47" i="76"/>
  <c r="O46" i="76"/>
  <c r="L46" i="76"/>
  <c r="M46" i="76" s="1"/>
  <c r="I46" i="76"/>
  <c r="G46" i="76"/>
  <c r="O45" i="76"/>
  <c r="L45" i="76"/>
  <c r="M45" i="76" s="1"/>
  <c r="I45" i="76"/>
  <c r="G45" i="76"/>
  <c r="O44" i="76"/>
  <c r="L44" i="76"/>
  <c r="M44" i="76" s="1"/>
  <c r="I44" i="76"/>
  <c r="G44" i="76"/>
  <c r="O43" i="76"/>
  <c r="L43" i="76"/>
  <c r="M43" i="76" s="1"/>
  <c r="I43" i="76"/>
  <c r="G43" i="76"/>
  <c r="O42" i="76"/>
  <c r="M42" i="76"/>
  <c r="I42" i="76"/>
  <c r="G42" i="76"/>
  <c r="O41" i="76"/>
  <c r="L41" i="76"/>
  <c r="M41" i="76" s="1"/>
  <c r="I41" i="76"/>
  <c r="G41" i="76"/>
  <c r="O40" i="76"/>
  <c r="O47" i="76" s="1"/>
  <c r="L40" i="76"/>
  <c r="M40" i="76" s="1"/>
  <c r="I40" i="76"/>
  <c r="I47" i="76" s="1"/>
  <c r="G40" i="76"/>
  <c r="G47" i="76" s="1"/>
  <c r="B36" i="76"/>
  <c r="B40" i="76" s="1"/>
  <c r="O35" i="76"/>
  <c r="M35" i="76"/>
  <c r="I35" i="76"/>
  <c r="G35" i="76"/>
  <c r="O34" i="76"/>
  <c r="M34" i="76"/>
  <c r="I34" i="76"/>
  <c r="G34" i="76"/>
  <c r="R33" i="76"/>
  <c r="X33" i="76" s="1"/>
  <c r="AF33" i="76" s="1"/>
  <c r="O33" i="76"/>
  <c r="L33" i="76"/>
  <c r="M33" i="76" s="1"/>
  <c r="I33" i="76"/>
  <c r="G33" i="76"/>
  <c r="O32" i="76"/>
  <c r="L32" i="76"/>
  <c r="M32" i="76" s="1"/>
  <c r="I32" i="76"/>
  <c r="G32" i="76"/>
  <c r="O31" i="76"/>
  <c r="L31" i="76"/>
  <c r="M31" i="76" s="1"/>
  <c r="I31" i="76"/>
  <c r="G31" i="76"/>
  <c r="O30" i="76"/>
  <c r="L30" i="76"/>
  <c r="M30" i="76" s="1"/>
  <c r="I30" i="76"/>
  <c r="G30" i="76"/>
  <c r="O29" i="76"/>
  <c r="L29" i="76"/>
  <c r="M29" i="76" s="1"/>
  <c r="I29" i="76"/>
  <c r="G29" i="76"/>
  <c r="O28" i="76"/>
  <c r="L28" i="76"/>
  <c r="M28" i="76" s="1"/>
  <c r="I28" i="76"/>
  <c r="G28" i="76"/>
  <c r="O27" i="76"/>
  <c r="L27" i="76"/>
  <c r="M27" i="76" s="1"/>
  <c r="I27" i="76"/>
  <c r="G27" i="76"/>
  <c r="O26" i="76"/>
  <c r="L26" i="76"/>
  <c r="M26" i="76" s="1"/>
  <c r="I26" i="76"/>
  <c r="G26" i="76"/>
  <c r="O25" i="76"/>
  <c r="L25" i="76"/>
  <c r="M25" i="76" s="1"/>
  <c r="I25" i="76"/>
  <c r="G25" i="76"/>
  <c r="O24" i="76"/>
  <c r="L24" i="76"/>
  <c r="M24" i="76" s="1"/>
  <c r="I24" i="76"/>
  <c r="G24" i="76"/>
  <c r="O23" i="76"/>
  <c r="L23" i="76"/>
  <c r="M23" i="76" s="1"/>
  <c r="I23" i="76"/>
  <c r="G23" i="76"/>
  <c r="O22" i="76"/>
  <c r="L22" i="76"/>
  <c r="M22" i="76" s="1"/>
  <c r="I22" i="76"/>
  <c r="G22" i="76"/>
  <c r="O21" i="76"/>
  <c r="L21" i="76"/>
  <c r="M21" i="76" s="1"/>
  <c r="I21" i="76"/>
  <c r="G21" i="76"/>
  <c r="O20" i="76"/>
  <c r="L20" i="76"/>
  <c r="M20" i="76" s="1"/>
  <c r="I20" i="76"/>
  <c r="G20" i="76"/>
  <c r="O19" i="76"/>
  <c r="L19" i="76"/>
  <c r="M19" i="76" s="1"/>
  <c r="I19" i="76"/>
  <c r="G19" i="76"/>
  <c r="O18" i="76"/>
  <c r="L18" i="76"/>
  <c r="M18" i="76" s="1"/>
  <c r="I18" i="76"/>
  <c r="G18" i="76"/>
  <c r="O17" i="76"/>
  <c r="L17" i="76"/>
  <c r="M17" i="76" s="1"/>
  <c r="I17" i="76"/>
  <c r="G17" i="76"/>
  <c r="O16" i="76"/>
  <c r="L16" i="76"/>
  <c r="M16" i="76" s="1"/>
  <c r="I16" i="76"/>
  <c r="G16" i="76"/>
  <c r="O15" i="76"/>
  <c r="L15" i="76"/>
  <c r="M15" i="76" s="1"/>
  <c r="I15" i="76"/>
  <c r="G15" i="76"/>
  <c r="O14" i="76"/>
  <c r="L14" i="76"/>
  <c r="M14" i="76" s="1"/>
  <c r="I14" i="76"/>
  <c r="G14" i="76"/>
  <c r="O13" i="76"/>
  <c r="L13" i="76"/>
  <c r="M13" i="76" s="1"/>
  <c r="I13" i="76"/>
  <c r="G13" i="76"/>
  <c r="O12" i="76"/>
  <c r="O36" i="76" s="1"/>
  <c r="L12" i="76"/>
  <c r="M12" i="76" s="1"/>
  <c r="I12" i="76"/>
  <c r="G12" i="76"/>
  <c r="I71" i="76" l="1"/>
  <c r="I36" i="76"/>
  <c r="I73" i="76" s="1"/>
  <c r="M47" i="76"/>
  <c r="P21" i="76"/>
  <c r="P23" i="76"/>
  <c r="P24" i="76"/>
  <c r="P25" i="76"/>
  <c r="P26" i="76"/>
  <c r="P50" i="76"/>
  <c r="P51" i="76"/>
  <c r="P53" i="76"/>
  <c r="P60" i="76"/>
  <c r="P61" i="76"/>
  <c r="P62" i="76"/>
  <c r="P64" i="76"/>
  <c r="P65" i="76"/>
  <c r="P66" i="76"/>
  <c r="P68" i="76"/>
  <c r="M36" i="76"/>
  <c r="O73" i="76"/>
  <c r="T73" i="76"/>
  <c r="N73" i="76"/>
  <c r="G36" i="76"/>
  <c r="G73" i="76" s="1"/>
  <c r="P44" i="76"/>
  <c r="P45" i="76"/>
  <c r="P46" i="76"/>
  <c r="J69" i="76"/>
  <c r="J70" i="76"/>
  <c r="L47" i="76"/>
  <c r="M71" i="76"/>
  <c r="L36" i="76"/>
  <c r="L71" i="76"/>
  <c r="B41" i="76"/>
  <c r="B42" i="76" s="1"/>
  <c r="B43" i="76" s="1"/>
  <c r="B44" i="76" s="1"/>
  <c r="B45" i="76" s="1"/>
  <c r="B46" i="76" s="1"/>
  <c r="B47" i="76" s="1"/>
  <c r="B50" i="76" s="1"/>
  <c r="B51" i="76" s="1"/>
  <c r="B52" i="76" s="1"/>
  <c r="B53" i="76" s="1"/>
  <c r="B54" i="76" s="1"/>
  <c r="B55" i="76" s="1"/>
  <c r="B56" i="76" s="1"/>
  <c r="B57" i="76" s="1"/>
  <c r="B58" i="76" s="1"/>
  <c r="B59" i="76" s="1"/>
  <c r="B60" i="76" s="1"/>
  <c r="B61" i="76" s="1"/>
  <c r="B62" i="76" s="1"/>
  <c r="B63" i="76" s="1"/>
  <c r="B64" i="76" s="1"/>
  <c r="B65" i="76" s="1"/>
  <c r="B66" i="76" s="1"/>
  <c r="B67" i="76" s="1"/>
  <c r="B68" i="76" s="1"/>
  <c r="B69" i="76" s="1"/>
  <c r="B70" i="76" s="1"/>
  <c r="B71" i="76" s="1"/>
  <c r="B73" i="76" s="1"/>
  <c r="J15" i="76"/>
  <c r="J27" i="76"/>
  <c r="J28" i="76"/>
  <c r="J29" i="76"/>
  <c r="J30" i="76"/>
  <c r="J31" i="76"/>
  <c r="J32" i="76"/>
  <c r="J12" i="76"/>
  <c r="J13" i="76"/>
  <c r="J50" i="76"/>
  <c r="R50" i="76" s="1"/>
  <c r="J22" i="76"/>
  <c r="J41" i="76"/>
  <c r="J42" i="76"/>
  <c r="J16" i="76"/>
  <c r="J17" i="76"/>
  <c r="J18" i="76"/>
  <c r="J19" i="76"/>
  <c r="J54" i="76"/>
  <c r="P34" i="76"/>
  <c r="R34" i="76" s="1"/>
  <c r="V34" i="76" s="1"/>
  <c r="X34" i="76" s="1"/>
  <c r="P35" i="76"/>
  <c r="J57" i="76"/>
  <c r="J58" i="76"/>
  <c r="J40" i="76"/>
  <c r="P12" i="76"/>
  <c r="J21" i="76"/>
  <c r="R21" i="76" s="1"/>
  <c r="X21" i="76" s="1"/>
  <c r="AF21" i="76" s="1"/>
  <c r="P40" i="76"/>
  <c r="J45" i="76"/>
  <c r="J46" i="76"/>
  <c r="P54" i="76"/>
  <c r="J61" i="76"/>
  <c r="R61" i="76" s="1"/>
  <c r="X61" i="76" s="1"/>
  <c r="AF61" i="76" s="1"/>
  <c r="J62" i="76"/>
  <c r="R62" i="76" s="1"/>
  <c r="X62" i="76" s="1"/>
  <c r="AF62" i="76" s="1"/>
  <c r="P69" i="76"/>
  <c r="R69" i="76" s="1"/>
  <c r="X69" i="76" s="1"/>
  <c r="AF69" i="76" s="1"/>
  <c r="P70" i="76"/>
  <c r="R70" i="76" s="1"/>
  <c r="X70" i="76" s="1"/>
  <c r="AF70" i="76" s="1"/>
  <c r="P14" i="76"/>
  <c r="P15" i="76"/>
  <c r="P16" i="76"/>
  <c r="P18" i="76"/>
  <c r="P19" i="76"/>
  <c r="J24" i="76"/>
  <c r="R24" i="76" s="1"/>
  <c r="X24" i="76" s="1"/>
  <c r="AF24" i="76" s="1"/>
  <c r="P27" i="76"/>
  <c r="R27" i="76" s="1"/>
  <c r="X27" i="76" s="1"/>
  <c r="P28" i="76"/>
  <c r="P30" i="76"/>
  <c r="P31" i="76"/>
  <c r="P32" i="76"/>
  <c r="J52" i="76"/>
  <c r="P56" i="76"/>
  <c r="P57" i="76"/>
  <c r="P58" i="76"/>
  <c r="R58" i="76" s="1"/>
  <c r="X58" i="76" s="1"/>
  <c r="AF58" i="76" s="1"/>
  <c r="J65" i="76"/>
  <c r="J66" i="76"/>
  <c r="R66" i="76" s="1"/>
  <c r="X66" i="76" s="1"/>
  <c r="AF66" i="76" s="1"/>
  <c r="J14" i="76"/>
  <c r="J23" i="76"/>
  <c r="R23" i="76" s="1"/>
  <c r="X23" i="76" s="1"/>
  <c r="J26" i="76"/>
  <c r="P41" i="76"/>
  <c r="J53" i="76"/>
  <c r="P55" i="76"/>
  <c r="J59" i="76"/>
  <c r="J60" i="76"/>
  <c r="R60" i="76" s="1"/>
  <c r="X60" i="76" s="1"/>
  <c r="AF60" i="76" s="1"/>
  <c r="P63" i="76"/>
  <c r="J67" i="76"/>
  <c r="J68" i="76"/>
  <c r="R68" i="76" s="1"/>
  <c r="X68" i="76" s="1"/>
  <c r="AF68" i="76" s="1"/>
  <c r="P13" i="76"/>
  <c r="P17" i="76"/>
  <c r="J20" i="76"/>
  <c r="P22" i="76"/>
  <c r="J25" i="76"/>
  <c r="R25" i="76" s="1"/>
  <c r="X25" i="76" s="1"/>
  <c r="J51" i="76"/>
  <c r="R51" i="76" s="1"/>
  <c r="X51" i="76" s="1"/>
  <c r="P52" i="76"/>
  <c r="J55" i="76"/>
  <c r="J56" i="76"/>
  <c r="P59" i="76"/>
  <c r="J63" i="76"/>
  <c r="J64" i="76"/>
  <c r="P67" i="76"/>
  <c r="P43" i="76"/>
  <c r="J44" i="76"/>
  <c r="P20" i="76"/>
  <c r="P29" i="76"/>
  <c r="J35" i="76"/>
  <c r="P42" i="76"/>
  <c r="J43" i="76"/>
  <c r="F73" i="76"/>
  <c r="R26" i="76" l="1"/>
  <c r="X26" i="76" s="1"/>
  <c r="AF26" i="76" s="1"/>
  <c r="R41" i="76"/>
  <c r="X41" i="76" s="1"/>
  <c r="R65" i="76"/>
  <c r="X65" i="76" s="1"/>
  <c r="AF65" i="76" s="1"/>
  <c r="R64" i="76"/>
  <c r="X64" i="76" s="1"/>
  <c r="AF64" i="76" s="1"/>
  <c r="R54" i="76"/>
  <c r="X54" i="76" s="1"/>
  <c r="AF54" i="76" s="1"/>
  <c r="M73" i="76"/>
  <c r="R53" i="76"/>
  <c r="X53" i="76" s="1"/>
  <c r="R31" i="76"/>
  <c r="X31" i="76" s="1"/>
  <c r="AF31" i="76" s="1"/>
  <c r="R44" i="76"/>
  <c r="X44" i="76" s="1"/>
  <c r="AF44" i="76" s="1"/>
  <c r="R13" i="76"/>
  <c r="X13" i="76" s="1"/>
  <c r="AF13" i="76" s="1"/>
  <c r="R46" i="76"/>
  <c r="X46" i="76" s="1"/>
  <c r="R15" i="76"/>
  <c r="X15" i="76" s="1"/>
  <c r="AF15" i="76" s="1"/>
  <c r="R45" i="76"/>
  <c r="X45" i="76" s="1"/>
  <c r="AF45" i="76" s="1"/>
  <c r="R29" i="76"/>
  <c r="X29" i="76" s="1"/>
  <c r="R30" i="76"/>
  <c r="X30" i="76" s="1"/>
  <c r="AF30" i="76" s="1"/>
  <c r="R12" i="76"/>
  <c r="P36" i="76"/>
  <c r="J36" i="76"/>
  <c r="J47" i="76"/>
  <c r="R32" i="76"/>
  <c r="X32" i="76" s="1"/>
  <c r="AF32" i="76" s="1"/>
  <c r="AF41" i="76"/>
  <c r="L73" i="76"/>
  <c r="R28" i="76"/>
  <c r="X28" i="76" s="1"/>
  <c r="AF28" i="76" s="1"/>
  <c r="R35" i="76"/>
  <c r="V35" i="76" s="1"/>
  <c r="X35" i="76" s="1"/>
  <c r="R52" i="76"/>
  <c r="X52" i="76" s="1"/>
  <c r="AF52" i="76" s="1"/>
  <c r="R59" i="76"/>
  <c r="X59" i="76" s="1"/>
  <c r="AF59" i="76" s="1"/>
  <c r="R17" i="76"/>
  <c r="V17" i="76" s="1"/>
  <c r="R16" i="76"/>
  <c r="X16" i="76" s="1"/>
  <c r="AF16" i="76" s="1"/>
  <c r="R22" i="76"/>
  <c r="X22" i="76" s="1"/>
  <c r="AF22" i="76" s="1"/>
  <c r="R57" i="76"/>
  <c r="X57" i="76" s="1"/>
  <c r="AF57" i="76" s="1"/>
  <c r="R19" i="76"/>
  <c r="X19" i="76" s="1"/>
  <c r="AF19" i="76" s="1"/>
  <c r="R18" i="76"/>
  <c r="V18" i="76" s="1"/>
  <c r="X18" i="76" s="1"/>
  <c r="AF18" i="76" s="1"/>
  <c r="R40" i="76"/>
  <c r="X40" i="76" s="1"/>
  <c r="X76" i="76" s="1"/>
  <c r="R56" i="76"/>
  <c r="X56" i="76" s="1"/>
  <c r="AF56" i="76" s="1"/>
  <c r="R43" i="76"/>
  <c r="X43" i="76" s="1"/>
  <c r="R20" i="76"/>
  <c r="X20" i="76" s="1"/>
  <c r="AF20" i="76" s="1"/>
  <c r="R14" i="76"/>
  <c r="X14" i="76" s="1"/>
  <c r="AF14" i="76" s="1"/>
  <c r="R63" i="76"/>
  <c r="X63" i="76" s="1"/>
  <c r="AF63" i="76" s="1"/>
  <c r="R67" i="76"/>
  <c r="X67" i="76" s="1"/>
  <c r="AF67" i="76" s="1"/>
  <c r="P47" i="76"/>
  <c r="R42" i="76"/>
  <c r="X42" i="76" s="1"/>
  <c r="X78" i="76" s="1"/>
  <c r="J71" i="76"/>
  <c r="AF34" i="76"/>
  <c r="P71" i="76"/>
  <c r="AF53" i="76"/>
  <c r="R55" i="76"/>
  <c r="X55" i="76" s="1"/>
  <c r="AF55" i="76" s="1"/>
  <c r="AF29" i="76"/>
  <c r="X12" i="76"/>
  <c r="X50" i="76"/>
  <c r="AF46" i="76"/>
  <c r="AF27" i="76"/>
  <c r="AF43" i="76"/>
  <c r="AF51" i="76"/>
  <c r="AF25" i="76"/>
  <c r="AF23" i="76"/>
  <c r="J73" i="76" l="1"/>
  <c r="K27" i="75"/>
  <c r="P73" i="76"/>
  <c r="X17" i="76"/>
  <c r="AF17" i="76" s="1"/>
  <c r="V36" i="76"/>
  <c r="V73" i="76" s="1"/>
  <c r="R36" i="76"/>
  <c r="R71" i="76"/>
  <c r="AF42" i="76"/>
  <c r="R47" i="76"/>
  <c r="AF35" i="76"/>
  <c r="AF12" i="76"/>
  <c r="AF78" i="76"/>
  <c r="AF50" i="76"/>
  <c r="K19" i="75" s="1"/>
  <c r="X71" i="76"/>
  <c r="X47" i="76"/>
  <c r="AF40" i="76"/>
  <c r="K36" i="75" s="1"/>
  <c r="X79" i="76" l="1"/>
  <c r="X81" i="76" s="1"/>
  <c r="X83" i="76" s="1"/>
  <c r="R73" i="76"/>
  <c r="AF36" i="76"/>
  <c r="K16" i="75"/>
  <c r="X36" i="76"/>
  <c r="X73" i="76" s="1"/>
  <c r="AF76" i="76"/>
  <c r="AF47" i="76"/>
  <c r="AF79" i="76"/>
  <c r="AF81" i="76" s="1"/>
  <c r="AF71" i="76"/>
  <c r="AF73" i="76" l="1"/>
  <c r="AF83" i="76"/>
  <c r="O169" i="75" l="1"/>
  <c r="M169" i="75"/>
  <c r="K169" i="75"/>
  <c r="Q155" i="75"/>
  <c r="O140" i="75"/>
  <c r="M140" i="75"/>
  <c r="K140" i="75"/>
  <c r="O139" i="75"/>
  <c r="M139" i="75"/>
  <c r="K139" i="75"/>
  <c r="O138" i="75"/>
  <c r="M138" i="75"/>
  <c r="Q138" i="75" s="1"/>
  <c r="K138" i="75"/>
  <c r="O137" i="75"/>
  <c r="M137" i="75"/>
  <c r="K137" i="75"/>
  <c r="O126" i="75"/>
  <c r="M126" i="75"/>
  <c r="K126" i="75"/>
  <c r="Q124" i="75"/>
  <c r="Q123" i="75"/>
  <c r="Q122" i="75"/>
  <c r="Q121" i="75"/>
  <c r="O117" i="75"/>
  <c r="M117" i="75"/>
  <c r="K117" i="75"/>
  <c r="Q115" i="75"/>
  <c r="Q114" i="75"/>
  <c r="Q113" i="75"/>
  <c r="Q112" i="75"/>
  <c r="O108" i="75"/>
  <c r="M108" i="75"/>
  <c r="K108" i="75"/>
  <c r="Q106" i="75"/>
  <c r="Q105" i="75"/>
  <c r="Q104" i="75"/>
  <c r="Q103" i="75"/>
  <c r="Q86" i="75"/>
  <c r="M69" i="75"/>
  <c r="O57" i="75"/>
  <c r="O59" i="75" s="1"/>
  <c r="K57" i="75"/>
  <c r="K59" i="75" s="1"/>
  <c r="Q55" i="75"/>
  <c r="Q54" i="75"/>
  <c r="M57" i="75"/>
  <c r="M59" i="75" s="1"/>
  <c r="Q53" i="75"/>
  <c r="Q52" i="75"/>
  <c r="M39" i="75"/>
  <c r="Q37" i="75"/>
  <c r="Q36" i="75"/>
  <c r="O39" i="75"/>
  <c r="Q35" i="75"/>
  <c r="Q34" i="75"/>
  <c r="K39" i="75"/>
  <c r="O28" i="75"/>
  <c r="Q28" i="75" s="1"/>
  <c r="O27" i="75"/>
  <c r="Q27" i="75" s="1"/>
  <c r="M70" i="75"/>
  <c r="O26" i="75"/>
  <c r="Q26" i="75" s="1"/>
  <c r="K30" i="75"/>
  <c r="M71" i="75"/>
  <c r="K71" i="75"/>
  <c r="K70" i="75"/>
  <c r="O17" i="75"/>
  <c r="O16" i="75"/>
  <c r="M68" i="75"/>
  <c r="K68" i="75"/>
  <c r="M128" i="75" l="1"/>
  <c r="K142" i="75"/>
  <c r="Q140" i="75"/>
  <c r="Q169" i="75"/>
  <c r="O128" i="75"/>
  <c r="Q126" i="75"/>
  <c r="Q137" i="75"/>
  <c r="Q117" i="75"/>
  <c r="O142" i="75"/>
  <c r="Q108" i="75"/>
  <c r="K128" i="75"/>
  <c r="Q139" i="75"/>
  <c r="Q57" i="75"/>
  <c r="Q59" i="75" s="1"/>
  <c r="Q39" i="75"/>
  <c r="O69" i="75"/>
  <c r="Q69" i="75" s="1"/>
  <c r="Q17" i="75"/>
  <c r="M73" i="75"/>
  <c r="K21" i="75"/>
  <c r="K41" i="75" s="1"/>
  <c r="M21" i="75"/>
  <c r="O25" i="75"/>
  <c r="M142" i="75"/>
  <c r="Q16" i="75"/>
  <c r="O18" i="75"/>
  <c r="O19" i="75"/>
  <c r="M30" i="75"/>
  <c r="K69" i="75"/>
  <c r="K73" i="75" s="1"/>
  <c r="Q128" i="75" l="1"/>
  <c r="Q142" i="75"/>
  <c r="K258" i="65"/>
  <c r="I78" i="54" s="1"/>
  <c r="O30" i="75"/>
  <c r="Q25" i="75"/>
  <c r="Q30" i="75" s="1"/>
  <c r="M41" i="75"/>
  <c r="Q18" i="75"/>
  <c r="O70" i="75"/>
  <c r="Q70" i="75" s="1"/>
  <c r="Q19" i="75"/>
  <c r="O71" i="75"/>
  <c r="Q71" i="75" s="1"/>
  <c r="O68" i="75"/>
  <c r="O21" i="75"/>
  <c r="O41" i="75" s="1"/>
  <c r="H83" i="48" l="1"/>
  <c r="Q21" i="75"/>
  <c r="Q41" i="75" s="1"/>
  <c r="O73" i="75"/>
  <c r="K257" i="65" s="1"/>
  <c r="Q68" i="75"/>
  <c r="Q73" i="75" s="1"/>
  <c r="H84" i="48" l="1"/>
  <c r="I77" i="54" l="1"/>
  <c r="H83" i="71" l="1"/>
  <c r="H42" i="65" l="1"/>
  <c r="H41" i="65"/>
  <c r="H148" i="69" l="1"/>
  <c r="I148" i="69"/>
  <c r="F87" i="69" l="1"/>
  <c r="H87" i="69"/>
  <c r="H94" i="69" s="1"/>
  <c r="E87" i="69" l="1"/>
  <c r="E94" i="69" l="1"/>
  <c r="F94" i="69"/>
  <c r="F100" i="69" s="1"/>
  <c r="F12" i="69" s="1"/>
  <c r="G237" i="65"/>
  <c r="I97" i="65" l="1"/>
  <c r="EA63" i="72" l="1"/>
  <c r="EA31" i="72"/>
  <c r="EB91" i="72" s="1"/>
  <c r="EB92" i="72" s="1"/>
  <c r="DW63" i="72"/>
  <c r="DW64" i="72" s="1"/>
  <c r="DW31" i="72"/>
  <c r="DX65" i="72" s="1"/>
  <c r="DT23" i="72"/>
  <c r="DU23" i="72" s="1"/>
  <c r="DV23" i="72" s="1"/>
  <c r="DS63" i="72"/>
  <c r="DS64" i="72" s="1"/>
  <c r="DS31" i="72"/>
  <c r="DT65" i="72" s="1"/>
  <c r="DT67" i="72" s="1"/>
  <c r="DT68" i="72" s="1"/>
  <c r="DT69" i="72" s="1"/>
  <c r="DT70" i="72" s="1"/>
  <c r="DT71" i="72" s="1"/>
  <c r="DT72" i="72" s="1"/>
  <c r="DT73" i="72" s="1"/>
  <c r="DT74" i="72" s="1"/>
  <c r="DT75" i="72" s="1"/>
  <c r="DT76" i="72" s="1"/>
  <c r="DT77" i="72" s="1"/>
  <c r="DP23" i="72"/>
  <c r="DQ23" i="72" s="1"/>
  <c r="DR23" i="72" s="1"/>
  <c r="DO63" i="72"/>
  <c r="DO64" i="72" s="1"/>
  <c r="DO31" i="72"/>
  <c r="DP139" i="72" s="1"/>
  <c r="DP140" i="72" s="1"/>
  <c r="DP149" i="72" l="1"/>
  <c r="DP119" i="72"/>
  <c r="DP120" i="72" s="1"/>
  <c r="DP103" i="72"/>
  <c r="DP104" i="72" s="1"/>
  <c r="DP135" i="72"/>
  <c r="DP136" i="72" s="1"/>
  <c r="DP115" i="72"/>
  <c r="DP116" i="72" s="1"/>
  <c r="DP147" i="72"/>
  <c r="DP148" i="72" s="1"/>
  <c r="DP101" i="72"/>
  <c r="DP102" i="72" s="1"/>
  <c r="DP131" i="72"/>
  <c r="DP132" i="72" s="1"/>
  <c r="DP93" i="72"/>
  <c r="DP94" i="72" s="1"/>
  <c r="DP109" i="72"/>
  <c r="DP110" i="72" s="1"/>
  <c r="DP125" i="72"/>
  <c r="DP126" i="72" s="1"/>
  <c r="DP141" i="72"/>
  <c r="DP142" i="72" s="1"/>
  <c r="DP151" i="72"/>
  <c r="DP152" i="72" s="1"/>
  <c r="DP95" i="72"/>
  <c r="DP96" i="72" s="1"/>
  <c r="DP113" i="72"/>
  <c r="DP114" i="72" s="1"/>
  <c r="DP129" i="72"/>
  <c r="DP130" i="72" s="1"/>
  <c r="DP145" i="72"/>
  <c r="DP146" i="72" s="1"/>
  <c r="EB65" i="72"/>
  <c r="EB67" i="72" s="1"/>
  <c r="EB68" i="72" s="1"/>
  <c r="EB69" i="72" s="1"/>
  <c r="EB70" i="72" s="1"/>
  <c r="EB71" i="72" s="1"/>
  <c r="EB72" i="72" s="1"/>
  <c r="EB73" i="72" s="1"/>
  <c r="EB74" i="72" s="1"/>
  <c r="EB75" i="72" s="1"/>
  <c r="EB76" i="72" s="1"/>
  <c r="EB77" i="72" s="1"/>
  <c r="EB79" i="72" s="1"/>
  <c r="EB81" i="72" s="1"/>
  <c r="EB83" i="72" s="1"/>
  <c r="EB85" i="72" s="1"/>
  <c r="EB87" i="72" s="1"/>
  <c r="EB89" i="72" s="1"/>
  <c r="DX109" i="72"/>
  <c r="DX110" i="72" s="1"/>
  <c r="DX141" i="72"/>
  <c r="DX142" i="72" s="1"/>
  <c r="DX117" i="72"/>
  <c r="DX118" i="72" s="1"/>
  <c r="DX149" i="72"/>
  <c r="DX150" i="72" s="1"/>
  <c r="DP97" i="72"/>
  <c r="DP98" i="72" s="1"/>
  <c r="DP105" i="72"/>
  <c r="DP106" i="72" s="1"/>
  <c r="DP111" i="72"/>
  <c r="DP112" i="72" s="1"/>
  <c r="DP121" i="72"/>
  <c r="DP122" i="72" s="1"/>
  <c r="DP127" i="72"/>
  <c r="DP128" i="72" s="1"/>
  <c r="DP137" i="72"/>
  <c r="DP138" i="72" s="1"/>
  <c r="DP143" i="72"/>
  <c r="DP144" i="72" s="1"/>
  <c r="DT151" i="72"/>
  <c r="DX93" i="72"/>
  <c r="DX94" i="72" s="1"/>
  <c r="DX125" i="72"/>
  <c r="DX126" i="72" s="1"/>
  <c r="DX151" i="72"/>
  <c r="DX152" i="72" s="1"/>
  <c r="DP91" i="72"/>
  <c r="DP92" i="72" s="1"/>
  <c r="DP99" i="72"/>
  <c r="DP100" i="72" s="1"/>
  <c r="DP107" i="72"/>
  <c r="DP108" i="72" s="1"/>
  <c r="DP117" i="72"/>
  <c r="DP118" i="72" s="1"/>
  <c r="DP123" i="72"/>
  <c r="DP124" i="72" s="1"/>
  <c r="DP133" i="72"/>
  <c r="DP134" i="72" s="1"/>
  <c r="DT63" i="72"/>
  <c r="DT64" i="72" s="1"/>
  <c r="DU64" i="72" s="1"/>
  <c r="DS65" i="72" s="1"/>
  <c r="DX101" i="72"/>
  <c r="DX102" i="72" s="1"/>
  <c r="DX133" i="72"/>
  <c r="DX134" i="72" s="1"/>
  <c r="EB151" i="72"/>
  <c r="EB152" i="72" s="1"/>
  <c r="EB63" i="72"/>
  <c r="EB64" i="72" s="1"/>
  <c r="EA64" i="72"/>
  <c r="EB93" i="72"/>
  <c r="EB94" i="72" s="1"/>
  <c r="EB95" i="72"/>
  <c r="EB96" i="72" s="1"/>
  <c r="EB97" i="72"/>
  <c r="EB98" i="72" s="1"/>
  <c r="EB99" i="72"/>
  <c r="EB100" i="72" s="1"/>
  <c r="EB101" i="72"/>
  <c r="EB102" i="72" s="1"/>
  <c r="EB103" i="72"/>
  <c r="EB104" i="72" s="1"/>
  <c r="EB105" i="72"/>
  <c r="EB106" i="72" s="1"/>
  <c r="EB107" i="72"/>
  <c r="EB108" i="72" s="1"/>
  <c r="EB109" i="72"/>
  <c r="EB110" i="72" s="1"/>
  <c r="EB111" i="72"/>
  <c r="EB112" i="72" s="1"/>
  <c r="EB113" i="72"/>
  <c r="EB114" i="72" s="1"/>
  <c r="EB115" i="72"/>
  <c r="EB116" i="72" s="1"/>
  <c r="EB117" i="72"/>
  <c r="EB118" i="72" s="1"/>
  <c r="EB119" i="72"/>
  <c r="EB120" i="72" s="1"/>
  <c r="EB121" i="72"/>
  <c r="EB122" i="72" s="1"/>
  <c r="EB123" i="72"/>
  <c r="EB124" i="72" s="1"/>
  <c r="EB125" i="72"/>
  <c r="EB126" i="72" s="1"/>
  <c r="EB127" i="72"/>
  <c r="EB128" i="72" s="1"/>
  <c r="EB129" i="72"/>
  <c r="EB130" i="72" s="1"/>
  <c r="EB131" i="72"/>
  <c r="EB132" i="72" s="1"/>
  <c r="EB133" i="72"/>
  <c r="EB134" i="72" s="1"/>
  <c r="EB135" i="72"/>
  <c r="EB136" i="72" s="1"/>
  <c r="EB137" i="72"/>
  <c r="EB138" i="72" s="1"/>
  <c r="EB139" i="72"/>
  <c r="EB140" i="72" s="1"/>
  <c r="EB141" i="72"/>
  <c r="EB142" i="72" s="1"/>
  <c r="EB143" i="72"/>
  <c r="EB144" i="72" s="1"/>
  <c r="EB145" i="72"/>
  <c r="EB146" i="72" s="1"/>
  <c r="EB147" i="72"/>
  <c r="EB148" i="72" s="1"/>
  <c r="EB149" i="72"/>
  <c r="EB150" i="72" s="1"/>
  <c r="DX95" i="72"/>
  <c r="DX96" i="72" s="1"/>
  <c r="DX103" i="72"/>
  <c r="DX104" i="72" s="1"/>
  <c r="DX111" i="72"/>
  <c r="DX112" i="72" s="1"/>
  <c r="DX119" i="72"/>
  <c r="DX120" i="72" s="1"/>
  <c r="DX127" i="72"/>
  <c r="DX128" i="72" s="1"/>
  <c r="DX135" i="72"/>
  <c r="DX136" i="72" s="1"/>
  <c r="DX143" i="72"/>
  <c r="DX144" i="72" s="1"/>
  <c r="DX97" i="72"/>
  <c r="DX98" i="72" s="1"/>
  <c r="DX105" i="72"/>
  <c r="DX106" i="72" s="1"/>
  <c r="DX113" i="72"/>
  <c r="DX114" i="72" s="1"/>
  <c r="DX121" i="72"/>
  <c r="DX122" i="72" s="1"/>
  <c r="DX129" i="72"/>
  <c r="DX130" i="72" s="1"/>
  <c r="DX137" i="72"/>
  <c r="DX138" i="72" s="1"/>
  <c r="DX145" i="72"/>
  <c r="DX146" i="72" s="1"/>
  <c r="DX91" i="72"/>
  <c r="DX92" i="72" s="1"/>
  <c r="DX99" i="72"/>
  <c r="DX100" i="72" s="1"/>
  <c r="DX107" i="72"/>
  <c r="DX108" i="72" s="1"/>
  <c r="DX115" i="72"/>
  <c r="DX116" i="72" s="1"/>
  <c r="DX123" i="72"/>
  <c r="DX124" i="72" s="1"/>
  <c r="DX131" i="72"/>
  <c r="DX132" i="72" s="1"/>
  <c r="DX139" i="72"/>
  <c r="DX140" i="72" s="1"/>
  <c r="DX147" i="72"/>
  <c r="DX148" i="72" s="1"/>
  <c r="DX67" i="72"/>
  <c r="DX68" i="72" s="1"/>
  <c r="DX69" i="72" s="1"/>
  <c r="DX70" i="72" s="1"/>
  <c r="DX71" i="72" s="1"/>
  <c r="DX72" i="72" s="1"/>
  <c r="DX73" i="72" s="1"/>
  <c r="DX74" i="72" s="1"/>
  <c r="DX75" i="72" s="1"/>
  <c r="DX76" i="72" s="1"/>
  <c r="DX77" i="72" s="1"/>
  <c r="DX66" i="72"/>
  <c r="DX63" i="72"/>
  <c r="DT78" i="72"/>
  <c r="DT80" i="72" s="1"/>
  <c r="DT82" i="72" s="1"/>
  <c r="DT84" i="72" s="1"/>
  <c r="DT86" i="72" s="1"/>
  <c r="DT88" i="72" s="1"/>
  <c r="DT90" i="72" s="1"/>
  <c r="DT79" i="72"/>
  <c r="DT81" i="72" s="1"/>
  <c r="DT83" i="72" s="1"/>
  <c r="DT85" i="72" s="1"/>
  <c r="DT87" i="72" s="1"/>
  <c r="DT89" i="72" s="1"/>
  <c r="DT152" i="72"/>
  <c r="DT149" i="72"/>
  <c r="DT150" i="72" s="1"/>
  <c r="DT147" i="72"/>
  <c r="DT148" i="72" s="1"/>
  <c r="DT145" i="72"/>
  <c r="DT146" i="72" s="1"/>
  <c r="DT143" i="72"/>
  <c r="DT144" i="72" s="1"/>
  <c r="DT141" i="72"/>
  <c r="DT142" i="72" s="1"/>
  <c r="DT139" i="72"/>
  <c r="DT140" i="72" s="1"/>
  <c r="DT137" i="72"/>
  <c r="DT138" i="72" s="1"/>
  <c r="DT135" i="72"/>
  <c r="DT136" i="72" s="1"/>
  <c r="DT133" i="72"/>
  <c r="DT134" i="72" s="1"/>
  <c r="DT131" i="72"/>
  <c r="DT132" i="72" s="1"/>
  <c r="DT129" i="72"/>
  <c r="DT130" i="72" s="1"/>
  <c r="DT127" i="72"/>
  <c r="DT128" i="72" s="1"/>
  <c r="DT125" i="72"/>
  <c r="DT126" i="72" s="1"/>
  <c r="DT123" i="72"/>
  <c r="DT124" i="72" s="1"/>
  <c r="DT121" i="72"/>
  <c r="DT122" i="72" s="1"/>
  <c r="DT119" i="72"/>
  <c r="DT120" i="72" s="1"/>
  <c r="DT117" i="72"/>
  <c r="DT118" i="72" s="1"/>
  <c r="DT115" i="72"/>
  <c r="DT116" i="72" s="1"/>
  <c r="DT113" i="72"/>
  <c r="DT114" i="72" s="1"/>
  <c r="DT111" i="72"/>
  <c r="DT112" i="72" s="1"/>
  <c r="DT109" i="72"/>
  <c r="DT110" i="72" s="1"/>
  <c r="DT107" i="72"/>
  <c r="DT108" i="72" s="1"/>
  <c r="DT105" i="72"/>
  <c r="DT106" i="72" s="1"/>
  <c r="DT103" i="72"/>
  <c r="DT104" i="72" s="1"/>
  <c r="DT101" i="72"/>
  <c r="DT102" i="72" s="1"/>
  <c r="DT99" i="72"/>
  <c r="DT100" i="72" s="1"/>
  <c r="DT97" i="72"/>
  <c r="DT98" i="72" s="1"/>
  <c r="DT95" i="72"/>
  <c r="DT96" i="72" s="1"/>
  <c r="DT93" i="72"/>
  <c r="DT94" i="72" s="1"/>
  <c r="DT91" i="72"/>
  <c r="DT92" i="72" s="1"/>
  <c r="DT66" i="72"/>
  <c r="DP150" i="72"/>
  <c r="DP63" i="72"/>
  <c r="DP65" i="72"/>
  <c r="EB78" i="72" l="1"/>
  <c r="EB80" i="72" s="1"/>
  <c r="EB82" i="72" s="1"/>
  <c r="EB84" i="72" s="1"/>
  <c r="EB86" i="72" s="1"/>
  <c r="EB88" i="72" s="1"/>
  <c r="EB90" i="72" s="1"/>
  <c r="EB66" i="72"/>
  <c r="DU65" i="72"/>
  <c r="DS66" i="72"/>
  <c r="EC64" i="72"/>
  <c r="EA65" i="72" s="1"/>
  <c r="EC65" i="72" s="1"/>
  <c r="DU63" i="72"/>
  <c r="EC63" i="72"/>
  <c r="DX64" i="72"/>
  <c r="DY64" i="72" s="1"/>
  <c r="DY63" i="72"/>
  <c r="DX78" i="72"/>
  <c r="DX80" i="72" s="1"/>
  <c r="DX82" i="72" s="1"/>
  <c r="DX84" i="72" s="1"/>
  <c r="DX86" i="72" s="1"/>
  <c r="DX88" i="72" s="1"/>
  <c r="DX90" i="72" s="1"/>
  <c r="DX79" i="72"/>
  <c r="DX81" i="72" s="1"/>
  <c r="DX83" i="72" s="1"/>
  <c r="DX85" i="72" s="1"/>
  <c r="DX87" i="72" s="1"/>
  <c r="DX89" i="72" s="1"/>
  <c r="DU66" i="72"/>
  <c r="DP64" i="72"/>
  <c r="DQ64" i="72" s="1"/>
  <c r="DQ63" i="72"/>
  <c r="DP67" i="72"/>
  <c r="DP68" i="72" s="1"/>
  <c r="DP69" i="72" s="1"/>
  <c r="DP70" i="72" s="1"/>
  <c r="DP71" i="72" s="1"/>
  <c r="DP72" i="72" s="1"/>
  <c r="DP73" i="72" s="1"/>
  <c r="DP74" i="72" s="1"/>
  <c r="DP75" i="72" s="1"/>
  <c r="DP76" i="72" s="1"/>
  <c r="DP77" i="72" s="1"/>
  <c r="DP66" i="72"/>
  <c r="EA66" i="72" l="1"/>
  <c r="EC66" i="72" s="1"/>
  <c r="EA67" i="72" s="1"/>
  <c r="EC67" i="72" s="1"/>
  <c r="DW65" i="72"/>
  <c r="DS67" i="72"/>
  <c r="DO65" i="72"/>
  <c r="DP79" i="72"/>
  <c r="DP81" i="72" s="1"/>
  <c r="DP83" i="72" s="1"/>
  <c r="DP85" i="72" s="1"/>
  <c r="DP87" i="72" s="1"/>
  <c r="DP89" i="72" s="1"/>
  <c r="DP78" i="72"/>
  <c r="DP80" i="72" s="1"/>
  <c r="DP82" i="72" s="1"/>
  <c r="DP84" i="72" s="1"/>
  <c r="DP86" i="72" s="1"/>
  <c r="DP88" i="72" s="1"/>
  <c r="DP90" i="72" s="1"/>
  <c r="EA68" i="72" l="1"/>
  <c r="EC68" i="72" s="1"/>
  <c r="EA69" i="72" s="1"/>
  <c r="DW66" i="72"/>
  <c r="DY66" i="72" s="1"/>
  <c r="DY65" i="72"/>
  <c r="DS68" i="72"/>
  <c r="DU68" i="72" s="1"/>
  <c r="DU67" i="72"/>
  <c r="DO66" i="72"/>
  <c r="DQ66" i="72" s="1"/>
  <c r="DQ65" i="72"/>
  <c r="EA70" i="72" l="1"/>
  <c r="EC70" i="72" s="1"/>
  <c r="EC69" i="72"/>
  <c r="DW67" i="72"/>
  <c r="DS69" i="72"/>
  <c r="DO67" i="72"/>
  <c r="EA71" i="72" l="1"/>
  <c r="DW68" i="72"/>
  <c r="DY68" i="72" s="1"/>
  <c r="DY67" i="72"/>
  <c r="DU69" i="72"/>
  <c r="DS70" i="72"/>
  <c r="DU70" i="72" s="1"/>
  <c r="DO68" i="72"/>
  <c r="DQ68" i="72" s="1"/>
  <c r="DQ67" i="72"/>
  <c r="EC71" i="72" l="1"/>
  <c r="EA72" i="72"/>
  <c r="EC72" i="72" s="1"/>
  <c r="DW69" i="72"/>
  <c r="DS71" i="72"/>
  <c r="DO69" i="72"/>
  <c r="GR63" i="72"/>
  <c r="GR31" i="72"/>
  <c r="GS63" i="72" s="1"/>
  <c r="GS64" i="72" s="1"/>
  <c r="EA73" i="72" l="1"/>
  <c r="DY69" i="72"/>
  <c r="DW70" i="72"/>
  <c r="DY70" i="72" s="1"/>
  <c r="DU71" i="72"/>
  <c r="DS72" i="72"/>
  <c r="DU72" i="72" s="1"/>
  <c r="DO70" i="72"/>
  <c r="DQ70" i="72" s="1"/>
  <c r="DQ69" i="72"/>
  <c r="GT63" i="72"/>
  <c r="GS83" i="72"/>
  <c r="GS84" i="72" s="1"/>
  <c r="GR64" i="72"/>
  <c r="GT64" i="72" s="1"/>
  <c r="GR65" i="72" s="1"/>
  <c r="GS65" i="72"/>
  <c r="EA74" i="72" l="1"/>
  <c r="EC74" i="72" s="1"/>
  <c r="EC73" i="72"/>
  <c r="DW71" i="72"/>
  <c r="DS73" i="72"/>
  <c r="DO71" i="72"/>
  <c r="GS67" i="72"/>
  <c r="GS68" i="72" s="1"/>
  <c r="GS69" i="72" s="1"/>
  <c r="GS70" i="72" s="1"/>
  <c r="GS71" i="72" s="1"/>
  <c r="GS72" i="72" s="1"/>
  <c r="GS73" i="72" s="1"/>
  <c r="GS74" i="72" s="1"/>
  <c r="GS75" i="72" s="1"/>
  <c r="GS76" i="72" s="1"/>
  <c r="GS77" i="72" s="1"/>
  <c r="GS66" i="72"/>
  <c r="GT65" i="72"/>
  <c r="GR66" i="72"/>
  <c r="H122" i="48"/>
  <c r="EA75" i="72" l="1"/>
  <c r="DY71" i="72"/>
  <c r="DW72" i="72"/>
  <c r="DY72" i="72" s="1"/>
  <c r="DU73" i="72"/>
  <c r="DS74" i="72"/>
  <c r="DU74" i="72" s="1"/>
  <c r="DO72" i="72"/>
  <c r="DQ72" i="72" s="1"/>
  <c r="DQ71" i="72"/>
  <c r="GT66" i="72"/>
  <c r="GR67" i="72" s="1"/>
  <c r="GR68" i="72" s="1"/>
  <c r="GT68" i="72" s="1"/>
  <c r="GS79" i="72"/>
  <c r="GS81" i="72" s="1"/>
  <c r="GS78" i="72"/>
  <c r="GS80" i="72" s="1"/>
  <c r="GS82" i="72" s="1"/>
  <c r="EC75" i="72" l="1"/>
  <c r="EA76" i="72"/>
  <c r="EC76" i="72" s="1"/>
  <c r="DW73" i="72"/>
  <c r="DS75" i="72"/>
  <c r="DO73" i="72"/>
  <c r="GT67" i="72"/>
  <c r="GR69" i="72"/>
  <c r="EA77" i="72" l="1"/>
  <c r="DY73" i="72"/>
  <c r="DW74" i="72"/>
  <c r="DY74" i="72" s="1"/>
  <c r="DU75" i="72"/>
  <c r="DS76" i="72"/>
  <c r="DU76" i="72" s="1"/>
  <c r="DO74" i="72"/>
  <c r="DQ74" i="72" s="1"/>
  <c r="DQ73" i="72"/>
  <c r="GT69" i="72"/>
  <c r="GR70" i="72"/>
  <c r="GT70" i="72" s="1"/>
  <c r="EA78" i="72" l="1"/>
  <c r="EC78" i="72" s="1"/>
  <c r="EC77" i="72"/>
  <c r="DW75" i="72"/>
  <c r="DS77" i="72"/>
  <c r="DO75" i="72"/>
  <c r="GR71" i="72"/>
  <c r="EA79" i="72" l="1"/>
  <c r="DY75" i="72"/>
  <c r="DW76" i="72"/>
  <c r="DY76" i="72" s="1"/>
  <c r="DS78" i="72"/>
  <c r="DU78" i="72" s="1"/>
  <c r="DU77" i="72"/>
  <c r="DO76" i="72"/>
  <c r="DQ76" i="72" s="1"/>
  <c r="DQ75" i="72"/>
  <c r="GT71" i="72"/>
  <c r="GR72" i="72"/>
  <c r="GT72" i="72" s="1"/>
  <c r="F148" i="69"/>
  <c r="F154" i="69" s="1"/>
  <c r="F13" i="69" l="1"/>
  <c r="E141" i="69"/>
  <c r="EC79" i="72"/>
  <c r="EA80" i="72"/>
  <c r="EC80" i="72" s="1"/>
  <c r="DW77" i="72"/>
  <c r="DS79" i="72"/>
  <c r="DO77" i="72"/>
  <c r="GR73" i="72"/>
  <c r="E148" i="69" l="1"/>
  <c r="EA81" i="72"/>
  <c r="DY77" i="72"/>
  <c r="DW78" i="72"/>
  <c r="DY78" i="72" s="1"/>
  <c r="DS80" i="72"/>
  <c r="DU80" i="72" s="1"/>
  <c r="DU79" i="72"/>
  <c r="DO78" i="72"/>
  <c r="DQ78" i="72" s="1"/>
  <c r="DQ77" i="72"/>
  <c r="GR74" i="72"/>
  <c r="GT74" i="72" s="1"/>
  <c r="GT73" i="72"/>
  <c r="EA82" i="72" l="1"/>
  <c r="EC82" i="72" s="1"/>
  <c r="EC81" i="72"/>
  <c r="DW79" i="72"/>
  <c r="DS81" i="72"/>
  <c r="DO79" i="72"/>
  <c r="GR75" i="72"/>
  <c r="EA83" i="72" l="1"/>
  <c r="DY79" i="72"/>
  <c r="DW80" i="72"/>
  <c r="DY80" i="72" s="1"/>
  <c r="DS82" i="72"/>
  <c r="DU82" i="72" s="1"/>
  <c r="DU81" i="72"/>
  <c r="DO80" i="72"/>
  <c r="DQ80" i="72" s="1"/>
  <c r="DQ79" i="72"/>
  <c r="GT75" i="72"/>
  <c r="GR76" i="72"/>
  <c r="GT76" i="72" s="1"/>
  <c r="F57" i="69" l="1"/>
  <c r="F63" i="69" s="1"/>
  <c r="F10" i="69" s="1"/>
  <c r="F15" i="69" s="1"/>
  <c r="EC83" i="72"/>
  <c r="EA84" i="72"/>
  <c r="EC84" i="72" s="1"/>
  <c r="DW81" i="72"/>
  <c r="DS83" i="72"/>
  <c r="DO81" i="72"/>
  <c r="GR77" i="72"/>
  <c r="E50" i="69" l="1"/>
  <c r="E57" i="69" s="1"/>
  <c r="EA85" i="72"/>
  <c r="DY81" i="72"/>
  <c r="DW82" i="72"/>
  <c r="DY82" i="72" s="1"/>
  <c r="DS84" i="72"/>
  <c r="DU84" i="72" s="1"/>
  <c r="DU83" i="72"/>
  <c r="DO82" i="72"/>
  <c r="DQ82" i="72" s="1"/>
  <c r="DO83" i="72" s="1"/>
  <c r="DQ81" i="72"/>
  <c r="GR78" i="72"/>
  <c r="GT78" i="72" s="1"/>
  <c r="GT77" i="72"/>
  <c r="DQ83" i="72" l="1"/>
  <c r="DO84" i="72"/>
  <c r="DQ84" i="72" s="1"/>
  <c r="DO85" i="72" s="1"/>
  <c r="EA86" i="72"/>
  <c r="EC86" i="72" s="1"/>
  <c r="EC85" i="72"/>
  <c r="DW83" i="72"/>
  <c r="DS85" i="72"/>
  <c r="GR79" i="72"/>
  <c r="DO86" i="72" l="1"/>
  <c r="DQ86" i="72" s="1"/>
  <c r="DO87" i="72" s="1"/>
  <c r="DQ85" i="72"/>
  <c r="EA87" i="72"/>
  <c r="DY83" i="72"/>
  <c r="DW84" i="72"/>
  <c r="DY84" i="72" s="1"/>
  <c r="DU85" i="72"/>
  <c r="DS86" i="72"/>
  <c r="DU86" i="72" s="1"/>
  <c r="GT79" i="72"/>
  <c r="GR80" i="72"/>
  <c r="GT80" i="72" s="1"/>
  <c r="DK61" i="72"/>
  <c r="DK62" i="72" s="1"/>
  <c r="DK31" i="72"/>
  <c r="DL63" i="72" s="1"/>
  <c r="DL64" i="72" s="1"/>
  <c r="DG61" i="72"/>
  <c r="DG31" i="72"/>
  <c r="DH65" i="72" s="1"/>
  <c r="DH66" i="72" s="1"/>
  <c r="DC61" i="72"/>
  <c r="CY61" i="72"/>
  <c r="DQ87" i="72" l="1"/>
  <c r="DO88" i="72"/>
  <c r="DQ88" i="72" s="1"/>
  <c r="DO89" i="72" s="1"/>
  <c r="EC87" i="72"/>
  <c r="EA88" i="72"/>
  <c r="EC88" i="72" s="1"/>
  <c r="DW85" i="72"/>
  <c r="DS87" i="72"/>
  <c r="DL65" i="72"/>
  <c r="DL66" i="72" s="1"/>
  <c r="GR81" i="72"/>
  <c r="DL61" i="72"/>
  <c r="DM61" i="72" s="1"/>
  <c r="DL149" i="72"/>
  <c r="DL150" i="72" s="1"/>
  <c r="DL147" i="72"/>
  <c r="DL148" i="72" s="1"/>
  <c r="DL145" i="72"/>
  <c r="DL146" i="72" s="1"/>
  <c r="DL143" i="72"/>
  <c r="DL144" i="72" s="1"/>
  <c r="DL141" i="72"/>
  <c r="DL142" i="72" s="1"/>
  <c r="DL139" i="72"/>
  <c r="DL140" i="72" s="1"/>
  <c r="DL137" i="72"/>
  <c r="DL138" i="72" s="1"/>
  <c r="DL135" i="72"/>
  <c r="DL136" i="72" s="1"/>
  <c r="DL133" i="72"/>
  <c r="DL134" i="72" s="1"/>
  <c r="DL131" i="72"/>
  <c r="DL132" i="72" s="1"/>
  <c r="DL129" i="72"/>
  <c r="DL130" i="72" s="1"/>
  <c r="DL127" i="72"/>
  <c r="DL128" i="72" s="1"/>
  <c r="DL125" i="72"/>
  <c r="DL126" i="72" s="1"/>
  <c r="DL123" i="72"/>
  <c r="DL124" i="72" s="1"/>
  <c r="DL121" i="72"/>
  <c r="DL122" i="72" s="1"/>
  <c r="DL119" i="72"/>
  <c r="DL120" i="72" s="1"/>
  <c r="DL117" i="72"/>
  <c r="DL118" i="72" s="1"/>
  <c r="DL115" i="72"/>
  <c r="DL116" i="72" s="1"/>
  <c r="DL113" i="72"/>
  <c r="DL114" i="72" s="1"/>
  <c r="DL111" i="72"/>
  <c r="DL112" i="72" s="1"/>
  <c r="DL109" i="72"/>
  <c r="DL110" i="72" s="1"/>
  <c r="DL107" i="72"/>
  <c r="DL108" i="72" s="1"/>
  <c r="DL105" i="72"/>
  <c r="DL106" i="72" s="1"/>
  <c r="DL103" i="72"/>
  <c r="DL104" i="72" s="1"/>
  <c r="DL101" i="72"/>
  <c r="DL102" i="72" s="1"/>
  <c r="DL99" i="72"/>
  <c r="DL100" i="72" s="1"/>
  <c r="DL97" i="72"/>
  <c r="DL98" i="72" s="1"/>
  <c r="DL95" i="72"/>
  <c r="DL96" i="72" s="1"/>
  <c r="DL93" i="72"/>
  <c r="DL94" i="72" s="1"/>
  <c r="DL91" i="72"/>
  <c r="DL92" i="72" s="1"/>
  <c r="DL89" i="72"/>
  <c r="DL90" i="72" s="1"/>
  <c r="DL87" i="72"/>
  <c r="DL88" i="72" s="1"/>
  <c r="DL85" i="72"/>
  <c r="DL86" i="72" s="1"/>
  <c r="DL83" i="72"/>
  <c r="DL84" i="72" s="1"/>
  <c r="DL81" i="72"/>
  <c r="DL82" i="72" s="1"/>
  <c r="DL79" i="72"/>
  <c r="DL80" i="72" s="1"/>
  <c r="DL77" i="72"/>
  <c r="DL78" i="72" s="1"/>
  <c r="DL75" i="72"/>
  <c r="DL76" i="72" s="1"/>
  <c r="DL73" i="72"/>
  <c r="DL74" i="72" s="1"/>
  <c r="DL71" i="72"/>
  <c r="DL72" i="72" s="1"/>
  <c r="DL69" i="72"/>
  <c r="DL70" i="72" s="1"/>
  <c r="DL67" i="72"/>
  <c r="DL68" i="72" s="1"/>
  <c r="DH67" i="72"/>
  <c r="DH68" i="72" s="1"/>
  <c r="DH75" i="72"/>
  <c r="DH76" i="72" s="1"/>
  <c r="DH83" i="72"/>
  <c r="DH84" i="72" s="1"/>
  <c r="DH87" i="72"/>
  <c r="DH88" i="72" s="1"/>
  <c r="DH95" i="72"/>
  <c r="DH96" i="72" s="1"/>
  <c r="DH61" i="72"/>
  <c r="DH62" i="72" s="1"/>
  <c r="DH63" i="72"/>
  <c r="DH64" i="72" s="1"/>
  <c r="DH149" i="72"/>
  <c r="DH150" i="72" s="1"/>
  <c r="DH147" i="72"/>
  <c r="DH148" i="72" s="1"/>
  <c r="DH145" i="72"/>
  <c r="DH146" i="72" s="1"/>
  <c r="DH143" i="72"/>
  <c r="DH144" i="72" s="1"/>
  <c r="DH141" i="72"/>
  <c r="DH142" i="72" s="1"/>
  <c r="DH139" i="72"/>
  <c r="DH140" i="72" s="1"/>
  <c r="DH137" i="72"/>
  <c r="DH138" i="72" s="1"/>
  <c r="DH135" i="72"/>
  <c r="DH136" i="72" s="1"/>
  <c r="DH133" i="72"/>
  <c r="DH134" i="72" s="1"/>
  <c r="DH131" i="72"/>
  <c r="DH132" i="72" s="1"/>
  <c r="DH129" i="72"/>
  <c r="DH130" i="72" s="1"/>
  <c r="DH127" i="72"/>
  <c r="DH128" i="72" s="1"/>
  <c r="DH125" i="72"/>
  <c r="DH126" i="72" s="1"/>
  <c r="DH123" i="72"/>
  <c r="DH124" i="72" s="1"/>
  <c r="DH121" i="72"/>
  <c r="DH122" i="72" s="1"/>
  <c r="DH119" i="72"/>
  <c r="DH120" i="72" s="1"/>
  <c r="DH117" i="72"/>
  <c r="DH118" i="72" s="1"/>
  <c r="DH115" i="72"/>
  <c r="DH116" i="72" s="1"/>
  <c r="DH113" i="72"/>
  <c r="DH114" i="72" s="1"/>
  <c r="DH111" i="72"/>
  <c r="DH112" i="72" s="1"/>
  <c r="DH109" i="72"/>
  <c r="DH110" i="72" s="1"/>
  <c r="DH107" i="72"/>
  <c r="DH108" i="72" s="1"/>
  <c r="DH105" i="72"/>
  <c r="DH106" i="72" s="1"/>
  <c r="DH103" i="72"/>
  <c r="DH104" i="72" s="1"/>
  <c r="DH101" i="72"/>
  <c r="DH102" i="72" s="1"/>
  <c r="DH99" i="72"/>
  <c r="DH100" i="72" s="1"/>
  <c r="DH97" i="72"/>
  <c r="DH98" i="72" s="1"/>
  <c r="DG62" i="72"/>
  <c r="DH71" i="72"/>
  <c r="DH72" i="72" s="1"/>
  <c r="DH79" i="72"/>
  <c r="DH80" i="72" s="1"/>
  <c r="DH91" i="72"/>
  <c r="DH92" i="72" s="1"/>
  <c r="DH69" i="72"/>
  <c r="DH70" i="72" s="1"/>
  <c r="DH73" i="72"/>
  <c r="DH74" i="72" s="1"/>
  <c r="DH77" i="72"/>
  <c r="DH78" i="72" s="1"/>
  <c r="DH81" i="72"/>
  <c r="DH82" i="72" s="1"/>
  <c r="DH85" i="72"/>
  <c r="DH86" i="72" s="1"/>
  <c r="DH89" i="72"/>
  <c r="DH90" i="72" s="1"/>
  <c r="DH93" i="72"/>
  <c r="DH94" i="72" s="1"/>
  <c r="DC62" i="72"/>
  <c r="DC31" i="72"/>
  <c r="DD61" i="72" s="1"/>
  <c r="CY62" i="72"/>
  <c r="CY31" i="72"/>
  <c r="CZ61" i="72" s="1"/>
  <c r="DQ89" i="72" l="1"/>
  <c r="DO90" i="72"/>
  <c r="DQ90" i="72" s="1"/>
  <c r="DO91" i="72" s="1"/>
  <c r="EA89" i="72"/>
  <c r="DY85" i="72"/>
  <c r="DW86" i="72"/>
  <c r="DY86" i="72" s="1"/>
  <c r="DU87" i="72"/>
  <c r="DS88" i="72"/>
  <c r="DU88" i="72" s="1"/>
  <c r="GR82" i="72"/>
  <c r="GT82" i="72" s="1"/>
  <c r="GT81" i="72"/>
  <c r="DL62" i="72"/>
  <c r="DM62" i="72" s="1"/>
  <c r="DK63" i="72" s="1"/>
  <c r="DK64" i="72" s="1"/>
  <c r="DM64" i="72" s="1"/>
  <c r="DK65" i="72" s="1"/>
  <c r="DI61" i="72"/>
  <c r="DI62" i="72"/>
  <c r="DG63" i="72" s="1"/>
  <c r="DD149" i="72"/>
  <c r="DD150" i="72" s="1"/>
  <c r="DD147" i="72"/>
  <c r="DD148" i="72" s="1"/>
  <c r="DD145" i="72"/>
  <c r="DD146" i="72" s="1"/>
  <c r="DD143" i="72"/>
  <c r="DD144" i="72" s="1"/>
  <c r="DD141" i="72"/>
  <c r="DD142" i="72" s="1"/>
  <c r="DD139" i="72"/>
  <c r="DD140" i="72" s="1"/>
  <c r="DD137" i="72"/>
  <c r="DD138" i="72" s="1"/>
  <c r="DD135" i="72"/>
  <c r="DD136" i="72" s="1"/>
  <c r="DD133" i="72"/>
  <c r="DD134" i="72" s="1"/>
  <c r="DD131" i="72"/>
  <c r="DD132" i="72" s="1"/>
  <c r="DD129" i="72"/>
  <c r="DD130" i="72" s="1"/>
  <c r="DD127" i="72"/>
  <c r="DD128" i="72" s="1"/>
  <c r="DD125" i="72"/>
  <c r="DD126" i="72" s="1"/>
  <c r="DD123" i="72"/>
  <c r="DD124" i="72" s="1"/>
  <c r="DD121" i="72"/>
  <c r="DD122" i="72" s="1"/>
  <c r="DD119" i="72"/>
  <c r="DD120" i="72" s="1"/>
  <c r="DD117" i="72"/>
  <c r="DD118" i="72" s="1"/>
  <c r="DD115" i="72"/>
  <c r="DD116" i="72" s="1"/>
  <c r="DD113" i="72"/>
  <c r="DD114" i="72" s="1"/>
  <c r="DD111" i="72"/>
  <c r="DD112" i="72" s="1"/>
  <c r="DD109" i="72"/>
  <c r="DD110" i="72" s="1"/>
  <c r="DD107" i="72"/>
  <c r="DD108" i="72" s="1"/>
  <c r="DD105" i="72"/>
  <c r="DD106" i="72" s="1"/>
  <c r="DD103" i="72"/>
  <c r="DD104" i="72" s="1"/>
  <c r="DD101" i="72"/>
  <c r="DD102" i="72" s="1"/>
  <c r="DD99" i="72"/>
  <c r="DD100" i="72" s="1"/>
  <c r="DD97" i="72"/>
  <c r="DD98" i="72" s="1"/>
  <c r="DD95" i="72"/>
  <c r="DD96" i="72" s="1"/>
  <c r="DD93" i="72"/>
  <c r="DD94" i="72" s="1"/>
  <c r="DD91" i="72"/>
  <c r="DD92" i="72" s="1"/>
  <c r="DD89" i="72"/>
  <c r="DD90" i="72" s="1"/>
  <c r="DD87" i="72"/>
  <c r="DD88" i="72" s="1"/>
  <c r="DD85" i="72"/>
  <c r="DD86" i="72" s="1"/>
  <c r="DD83" i="72"/>
  <c r="DD84" i="72" s="1"/>
  <c r="DD81" i="72"/>
  <c r="DD82" i="72" s="1"/>
  <c r="DD79" i="72"/>
  <c r="DD80" i="72" s="1"/>
  <c r="DD77" i="72"/>
  <c r="DD78" i="72" s="1"/>
  <c r="DD75" i="72"/>
  <c r="DD76" i="72" s="1"/>
  <c r="DD73" i="72"/>
  <c r="DD74" i="72" s="1"/>
  <c r="DD71" i="72"/>
  <c r="DD72" i="72" s="1"/>
  <c r="DD69" i="72"/>
  <c r="DD70" i="72" s="1"/>
  <c r="DD67" i="72"/>
  <c r="DD68" i="72" s="1"/>
  <c r="DD65" i="72"/>
  <c r="DD66" i="72" s="1"/>
  <c r="DD63" i="72"/>
  <c r="DD64" i="72" s="1"/>
  <c r="CZ149" i="72"/>
  <c r="CZ150" i="72" s="1"/>
  <c r="CZ147" i="72"/>
  <c r="CZ148" i="72" s="1"/>
  <c r="CZ145" i="72"/>
  <c r="CZ146" i="72" s="1"/>
  <c r="CZ143" i="72"/>
  <c r="CZ144" i="72" s="1"/>
  <c r="CZ141" i="72"/>
  <c r="CZ142" i="72" s="1"/>
  <c r="CZ139" i="72"/>
  <c r="CZ140" i="72" s="1"/>
  <c r="CZ137" i="72"/>
  <c r="CZ138" i="72" s="1"/>
  <c r="CZ135" i="72"/>
  <c r="CZ136" i="72" s="1"/>
  <c r="CZ133" i="72"/>
  <c r="CZ134" i="72" s="1"/>
  <c r="CZ131" i="72"/>
  <c r="CZ132" i="72" s="1"/>
  <c r="CZ129" i="72"/>
  <c r="CZ130" i="72" s="1"/>
  <c r="CZ127" i="72"/>
  <c r="CZ128" i="72" s="1"/>
  <c r="CZ125" i="72"/>
  <c r="CZ126" i="72" s="1"/>
  <c r="CZ123" i="72"/>
  <c r="CZ124" i="72" s="1"/>
  <c r="CZ121" i="72"/>
  <c r="CZ122" i="72" s="1"/>
  <c r="CZ119" i="72"/>
  <c r="CZ120" i="72" s="1"/>
  <c r="CZ117" i="72"/>
  <c r="CZ118" i="72" s="1"/>
  <c r="CZ115" i="72"/>
  <c r="CZ116" i="72" s="1"/>
  <c r="CZ113" i="72"/>
  <c r="CZ114" i="72" s="1"/>
  <c r="CZ111" i="72"/>
  <c r="CZ112" i="72" s="1"/>
  <c r="CZ109" i="72"/>
  <c r="CZ110" i="72" s="1"/>
  <c r="CZ107" i="72"/>
  <c r="CZ108" i="72" s="1"/>
  <c r="CZ105" i="72"/>
  <c r="CZ106" i="72" s="1"/>
  <c r="CZ103" i="72"/>
  <c r="CZ104" i="72" s="1"/>
  <c r="CZ101" i="72"/>
  <c r="CZ102" i="72" s="1"/>
  <c r="CZ99" i="72"/>
  <c r="CZ100" i="72" s="1"/>
  <c r="CZ97" i="72"/>
  <c r="CZ98" i="72" s="1"/>
  <c r="CZ95" i="72"/>
  <c r="CZ96" i="72" s="1"/>
  <c r="CZ93" i="72"/>
  <c r="CZ94" i="72" s="1"/>
  <c r="CZ91" i="72"/>
  <c r="CZ92" i="72" s="1"/>
  <c r="CZ89" i="72"/>
  <c r="CZ90" i="72" s="1"/>
  <c r="CZ87" i="72"/>
  <c r="CZ88" i="72" s="1"/>
  <c r="CZ85" i="72"/>
  <c r="CZ86" i="72" s="1"/>
  <c r="CZ83" i="72"/>
  <c r="CZ84" i="72" s="1"/>
  <c r="CZ81" i="72"/>
  <c r="CZ82" i="72" s="1"/>
  <c r="CZ79" i="72"/>
  <c r="CZ80" i="72" s="1"/>
  <c r="CZ77" i="72"/>
  <c r="CZ78" i="72" s="1"/>
  <c r="CZ75" i="72"/>
  <c r="CZ76" i="72" s="1"/>
  <c r="CZ73" i="72"/>
  <c r="CZ74" i="72" s="1"/>
  <c r="CZ71" i="72"/>
  <c r="CZ72" i="72" s="1"/>
  <c r="CZ69" i="72"/>
  <c r="CZ70" i="72" s="1"/>
  <c r="CZ67" i="72"/>
  <c r="CZ68" i="72" s="1"/>
  <c r="CZ65" i="72"/>
  <c r="CZ66" i="72" s="1"/>
  <c r="CZ63" i="72"/>
  <c r="CZ64" i="72" s="1"/>
  <c r="DM63" i="72" l="1"/>
  <c r="DO92" i="72"/>
  <c r="DQ92" i="72" s="1"/>
  <c r="DO93" i="72" s="1"/>
  <c r="DQ91" i="72"/>
  <c r="EA90" i="72"/>
  <c r="EC90" i="72" s="1"/>
  <c r="EC89" i="72"/>
  <c r="DW87" i="72"/>
  <c r="DS89" i="72"/>
  <c r="GR83" i="72"/>
  <c r="DK66" i="72"/>
  <c r="DM66" i="72" s="1"/>
  <c r="DM65" i="72"/>
  <c r="DI63" i="72"/>
  <c r="DG64" i="72"/>
  <c r="DI64" i="72" s="1"/>
  <c r="DD62" i="72"/>
  <c r="DE62" i="72" s="1"/>
  <c r="DE61" i="72"/>
  <c r="CZ62" i="72"/>
  <c r="DA62" i="72" s="1"/>
  <c r="DA61" i="72"/>
  <c r="DQ93" i="72" l="1"/>
  <c r="DO94" i="72"/>
  <c r="DQ94" i="72" s="1"/>
  <c r="DO95" i="72" s="1"/>
  <c r="EA91" i="72"/>
  <c r="DY87" i="72"/>
  <c r="DW88" i="72"/>
  <c r="DY88" i="72" s="1"/>
  <c r="DU89" i="72"/>
  <c r="DS90" i="72"/>
  <c r="DU90" i="72" s="1"/>
  <c r="GT83" i="72"/>
  <c r="GR84" i="72"/>
  <c r="GT84" i="72" s="1"/>
  <c r="DK67" i="72"/>
  <c r="DG65" i="72"/>
  <c r="DC63" i="72"/>
  <c r="CY63" i="72"/>
  <c r="HQ30" i="72"/>
  <c r="HQ61" i="72" s="1"/>
  <c r="HQ62" i="72" s="1"/>
  <c r="HQ28" i="72"/>
  <c r="HQ29" i="72" s="1"/>
  <c r="H192" i="65"/>
  <c r="DO96" i="72" l="1"/>
  <c r="DQ96" i="72" s="1"/>
  <c r="DO97" i="72" s="1"/>
  <c r="DQ95" i="72"/>
  <c r="EC91" i="72"/>
  <c r="EA92" i="72"/>
  <c r="EC92" i="72" s="1"/>
  <c r="DW89" i="72"/>
  <c r="DS91" i="72"/>
  <c r="H194" i="65"/>
  <c r="H195" i="65" s="1"/>
  <c r="H159" i="48"/>
  <c r="DM67" i="72"/>
  <c r="DK68" i="72"/>
  <c r="DM68" i="72" s="1"/>
  <c r="DI65" i="72"/>
  <c r="DG66" i="72"/>
  <c r="DI66" i="72" s="1"/>
  <c r="DC64" i="72"/>
  <c r="DE64" i="72" s="1"/>
  <c r="DE63" i="72"/>
  <c r="CY64" i="72"/>
  <c r="DA64" i="72" s="1"/>
  <c r="DA63" i="72"/>
  <c r="HQ31" i="72"/>
  <c r="HR61" i="72" s="1"/>
  <c r="HR62" i="72" s="1"/>
  <c r="DO98" i="72" l="1"/>
  <c r="DQ98" i="72" s="1"/>
  <c r="DO99" i="72" s="1"/>
  <c r="DQ97" i="72"/>
  <c r="EA93" i="72"/>
  <c r="DY89" i="72"/>
  <c r="DW90" i="72"/>
  <c r="DY90" i="72" s="1"/>
  <c r="DU91" i="72"/>
  <c r="DS92" i="72"/>
  <c r="DU92" i="72" s="1"/>
  <c r="DK69" i="72"/>
  <c r="DG67" i="72"/>
  <c r="HS61" i="72"/>
  <c r="HS62" i="72" s="1"/>
  <c r="HT62" i="72" s="1"/>
  <c r="DC65" i="72"/>
  <c r="CY65" i="72"/>
  <c r="DO100" i="72" l="1"/>
  <c r="DQ100" i="72" s="1"/>
  <c r="DO101" i="72" s="1"/>
  <c r="DQ99" i="72"/>
  <c r="EA94" i="72"/>
  <c r="EC94" i="72" s="1"/>
  <c r="EC93" i="72"/>
  <c r="DW91" i="72"/>
  <c r="DS93" i="72"/>
  <c r="DM69" i="72"/>
  <c r="DK70" i="72"/>
  <c r="DM70" i="72" s="1"/>
  <c r="DG68" i="72"/>
  <c r="DI68" i="72" s="1"/>
  <c r="DI67" i="72"/>
  <c r="HT61" i="72"/>
  <c r="DC66" i="72"/>
  <c r="DE66" i="72" s="1"/>
  <c r="DE65" i="72"/>
  <c r="CY66" i="72"/>
  <c r="DA66" i="72" s="1"/>
  <c r="DA65" i="72"/>
  <c r="DO102" i="72" l="1"/>
  <c r="DQ102" i="72" s="1"/>
  <c r="DO103" i="72" s="1"/>
  <c r="DQ101" i="72"/>
  <c r="EA95" i="72"/>
  <c r="DY91" i="72"/>
  <c r="DW92" i="72"/>
  <c r="DY92" i="72" s="1"/>
  <c r="DU93" i="72"/>
  <c r="DS94" i="72"/>
  <c r="DU94" i="72" s="1"/>
  <c r="DK71" i="72"/>
  <c r="DG69" i="72"/>
  <c r="DC67" i="72"/>
  <c r="CY67" i="72"/>
  <c r="DO104" i="72" l="1"/>
  <c r="DQ104" i="72" s="1"/>
  <c r="DO105" i="72" s="1"/>
  <c r="DQ103" i="72"/>
  <c r="EA96" i="72"/>
  <c r="EC96" i="72" s="1"/>
  <c r="EC95" i="72"/>
  <c r="DW93" i="72"/>
  <c r="DS95" i="72"/>
  <c r="DM71" i="72"/>
  <c r="DK72" i="72"/>
  <c r="DM72" i="72" s="1"/>
  <c r="DI69" i="72"/>
  <c r="DG70" i="72"/>
  <c r="DI70" i="72" s="1"/>
  <c r="DE67" i="72"/>
  <c r="DC68" i="72"/>
  <c r="DE68" i="72" s="1"/>
  <c r="DA67" i="72"/>
  <c r="CY68" i="72"/>
  <c r="DA68" i="72" s="1"/>
  <c r="GN61" i="72"/>
  <c r="GN62" i="72" s="1"/>
  <c r="GN31" i="72"/>
  <c r="GO63" i="72" s="1"/>
  <c r="DO106" i="72" l="1"/>
  <c r="DQ106" i="72" s="1"/>
  <c r="DO107" i="72" s="1"/>
  <c r="DQ105" i="72"/>
  <c r="EA97" i="72"/>
  <c r="DY93" i="72"/>
  <c r="DW94" i="72"/>
  <c r="DY94" i="72" s="1"/>
  <c r="DS96" i="72"/>
  <c r="DU96" i="72" s="1"/>
  <c r="DU95" i="72"/>
  <c r="GO81" i="72"/>
  <c r="GO82" i="72" s="1"/>
  <c r="GO61" i="72"/>
  <c r="GO62" i="72" s="1"/>
  <c r="DK73" i="72"/>
  <c r="DG71" i="72"/>
  <c r="DC69" i="72"/>
  <c r="CY69" i="72"/>
  <c r="GO64" i="72"/>
  <c r="DO108" i="72" l="1"/>
  <c r="DQ108" i="72" s="1"/>
  <c r="DO109" i="72" s="1"/>
  <c r="DQ107" i="72"/>
  <c r="EA98" i="72"/>
  <c r="EC98" i="72" s="1"/>
  <c r="EC97" i="72"/>
  <c r="DW95" i="72"/>
  <c r="DS97" i="72"/>
  <c r="DM73" i="72"/>
  <c r="DK74" i="72"/>
  <c r="DM74" i="72" s="1"/>
  <c r="DG72" i="72"/>
  <c r="DI72" i="72" s="1"/>
  <c r="DI71" i="72"/>
  <c r="DE69" i="72"/>
  <c r="DC70" i="72"/>
  <c r="DE70" i="72" s="1"/>
  <c r="DA69" i="72"/>
  <c r="CY70" i="72"/>
  <c r="DA70" i="72" s="1"/>
  <c r="GP62" i="72"/>
  <c r="GN63" i="72" s="1"/>
  <c r="GO65" i="72"/>
  <c r="GO66" i="72" s="1"/>
  <c r="GO67" i="72" s="1"/>
  <c r="GO68" i="72" s="1"/>
  <c r="GO69" i="72" s="1"/>
  <c r="GO70" i="72" s="1"/>
  <c r="GO71" i="72" s="1"/>
  <c r="GO72" i="72" s="1"/>
  <c r="GO73" i="72" s="1"/>
  <c r="GO74" i="72" s="1"/>
  <c r="GO75" i="72" s="1"/>
  <c r="GO77" i="72" s="1"/>
  <c r="GO79" i="72" s="1"/>
  <c r="GP61" i="72"/>
  <c r="DO110" i="72" l="1"/>
  <c r="DQ110" i="72" s="1"/>
  <c r="DO111" i="72" s="1"/>
  <c r="DQ109" i="72"/>
  <c r="EA99" i="72"/>
  <c r="DY95" i="72"/>
  <c r="DW96" i="72"/>
  <c r="DY96" i="72" s="1"/>
  <c r="DS98" i="72"/>
  <c r="DU98" i="72" s="1"/>
  <c r="DU97" i="72"/>
  <c r="DK75" i="72"/>
  <c r="DG73" i="72"/>
  <c r="DC71" i="72"/>
  <c r="CY71" i="72"/>
  <c r="GO76" i="72"/>
  <c r="GO78" i="72" s="1"/>
  <c r="GO80" i="72" s="1"/>
  <c r="GN64" i="72"/>
  <c r="GP64" i="72" s="1"/>
  <c r="GP63" i="72"/>
  <c r="DO112" i="72" l="1"/>
  <c r="DQ112" i="72" s="1"/>
  <c r="DO113" i="72" s="1"/>
  <c r="DQ111" i="72"/>
  <c r="EA100" i="72"/>
  <c r="EC100" i="72" s="1"/>
  <c r="EC99" i="72"/>
  <c r="DW97" i="72"/>
  <c r="DS99" i="72"/>
  <c r="DM75" i="72"/>
  <c r="DK76" i="72"/>
  <c r="DM76" i="72" s="1"/>
  <c r="DG74" i="72"/>
  <c r="DI74" i="72" s="1"/>
  <c r="DI73" i="72"/>
  <c r="DE71" i="72"/>
  <c r="DC72" i="72"/>
  <c r="DE72" i="72" s="1"/>
  <c r="DA71" i="72"/>
  <c r="CY72" i="72"/>
  <c r="DA72" i="72" s="1"/>
  <c r="GN65" i="72"/>
  <c r="DO114" i="72" l="1"/>
  <c r="DQ114" i="72" s="1"/>
  <c r="DO115" i="72" s="1"/>
  <c r="DQ113" i="72"/>
  <c r="EA101" i="72"/>
  <c r="DY97" i="72"/>
  <c r="DW98" i="72"/>
  <c r="DY98" i="72" s="1"/>
  <c r="DS100" i="72"/>
  <c r="DU100" i="72" s="1"/>
  <c r="DU99" i="72"/>
  <c r="DK77" i="72"/>
  <c r="DG75" i="72"/>
  <c r="DC73" i="72"/>
  <c r="CY73" i="72"/>
  <c r="GN66" i="72"/>
  <c r="GP66" i="72" s="1"/>
  <c r="GP65" i="72"/>
  <c r="DO116" i="72" l="1"/>
  <c r="DQ116" i="72" s="1"/>
  <c r="DO117" i="72" s="1"/>
  <c r="DQ115" i="72"/>
  <c r="EA102" i="72"/>
  <c r="EC102" i="72" s="1"/>
  <c r="EC101" i="72"/>
  <c r="DW99" i="72"/>
  <c r="DS101" i="72"/>
  <c r="DM77" i="72"/>
  <c r="DK78" i="72"/>
  <c r="DM78" i="72" s="1"/>
  <c r="DG76" i="72"/>
  <c r="DI76" i="72" s="1"/>
  <c r="DI75" i="72"/>
  <c r="DE73" i="72"/>
  <c r="DC74" i="72"/>
  <c r="DE74" i="72" s="1"/>
  <c r="DA73" i="72"/>
  <c r="CY74" i="72"/>
  <c r="DA74" i="72" s="1"/>
  <c r="GN67" i="72"/>
  <c r="DO118" i="72" l="1"/>
  <c r="DQ118" i="72" s="1"/>
  <c r="DO119" i="72" s="1"/>
  <c r="DQ117" i="72"/>
  <c r="EA103" i="72"/>
  <c r="DY99" i="72"/>
  <c r="DW100" i="72"/>
  <c r="DY100" i="72" s="1"/>
  <c r="DS102" i="72"/>
  <c r="DU102" i="72" s="1"/>
  <c r="DU101" i="72"/>
  <c r="DK79" i="72"/>
  <c r="DG77" i="72"/>
  <c r="DC75" i="72"/>
  <c r="CY75" i="72"/>
  <c r="GN68" i="72"/>
  <c r="GP68" i="72" s="1"/>
  <c r="GP67" i="72"/>
  <c r="DO120" i="72" l="1"/>
  <c r="DQ120" i="72" s="1"/>
  <c r="DO121" i="72" s="1"/>
  <c r="DQ119" i="72"/>
  <c r="EA104" i="72"/>
  <c r="EC104" i="72" s="1"/>
  <c r="EC103" i="72"/>
  <c r="DW101" i="72"/>
  <c r="DS103" i="72"/>
  <c r="DM79" i="72"/>
  <c r="DK80" i="72"/>
  <c r="DM80" i="72" s="1"/>
  <c r="DI77" i="72"/>
  <c r="DG78" i="72"/>
  <c r="DI78" i="72" s="1"/>
  <c r="DE75" i="72"/>
  <c r="DC76" i="72"/>
  <c r="DE76" i="72" s="1"/>
  <c r="DA75" i="72"/>
  <c r="CY76" i="72"/>
  <c r="DA76" i="72" s="1"/>
  <c r="GN69" i="72"/>
  <c r="DO122" i="72" l="1"/>
  <c r="DQ122" i="72" s="1"/>
  <c r="DO123" i="72" s="1"/>
  <c r="DQ121" i="72"/>
  <c r="EA105" i="72"/>
  <c r="DY101" i="72"/>
  <c r="DW102" i="72"/>
  <c r="DY102" i="72" s="1"/>
  <c r="DS104" i="72"/>
  <c r="DU104" i="72" s="1"/>
  <c r="DU103" i="72"/>
  <c r="DK81" i="72"/>
  <c r="DG79" i="72"/>
  <c r="DC77" i="72"/>
  <c r="CY77" i="72"/>
  <c r="GP69" i="72"/>
  <c r="GN70" i="72"/>
  <c r="GP70" i="72" s="1"/>
  <c r="DO124" i="72" l="1"/>
  <c r="DQ124" i="72" s="1"/>
  <c r="DO125" i="72" s="1"/>
  <c r="DQ123" i="72"/>
  <c r="EA106" i="72"/>
  <c r="EC106" i="72" s="1"/>
  <c r="EC105" i="72"/>
  <c r="DW103" i="72"/>
  <c r="DS105" i="72"/>
  <c r="DM81" i="72"/>
  <c r="DK82" i="72"/>
  <c r="DM82" i="72" s="1"/>
  <c r="DG80" i="72"/>
  <c r="DI80" i="72" s="1"/>
  <c r="DI79" i="72"/>
  <c r="DE77" i="72"/>
  <c r="DC78" i="72"/>
  <c r="DE78" i="72" s="1"/>
  <c r="DA77" i="72"/>
  <c r="CY78" i="72"/>
  <c r="DA78" i="72" s="1"/>
  <c r="GN71" i="72"/>
  <c r="DO126" i="72" l="1"/>
  <c r="DQ126" i="72" s="1"/>
  <c r="DO127" i="72" s="1"/>
  <c r="DQ125" i="72"/>
  <c r="EA107" i="72"/>
  <c r="DY103" i="72"/>
  <c r="DW104" i="72"/>
  <c r="DY104" i="72" s="1"/>
  <c r="DU105" i="72"/>
  <c r="DS106" i="72"/>
  <c r="DU106" i="72" s="1"/>
  <c r="DK83" i="72"/>
  <c r="DG81" i="72"/>
  <c r="DC79" i="72"/>
  <c r="CY79" i="72"/>
  <c r="GP71" i="72"/>
  <c r="GN72" i="72"/>
  <c r="GP72" i="72" s="1"/>
  <c r="DO128" i="72" l="1"/>
  <c r="DQ128" i="72" s="1"/>
  <c r="DO129" i="72" s="1"/>
  <c r="DQ127" i="72"/>
  <c r="EA108" i="72"/>
  <c r="EC108" i="72" s="1"/>
  <c r="EC107" i="72"/>
  <c r="DW105" i="72"/>
  <c r="DS107" i="72"/>
  <c r="DM83" i="72"/>
  <c r="DK84" i="72"/>
  <c r="DM84" i="72" s="1"/>
  <c r="DG82" i="72"/>
  <c r="DI82" i="72" s="1"/>
  <c r="DI81" i="72"/>
  <c r="DE79" i="72"/>
  <c r="DC80" i="72"/>
  <c r="DE80" i="72" s="1"/>
  <c r="DA79" i="72"/>
  <c r="CY80" i="72"/>
  <c r="DA80" i="72" s="1"/>
  <c r="GN73" i="72"/>
  <c r="DO130" i="72" l="1"/>
  <c r="DQ130" i="72" s="1"/>
  <c r="DO131" i="72" s="1"/>
  <c r="DQ129" i="72"/>
  <c r="EA109" i="72"/>
  <c r="DY105" i="72"/>
  <c r="DW106" i="72"/>
  <c r="DY106" i="72" s="1"/>
  <c r="DU107" i="72"/>
  <c r="DS108" i="72"/>
  <c r="DU108" i="72" s="1"/>
  <c r="DK85" i="72"/>
  <c r="DG83" i="72"/>
  <c r="DC81" i="72"/>
  <c r="CY81" i="72"/>
  <c r="GP73" i="72"/>
  <c r="GN74" i="72"/>
  <c r="GP74" i="72" s="1"/>
  <c r="DQ131" i="72" l="1"/>
  <c r="DO132" i="72"/>
  <c r="DQ132" i="72" s="1"/>
  <c r="DO133" i="72" s="1"/>
  <c r="EA110" i="72"/>
  <c r="EC110" i="72" s="1"/>
  <c r="EC109" i="72"/>
  <c r="DW107" i="72"/>
  <c r="DS109" i="72"/>
  <c r="DM85" i="72"/>
  <c r="DK86" i="72"/>
  <c r="DM86" i="72" s="1"/>
  <c r="DG84" i="72"/>
  <c r="DI84" i="72" s="1"/>
  <c r="DI83" i="72"/>
  <c r="DE81" i="72"/>
  <c r="DC82" i="72"/>
  <c r="DE82" i="72" s="1"/>
  <c r="DA81" i="72"/>
  <c r="CY82" i="72"/>
  <c r="DA82" i="72" s="1"/>
  <c r="GN75" i="72"/>
  <c r="I51" i="65"/>
  <c r="I42" i="65"/>
  <c r="H186" i="48"/>
  <c r="H203" i="48"/>
  <c r="H19" i="48"/>
  <c r="H46" i="48"/>
  <c r="H40" i="48"/>
  <c r="H45" i="48"/>
  <c r="H51" i="65"/>
  <c r="H51" i="48" s="1"/>
  <c r="H23" i="48"/>
  <c r="H26" i="48"/>
  <c r="H25" i="48"/>
  <c r="H61" i="48" s="1"/>
  <c r="H59" i="48"/>
  <c r="H60" i="48"/>
  <c r="H57" i="48"/>
  <c r="H123" i="48"/>
  <c r="H127" i="48"/>
  <c r="H132" i="48"/>
  <c r="H138" i="48" s="1"/>
  <c r="H111" i="48"/>
  <c r="H113" i="48" s="1"/>
  <c r="H14" i="48"/>
  <c r="H16" i="48" s="1"/>
  <c r="H147" i="48"/>
  <c r="H149" i="48" s="1"/>
  <c r="H214" i="48"/>
  <c r="H145" i="48"/>
  <c r="H133" i="48"/>
  <c r="H158" i="48"/>
  <c r="H161" i="48"/>
  <c r="H162" i="48"/>
  <c r="H167" i="48"/>
  <c r="H168" i="48"/>
  <c r="E42" i="70"/>
  <c r="E33" i="70"/>
  <c r="E22" i="70"/>
  <c r="H230" i="48"/>
  <c r="H270" i="48"/>
  <c r="H278" i="48"/>
  <c r="I20" i="54"/>
  <c r="I34" i="54"/>
  <c r="I35" i="54"/>
  <c r="I36" i="54"/>
  <c r="I27" i="54"/>
  <c r="I40" i="54"/>
  <c r="I30" i="54"/>
  <c r="I29" i="54"/>
  <c r="I50" i="54"/>
  <c r="I62" i="54"/>
  <c r="I63" i="54"/>
  <c r="I64" i="54"/>
  <c r="H301" i="48"/>
  <c r="I149" i="65"/>
  <c r="I152" i="65"/>
  <c r="D160" i="65"/>
  <c r="D161" i="65"/>
  <c r="I168" i="65"/>
  <c r="H193" i="48"/>
  <c r="H196" i="48" s="1"/>
  <c r="H206" i="48" s="1"/>
  <c r="G192" i="65"/>
  <c r="G194" i="65" s="1"/>
  <c r="G195" i="65" s="1"/>
  <c r="D8" i="71"/>
  <c r="D21" i="71" s="1"/>
  <c r="D44" i="71" s="1"/>
  <c r="D33" i="71"/>
  <c r="D35" i="71" s="1"/>
  <c r="D36" i="71" s="1"/>
  <c r="D38" i="71" s="1"/>
  <c r="D39" i="71" s="1"/>
  <c r="D22" i="71" s="1"/>
  <c r="O30" i="72"/>
  <c r="O31" i="72" s="1"/>
  <c r="G43" i="72"/>
  <c r="G31" i="72"/>
  <c r="H43" i="72" s="1"/>
  <c r="H44" i="72" s="1"/>
  <c r="C43" i="72"/>
  <c r="C44" i="72" s="1"/>
  <c r="C31" i="72"/>
  <c r="D45" i="72" s="1"/>
  <c r="D46" i="72" s="1"/>
  <c r="K30" i="72"/>
  <c r="K31" i="72" s="1"/>
  <c r="L87" i="72" s="1"/>
  <c r="L88" i="72" s="1"/>
  <c r="S30" i="72"/>
  <c r="W45" i="72"/>
  <c r="W46" i="72" s="1"/>
  <c r="W31" i="72"/>
  <c r="X81" i="72" s="1"/>
  <c r="X82" i="72" s="1"/>
  <c r="AA45" i="72"/>
  <c r="AA46" i="72" s="1"/>
  <c r="AA31" i="72"/>
  <c r="AB53" i="72" s="1"/>
  <c r="AB54" i="72" s="1"/>
  <c r="AE30" i="72"/>
  <c r="AE45" i="72" s="1"/>
  <c r="AE46" i="72" s="1"/>
  <c r="AI47" i="72"/>
  <c r="AI48" i="72" s="1"/>
  <c r="AI31" i="72"/>
  <c r="AJ105" i="72" s="1"/>
  <c r="AJ106" i="72" s="1"/>
  <c r="AM47" i="72"/>
  <c r="AM48" i="72" s="1"/>
  <c r="AM31" i="72"/>
  <c r="AN131" i="72" s="1"/>
  <c r="AN132" i="72" s="1"/>
  <c r="AQ30" i="72"/>
  <c r="BS47" i="72"/>
  <c r="BS31" i="72"/>
  <c r="BT81" i="72" s="1"/>
  <c r="BT82" i="72" s="1"/>
  <c r="BW49" i="72"/>
  <c r="BW50" i="72" s="1"/>
  <c r="BW31" i="72"/>
  <c r="BX87" i="72" s="1"/>
  <c r="BX88" i="72" s="1"/>
  <c r="CA49" i="72"/>
  <c r="CA31" i="72"/>
  <c r="CB57" i="72" s="1"/>
  <c r="CB58" i="72" s="1"/>
  <c r="CE49" i="72"/>
  <c r="CE50" i="72" s="1"/>
  <c r="CE31" i="72"/>
  <c r="CI51" i="72"/>
  <c r="CI31" i="72"/>
  <c r="CJ75" i="72" s="1"/>
  <c r="CJ76" i="72" s="1"/>
  <c r="CM30" i="72"/>
  <c r="CQ30" i="72"/>
  <c r="CU59" i="72"/>
  <c r="CU60" i="72" s="1"/>
  <c r="CU31" i="72"/>
  <c r="CV91" i="72" s="1"/>
  <c r="CV92" i="72" s="1"/>
  <c r="H65" i="72"/>
  <c r="H66" i="72" s="1"/>
  <c r="AB65" i="72"/>
  <c r="AB66" i="72" s="1"/>
  <c r="AB69" i="72"/>
  <c r="AB70" i="72" s="1"/>
  <c r="BX69" i="72"/>
  <c r="BX70" i="72" s="1"/>
  <c r="AB73" i="72"/>
  <c r="AB74" i="72" s="1"/>
  <c r="AB75" i="72"/>
  <c r="AB76" i="72" s="1"/>
  <c r="CF75" i="72"/>
  <c r="CF76" i="72" s="1"/>
  <c r="H81" i="72"/>
  <c r="H82" i="72" s="1"/>
  <c r="AB85" i="72"/>
  <c r="AB86" i="72" s="1"/>
  <c r="D97" i="72"/>
  <c r="D98" i="72" s="1"/>
  <c r="AB97" i="72"/>
  <c r="AB98" i="72" s="1"/>
  <c r="CF101" i="72"/>
  <c r="CF102" i="72" s="1"/>
  <c r="AN107" i="72"/>
  <c r="AN108" i="72" s="1"/>
  <c r="BX111" i="72"/>
  <c r="BX112" i="72" s="1"/>
  <c r="P119" i="72"/>
  <c r="P120" i="72" s="1"/>
  <c r="AB121" i="72"/>
  <c r="AB122" i="72" s="1"/>
  <c r="AB125" i="72"/>
  <c r="AB126" i="72" s="1"/>
  <c r="AB127" i="72"/>
  <c r="AB128" i="72" s="1"/>
  <c r="D129" i="72"/>
  <c r="D130" i="72" s="1"/>
  <c r="CV23" i="72"/>
  <c r="CW23" i="72" s="1"/>
  <c r="CX23" i="72" s="1"/>
  <c r="G62" i="68"/>
  <c r="H62" i="68" s="1"/>
  <c r="GJ59" i="72"/>
  <c r="GJ60" i="72" s="1"/>
  <c r="GJ31" i="72"/>
  <c r="E97" i="68"/>
  <c r="GF57" i="72"/>
  <c r="GF58" i="72" s="1"/>
  <c r="GF31" i="72"/>
  <c r="GG59" i="72" s="1"/>
  <c r="GB57" i="72"/>
  <c r="GB31" i="72"/>
  <c r="GC57" i="72" s="1"/>
  <c r="FX57" i="72"/>
  <c r="FX31" i="72"/>
  <c r="FY59" i="72" s="1"/>
  <c r="FY60" i="72" s="1"/>
  <c r="FT57" i="72"/>
  <c r="FT58" i="72" s="1"/>
  <c r="FT31" i="72"/>
  <c r="FH55" i="72"/>
  <c r="FH31" i="72"/>
  <c r="FI59" i="72" s="1"/>
  <c r="EZ55" i="72"/>
  <c r="EZ56" i="72"/>
  <c r="EZ31" i="72"/>
  <c r="FL57" i="72"/>
  <c r="FL58" i="72" s="1"/>
  <c r="FP57" i="72"/>
  <c r="HI31" i="72"/>
  <c r="HI29" i="72"/>
  <c r="HI28" i="72"/>
  <c r="FP31" i="72"/>
  <c r="FL31" i="72"/>
  <c r="FM57" i="72" s="1"/>
  <c r="FD55" i="72"/>
  <c r="FD56" i="72" s="1"/>
  <c r="FD31" i="72"/>
  <c r="FE55" i="72" s="1"/>
  <c r="EV55" i="72"/>
  <c r="BO45" i="72"/>
  <c r="BO46" i="72" s="1"/>
  <c r="BK45" i="72"/>
  <c r="BK46" i="72" s="1"/>
  <c r="BG43" i="72"/>
  <c r="BG44" i="72" s="1"/>
  <c r="BC43" i="72"/>
  <c r="BC44" i="72" s="1"/>
  <c r="AY41" i="72"/>
  <c r="AU41" i="72"/>
  <c r="AU42" i="72" s="1"/>
  <c r="B40" i="72"/>
  <c r="B42" i="72" s="1"/>
  <c r="B44" i="72" s="1"/>
  <c r="B46" i="72" s="1"/>
  <c r="B48" i="72" s="1"/>
  <c r="B50" i="72" s="1"/>
  <c r="B52" i="72" s="1"/>
  <c r="B54" i="72" s="1"/>
  <c r="B56" i="72" s="1"/>
  <c r="B58" i="72" s="1"/>
  <c r="B60" i="72" s="1"/>
  <c r="B62" i="72" s="1"/>
  <c r="B64" i="72" s="1"/>
  <c r="B66" i="72" s="1"/>
  <c r="B68" i="72" s="1"/>
  <c r="B70" i="72" s="1"/>
  <c r="B72" i="72" s="1"/>
  <c r="B39" i="72"/>
  <c r="B41" i="72" s="1"/>
  <c r="B43" i="72" s="1"/>
  <c r="B45" i="72" s="1"/>
  <c r="B47" i="72" s="1"/>
  <c r="B49" i="72" s="1"/>
  <c r="B51" i="72" s="1"/>
  <c r="B53" i="72" s="1"/>
  <c r="B55" i="72" s="1"/>
  <c r="B57" i="72" s="1"/>
  <c r="B59" i="72" s="1"/>
  <c r="B61" i="72" s="1"/>
  <c r="B63" i="72" s="1"/>
  <c r="B65" i="72" s="1"/>
  <c r="B67" i="72" s="1"/>
  <c r="B69" i="72" s="1"/>
  <c r="B71" i="72" s="1"/>
  <c r="EV31" i="72"/>
  <c r="BO31" i="72"/>
  <c r="BP51" i="72" s="1"/>
  <c r="BP52" i="72" s="1"/>
  <c r="BK31" i="72"/>
  <c r="BL63" i="72" s="1"/>
  <c r="BL64" i="72" s="1"/>
  <c r="BG31" i="72"/>
  <c r="BH71" i="72" s="1"/>
  <c r="BH72" i="72" s="1"/>
  <c r="BC31" i="72"/>
  <c r="AY31" i="72"/>
  <c r="AU31" i="72"/>
  <c r="AV43" i="72" s="1"/>
  <c r="AV44" i="72" s="1"/>
  <c r="BO29" i="72"/>
  <c r="BK29" i="72"/>
  <c r="BG29" i="72"/>
  <c r="BC29" i="72"/>
  <c r="AY29" i="72"/>
  <c r="AU29" i="72"/>
  <c r="BO28" i="72"/>
  <c r="BK28" i="72"/>
  <c r="BG28" i="72"/>
  <c r="BC28" i="72"/>
  <c r="AY28" i="72"/>
  <c r="AU28" i="72"/>
  <c r="CJ23" i="72"/>
  <c r="CK23" i="72" s="1"/>
  <c r="CL23" i="72" s="1"/>
  <c r="CF23" i="72"/>
  <c r="CG23" i="72" s="1"/>
  <c r="CH23" i="72" s="1"/>
  <c r="BT23" i="72"/>
  <c r="BU23" i="72" s="1"/>
  <c r="BV23" i="72" s="1"/>
  <c r="BP23" i="72"/>
  <c r="BQ23" i="72" s="1"/>
  <c r="BR23" i="72" s="1"/>
  <c r="BL23" i="72"/>
  <c r="BM23" i="72" s="1"/>
  <c r="BN23" i="72" s="1"/>
  <c r="BH23" i="72"/>
  <c r="BI23" i="72" s="1"/>
  <c r="BJ23" i="72" s="1"/>
  <c r="BD23" i="72"/>
  <c r="BE23" i="72" s="1"/>
  <c r="BF23" i="72" s="1"/>
  <c r="AZ23" i="72"/>
  <c r="BA23" i="72" s="1"/>
  <c r="BB23" i="72" s="1"/>
  <c r="AV23" i="72"/>
  <c r="AW23" i="72" s="1"/>
  <c r="AX23" i="72" s="1"/>
  <c r="P23" i="72"/>
  <c r="Q23" i="72" s="1"/>
  <c r="R23" i="72" s="1"/>
  <c r="AZ49" i="72"/>
  <c r="AZ50" i="72" s="1"/>
  <c r="H79" i="65"/>
  <c r="F192" i="65"/>
  <c r="F294" i="48"/>
  <c r="F263" i="64" s="1"/>
  <c r="F195" i="65"/>
  <c r="F108" i="48"/>
  <c r="F91" i="64" s="1"/>
  <c r="F103" i="48"/>
  <c r="F86" i="64" s="1"/>
  <c r="F101" i="48"/>
  <c r="F84" i="64" s="1"/>
  <c r="I24" i="54"/>
  <c r="I25" i="65"/>
  <c r="H25" i="65"/>
  <c r="G238" i="65"/>
  <c r="G115" i="68"/>
  <c r="G116" i="68" s="1"/>
  <c r="G117" i="68" s="1"/>
  <c r="G118" i="68" s="1"/>
  <c r="G119" i="68" s="1"/>
  <c r="G120" i="68" s="1"/>
  <c r="G121" i="68" s="1"/>
  <c r="G122" i="68" s="1"/>
  <c r="G123" i="68" s="1"/>
  <c r="G124" i="68" s="1"/>
  <c r="G125" i="68" s="1"/>
  <c r="G126" i="68" s="1"/>
  <c r="G130" i="68" s="1"/>
  <c r="G131" i="68" s="1"/>
  <c r="G132" i="68" s="1"/>
  <c r="G133" i="68" s="1"/>
  <c r="G134" i="68" s="1"/>
  <c r="G135" i="68" s="1"/>
  <c r="G136" i="68" s="1"/>
  <c r="G137" i="68" s="1"/>
  <c r="G138" i="68" s="1"/>
  <c r="G139" i="68" s="1"/>
  <c r="G140" i="68" s="1"/>
  <c r="G141" i="68" s="1"/>
  <c r="D52" i="68"/>
  <c r="F109" i="68" s="1"/>
  <c r="E84" i="65"/>
  <c r="C84" i="65"/>
  <c r="D11" i="54"/>
  <c r="D155" i="68"/>
  <c r="C16" i="68"/>
  <c r="C17" i="68" s="1"/>
  <c r="B21" i="68"/>
  <c r="B155" i="68" s="1"/>
  <c r="A155" i="68"/>
  <c r="D151" i="68"/>
  <c r="B20" i="68"/>
  <c r="B151" i="68" s="1"/>
  <c r="A151" i="68"/>
  <c r="D106" i="68"/>
  <c r="B15" i="68"/>
  <c r="A106" i="68"/>
  <c r="C10" i="68"/>
  <c r="C11" i="68"/>
  <c r="C12" i="68" s="1"/>
  <c r="C13" i="68" s="1"/>
  <c r="C51" i="68" s="1"/>
  <c r="B10" i="68"/>
  <c r="A19" i="48"/>
  <c r="G29" i="68"/>
  <c r="H29" i="68" s="1"/>
  <c r="F30" i="68"/>
  <c r="E41" i="68"/>
  <c r="H116" i="68"/>
  <c r="H117" i="68" s="1"/>
  <c r="H118" i="68" s="1"/>
  <c r="H119" i="68" s="1"/>
  <c r="H120" i="68" s="1"/>
  <c r="H121" i="68" s="1"/>
  <c r="H122" i="68" s="1"/>
  <c r="H123" i="68" s="1"/>
  <c r="H124" i="68" s="1"/>
  <c r="H125" i="68" s="1"/>
  <c r="H126" i="68" s="1"/>
  <c r="C168" i="65"/>
  <c r="C167" i="65"/>
  <c r="E62" i="48"/>
  <c r="E56" i="64" s="1"/>
  <c r="E46" i="48"/>
  <c r="E40" i="64" s="1"/>
  <c r="E17" i="65" s="1"/>
  <c r="E20" i="48"/>
  <c r="E17" i="64" s="1"/>
  <c r="E57" i="65" s="1"/>
  <c r="E42" i="48"/>
  <c r="B15" i="70"/>
  <c r="B16" i="70"/>
  <c r="B17" i="70" s="1"/>
  <c r="B18" i="70" s="1"/>
  <c r="B19" i="70" s="1"/>
  <c r="B28" i="70" s="1"/>
  <c r="B29" i="70" s="1"/>
  <c r="B38" i="70" s="1"/>
  <c r="B39" i="70" s="1"/>
  <c r="B50" i="70" s="1"/>
  <c r="B51" i="70" s="1"/>
  <c r="B52" i="70" s="1"/>
  <c r="B53" i="70" s="1"/>
  <c r="B54" i="70" s="1"/>
  <c r="B55" i="70" s="1"/>
  <c r="B56" i="70" s="1"/>
  <c r="B57" i="70" s="1"/>
  <c r="B58" i="70" s="1"/>
  <c r="B59" i="70" s="1"/>
  <c r="B61" i="70" s="1"/>
  <c r="A1" i="70"/>
  <c r="A12" i="71"/>
  <c r="A13" i="71" s="1"/>
  <c r="A14" i="71" s="1"/>
  <c r="A15" i="71" s="1"/>
  <c r="A16" i="71" s="1"/>
  <c r="A17" i="71" s="1"/>
  <c r="A18" i="71" s="1"/>
  <c r="A19" i="71" s="1"/>
  <c r="A21" i="71" s="1"/>
  <c r="A1" i="71"/>
  <c r="G64" i="54"/>
  <c r="C19" i="54"/>
  <c r="D20" i="54"/>
  <c r="G20" i="54"/>
  <c r="D21" i="54"/>
  <c r="G21" i="54"/>
  <c r="D22" i="54"/>
  <c r="C24" i="54"/>
  <c r="E24" i="54"/>
  <c r="G24" i="54"/>
  <c r="C26" i="54"/>
  <c r="D27" i="54"/>
  <c r="G27" i="54"/>
  <c r="D28" i="54"/>
  <c r="E28" i="54"/>
  <c r="D29" i="54"/>
  <c r="E29" i="54"/>
  <c r="D30" i="54"/>
  <c r="E30" i="54"/>
  <c r="G30" i="54"/>
  <c r="D31" i="54"/>
  <c r="C33" i="54"/>
  <c r="D34" i="54"/>
  <c r="G34" i="54"/>
  <c r="D35" i="54"/>
  <c r="G35" i="54"/>
  <c r="D36" i="54"/>
  <c r="F36" i="54"/>
  <c r="G36" i="54"/>
  <c r="D38" i="54"/>
  <c r="F38" i="54"/>
  <c r="D39" i="54"/>
  <c r="D40" i="54"/>
  <c r="G40" i="54"/>
  <c r="D41" i="54"/>
  <c r="D42" i="54"/>
  <c r="D44" i="54"/>
  <c r="F44" i="54"/>
  <c r="D45" i="54"/>
  <c r="F45" i="54"/>
  <c r="D46" i="54"/>
  <c r="F46" i="54"/>
  <c r="D48" i="54"/>
  <c r="F48" i="54"/>
  <c r="D49" i="54"/>
  <c r="F49" i="54"/>
  <c r="D50" i="54"/>
  <c r="F50" i="54"/>
  <c r="D52" i="54"/>
  <c r="F52" i="54"/>
  <c r="D53" i="54"/>
  <c r="F53" i="54"/>
  <c r="D54" i="54"/>
  <c r="F54" i="54"/>
  <c r="C55" i="54"/>
  <c r="C57" i="54"/>
  <c r="C16" i="54"/>
  <c r="A1" i="54"/>
  <c r="E200" i="48"/>
  <c r="F35" i="54" s="1"/>
  <c r="F37" i="54" s="1"/>
  <c r="E215" i="48"/>
  <c r="E192" i="64" s="1"/>
  <c r="F203" i="48"/>
  <c r="F194" i="48"/>
  <c r="G29" i="54" s="1"/>
  <c r="E186" i="48"/>
  <c r="E21" i="54" s="1"/>
  <c r="G153" i="65"/>
  <c r="I160" i="65"/>
  <c r="I161" i="65"/>
  <c r="C220" i="65"/>
  <c r="B219" i="65"/>
  <c r="A217" i="65"/>
  <c r="F117" i="65"/>
  <c r="C117" i="65"/>
  <c r="G115" i="65" s="1"/>
  <c r="F134" i="65"/>
  <c r="C134" i="65"/>
  <c r="G132" i="65" s="1"/>
  <c r="C139" i="65"/>
  <c r="D127" i="65"/>
  <c r="G123" i="65"/>
  <c r="C180" i="65"/>
  <c r="G110" i="65"/>
  <c r="C28" i="65"/>
  <c r="F28" i="65"/>
  <c r="G54" i="65"/>
  <c r="G77" i="65" s="1"/>
  <c r="G82" i="65" s="1"/>
  <c r="G1" i="65"/>
  <c r="E270" i="48"/>
  <c r="E117" i="65" s="1"/>
  <c r="F112" i="48"/>
  <c r="F180" i="65" s="1"/>
  <c r="E111" i="48"/>
  <c r="E134" i="65" s="1"/>
  <c r="E127" i="48"/>
  <c r="E28" i="65" s="1"/>
  <c r="F16" i="64"/>
  <c r="F56" i="65" s="1"/>
  <c r="C16" i="64"/>
  <c r="C56" i="65" s="1"/>
  <c r="F52" i="64"/>
  <c r="F63" i="65" s="1"/>
  <c r="C52" i="64"/>
  <c r="C63" i="65" s="1"/>
  <c r="C40" i="64"/>
  <c r="C61" i="65" s="1"/>
  <c r="C38" i="64"/>
  <c r="C60" i="65" s="1"/>
  <c r="F37" i="64"/>
  <c r="F59" i="65" s="1"/>
  <c r="C37" i="64"/>
  <c r="C59" i="65" s="1"/>
  <c r="C17" i="64"/>
  <c r="C57" i="65" s="1"/>
  <c r="B36" i="64"/>
  <c r="B58" i="65" s="1"/>
  <c r="B15" i="64"/>
  <c r="B55" i="65" s="1"/>
  <c r="F45" i="64"/>
  <c r="F42" i="65" s="1"/>
  <c r="C45" i="64"/>
  <c r="C42" i="65" s="1"/>
  <c r="F272" i="64"/>
  <c r="F232" i="65" s="1"/>
  <c r="F247" i="64"/>
  <c r="F390" i="64" s="1"/>
  <c r="F94" i="64"/>
  <c r="C123" i="64"/>
  <c r="C110" i="65" s="1"/>
  <c r="F123" i="64"/>
  <c r="F110" i="65" s="1"/>
  <c r="C205" i="64"/>
  <c r="C104" i="65" s="1"/>
  <c r="C127" i="64"/>
  <c r="C97" i="65" s="1"/>
  <c r="F127" i="64"/>
  <c r="F97" i="65" s="1"/>
  <c r="B121" i="64"/>
  <c r="B96" i="65" s="1"/>
  <c r="C122" i="64"/>
  <c r="C91" i="65" s="1"/>
  <c r="F122" i="64"/>
  <c r="F91" i="65" s="1"/>
  <c r="C114" i="64"/>
  <c r="C89" i="65" s="1"/>
  <c r="F114" i="64"/>
  <c r="F89" i="65" s="1"/>
  <c r="B110" i="64"/>
  <c r="B88" i="65" s="1"/>
  <c r="C116" i="64"/>
  <c r="C79" i="65" s="1"/>
  <c r="F116" i="64"/>
  <c r="F79" i="65" s="1"/>
  <c r="C145" i="64"/>
  <c r="C36" i="65" s="1"/>
  <c r="F145" i="64"/>
  <c r="C146" i="64"/>
  <c r="C37" i="65" s="1"/>
  <c r="F146" i="64"/>
  <c r="C140" i="64"/>
  <c r="C34" i="65" s="1"/>
  <c r="F140" i="64"/>
  <c r="C111" i="64"/>
  <c r="C29" i="65" s="1"/>
  <c r="C82" i="64"/>
  <c r="C25" i="65" s="1"/>
  <c r="F82" i="64"/>
  <c r="F25" i="65" s="1"/>
  <c r="C23" i="65"/>
  <c r="F23" i="65"/>
  <c r="C56" i="64"/>
  <c r="C21" i="64"/>
  <c r="C11" i="65" s="1"/>
  <c r="F21" i="64"/>
  <c r="C22" i="64"/>
  <c r="C12" i="65" s="1"/>
  <c r="F22" i="64"/>
  <c r="F12" i="65" s="1"/>
  <c r="C23" i="64"/>
  <c r="C13" i="65" s="1"/>
  <c r="F23" i="64"/>
  <c r="C247" i="64"/>
  <c r="C272" i="64"/>
  <c r="C232" i="65" s="1"/>
  <c r="G230" i="65" s="1"/>
  <c r="C94" i="64"/>
  <c r="C175" i="65" s="1"/>
  <c r="G173" i="65" s="1"/>
  <c r="E16" i="64"/>
  <c r="E56" i="65" s="1"/>
  <c r="E52" i="64"/>
  <c r="E63" i="65" s="1"/>
  <c r="E37" i="64"/>
  <c r="E59" i="65" s="1"/>
  <c r="E51" i="48"/>
  <c r="E45" i="64" s="1"/>
  <c r="E42" i="65" s="1"/>
  <c r="E278" i="48"/>
  <c r="E247" i="64" s="1"/>
  <c r="E209" i="65" s="1"/>
  <c r="E144" i="48"/>
  <c r="E123" i="64" s="1"/>
  <c r="E110" i="65" s="1"/>
  <c r="E205" i="64"/>
  <c r="E104" i="65" s="1"/>
  <c r="E148" i="48"/>
  <c r="E127" i="64" s="1"/>
  <c r="E97" i="65" s="1"/>
  <c r="E143" i="48"/>
  <c r="E122" i="64" s="1"/>
  <c r="E91" i="65" s="1"/>
  <c r="E135" i="48"/>
  <c r="E114" i="64" s="1"/>
  <c r="E89" i="65" s="1"/>
  <c r="E137" i="48"/>
  <c r="E116" i="64" s="1"/>
  <c r="E79" i="65" s="1"/>
  <c r="E167" i="48"/>
  <c r="E145" i="64" s="1"/>
  <c r="E36" i="65" s="1"/>
  <c r="E168" i="48"/>
  <c r="E146" i="64" s="1"/>
  <c r="E37" i="65" s="1"/>
  <c r="E162" i="48"/>
  <c r="E140" i="64" s="1"/>
  <c r="E34" i="65" s="1"/>
  <c r="E131" i="48"/>
  <c r="E111" i="64" s="1"/>
  <c r="E29" i="65" s="1"/>
  <c r="E99" i="48"/>
  <c r="E82" i="64" s="1"/>
  <c r="E25" i="65" s="1"/>
  <c r="E23" i="65"/>
  <c r="C61" i="48"/>
  <c r="C55" i="64" s="1"/>
  <c r="E24" i="48"/>
  <c r="E21" i="64" s="1"/>
  <c r="E11" i="65" s="1"/>
  <c r="E25" i="48"/>
  <c r="E22" i="64" s="1"/>
  <c r="E12" i="65" s="1"/>
  <c r="E26" i="48"/>
  <c r="E23" i="64" s="1"/>
  <c r="E13" i="65" s="1"/>
  <c r="F40" i="64"/>
  <c r="F61" i="65" s="1"/>
  <c r="E55" i="64"/>
  <c r="F42" i="48"/>
  <c r="E38" i="64" s="1"/>
  <c r="E60" i="65" s="1"/>
  <c r="F205" i="64"/>
  <c r="F104" i="65" s="1"/>
  <c r="E272" i="64"/>
  <c r="E232" i="65" s="1"/>
  <c r="A1" i="73"/>
  <c r="F86" i="68"/>
  <c r="F63" i="68"/>
  <c r="F64" i="68" s="1"/>
  <c r="G64" i="68" s="1"/>
  <c r="H64" i="68" s="1"/>
  <c r="A78" i="68"/>
  <c r="D78" i="68"/>
  <c r="E109" i="68"/>
  <c r="G109" i="68"/>
  <c r="D45" i="68"/>
  <c r="G85" i="68"/>
  <c r="H85" i="68" s="1"/>
  <c r="D60" i="68"/>
  <c r="E116" i="68"/>
  <c r="E117" i="68" s="1"/>
  <c r="E118" i="68" s="1"/>
  <c r="E119" i="68" s="1"/>
  <c r="E120" i="68" s="1"/>
  <c r="E121" i="68" s="1"/>
  <c r="E122" i="68" s="1"/>
  <c r="E123" i="68" s="1"/>
  <c r="E124" i="68" s="1"/>
  <c r="E125" i="68" s="1"/>
  <c r="E126" i="68" s="1"/>
  <c r="E130" i="68" s="1"/>
  <c r="E131" i="68" s="1"/>
  <c r="E132" i="68" s="1"/>
  <c r="E133" i="68" s="1"/>
  <c r="E134" i="68" s="1"/>
  <c r="E135" i="68" s="1"/>
  <c r="E136" i="68" s="1"/>
  <c r="E137" i="68" s="1"/>
  <c r="E138" i="68" s="1"/>
  <c r="E139" i="68" s="1"/>
  <c r="E140" i="68" s="1"/>
  <c r="E141" i="68" s="1"/>
  <c r="D56" i="68"/>
  <c r="D51" i="68"/>
  <c r="D27" i="68"/>
  <c r="D24" i="68"/>
  <c r="E152" i="68"/>
  <c r="D141" i="68"/>
  <c r="D140" i="68"/>
  <c r="D139" i="68"/>
  <c r="D138" i="68"/>
  <c r="D137" i="68"/>
  <c r="D136" i="68"/>
  <c r="D135" i="68"/>
  <c r="D134" i="68"/>
  <c r="D133" i="68"/>
  <c r="D132" i="68"/>
  <c r="D131" i="68"/>
  <c r="D130" i="68"/>
  <c r="E74" i="68"/>
  <c r="A60" i="68"/>
  <c r="C56" i="68"/>
  <c r="A56" i="68"/>
  <c r="B51" i="68"/>
  <c r="A51" i="68"/>
  <c r="C24" i="68"/>
  <c r="C27" i="68" s="1"/>
  <c r="C45" i="68" s="1"/>
  <c r="C48" i="68" s="1"/>
  <c r="B48" i="68"/>
  <c r="B24" i="68"/>
  <c r="B27" i="68" s="1"/>
  <c r="B45" i="68" s="1"/>
  <c r="A24" i="68"/>
  <c r="A1" i="68"/>
  <c r="C17" i="72"/>
  <c r="C12" i="72"/>
  <c r="C11" i="72"/>
  <c r="A1" i="72"/>
  <c r="C18" i="53"/>
  <c r="C14" i="53"/>
  <c r="B14" i="53"/>
  <c r="A1" i="53"/>
  <c r="A12" i="48"/>
  <c r="A8" i="64" s="1"/>
  <c r="F48" i="48"/>
  <c r="F42" i="64" s="1"/>
  <c r="C60" i="48"/>
  <c r="C54" i="64" s="1"/>
  <c r="C64" i="48"/>
  <c r="C58" i="64" s="1"/>
  <c r="F64" i="48"/>
  <c r="F58" i="64" s="1"/>
  <c r="F100" i="48"/>
  <c r="F83" i="64" s="1"/>
  <c r="F139" i="48"/>
  <c r="F118" i="64" s="1"/>
  <c r="F170" i="48"/>
  <c r="F148" i="64" s="1"/>
  <c r="C269" i="48"/>
  <c r="C238" i="64" s="1"/>
  <c r="C294" i="48"/>
  <c r="C263" i="64" s="1"/>
  <c r="E211" i="64"/>
  <c r="C283" i="48"/>
  <c r="C252" i="64" s="1"/>
  <c r="E95" i="48"/>
  <c r="E77" i="64" s="1"/>
  <c r="D203" i="48"/>
  <c r="E126" i="48"/>
  <c r="C32" i="55"/>
  <c r="C33" i="55" s="1"/>
  <c r="C28" i="55"/>
  <c r="D62" i="55" s="1"/>
  <c r="D63" i="55" s="1"/>
  <c r="K34" i="55"/>
  <c r="K35" i="55" s="1"/>
  <c r="K28" i="55"/>
  <c r="L42" i="55"/>
  <c r="L43" i="55" s="1"/>
  <c r="G34" i="55"/>
  <c r="G35" i="55" s="1"/>
  <c r="G28" i="55"/>
  <c r="H62" i="55" s="1"/>
  <c r="H63" i="55" s="1"/>
  <c r="AI28" i="55"/>
  <c r="AJ40" i="55" s="1"/>
  <c r="AJ41" i="55" s="1"/>
  <c r="AE28" i="55"/>
  <c r="AF42" i="55" s="1"/>
  <c r="AF43" i="55" s="1"/>
  <c r="AA28" i="55"/>
  <c r="AB38" i="55" s="1"/>
  <c r="W28" i="55"/>
  <c r="X46" i="55" s="1"/>
  <c r="X47" i="55" s="1"/>
  <c r="S28" i="55"/>
  <c r="T40" i="55" s="1"/>
  <c r="T41" i="55" s="1"/>
  <c r="T38" i="55"/>
  <c r="T39" i="55" s="1"/>
  <c r="O28" i="55"/>
  <c r="P60" i="55" s="1"/>
  <c r="P61" i="55" s="1"/>
  <c r="C16" i="55"/>
  <c r="C11" i="55"/>
  <c r="C10" i="55"/>
  <c r="S36" i="55"/>
  <c r="S37" i="55" s="1"/>
  <c r="O36" i="55"/>
  <c r="O37" i="55" s="1"/>
  <c r="AA38" i="55"/>
  <c r="AA39" i="55" s="1"/>
  <c r="W38" i="55"/>
  <c r="W39" i="55" s="1"/>
  <c r="AI40" i="55"/>
  <c r="AI41" i="55" s="1"/>
  <c r="AK41" i="55" s="1"/>
  <c r="AI42" i="55" s="1"/>
  <c r="AE40" i="55"/>
  <c r="AE41" i="55" s="1"/>
  <c r="AO72" i="55"/>
  <c r="AN73" i="55"/>
  <c r="AJ21" i="55"/>
  <c r="AK21" i="55" s="1"/>
  <c r="AL21" i="55" s="1"/>
  <c r="AF21" i="55"/>
  <c r="AG21" i="55" s="1"/>
  <c r="AH21" i="55"/>
  <c r="AB21" i="55"/>
  <c r="AC21" i="55" s="1"/>
  <c r="AD21" i="55" s="1"/>
  <c r="X21" i="55"/>
  <c r="Y21" i="55" s="1"/>
  <c r="Z21" i="55" s="1"/>
  <c r="T21" i="55"/>
  <c r="U21" i="55" s="1"/>
  <c r="V21" i="55" s="1"/>
  <c r="P21" i="55"/>
  <c r="Q21" i="55" s="1"/>
  <c r="R21" i="55" s="1"/>
  <c r="L21" i="55"/>
  <c r="M21" i="55" s="1"/>
  <c r="N21" i="55" s="1"/>
  <c r="D21" i="55"/>
  <c r="E21" i="55" s="1"/>
  <c r="F21" i="55" s="1"/>
  <c r="B35" i="55"/>
  <c r="B37" i="55" s="1"/>
  <c r="B39" i="55" s="1"/>
  <c r="B41" i="55" s="1"/>
  <c r="B43" i="55" s="1"/>
  <c r="B45" i="55" s="1"/>
  <c r="B47" i="55" s="1"/>
  <c r="B49" i="55" s="1"/>
  <c r="B51" i="55" s="1"/>
  <c r="B53" i="55" s="1"/>
  <c r="B55" i="55" s="1"/>
  <c r="B57" i="55" s="1"/>
  <c r="B59" i="55" s="1"/>
  <c r="B61" i="55" s="1"/>
  <c r="B63" i="55" s="1"/>
  <c r="B65" i="55" s="1"/>
  <c r="B67" i="55" s="1"/>
  <c r="B69" i="55" s="1"/>
  <c r="B71" i="55" s="1"/>
  <c r="B34" i="55"/>
  <c r="B36" i="55" s="1"/>
  <c r="B38" i="55" s="1"/>
  <c r="B40" i="55" s="1"/>
  <c r="B42" i="55" s="1"/>
  <c r="B44" i="55" s="1"/>
  <c r="B46" i="55" s="1"/>
  <c r="B48" i="55" s="1"/>
  <c r="B50" i="55" s="1"/>
  <c r="B52" i="55" s="1"/>
  <c r="B54" i="55" s="1"/>
  <c r="B56" i="55" s="1"/>
  <c r="B58" i="55" s="1"/>
  <c r="B60" i="55" s="1"/>
  <c r="B62" i="55" s="1"/>
  <c r="B64" i="55" s="1"/>
  <c r="B66" i="55" s="1"/>
  <c r="B68" i="55" s="1"/>
  <c r="B70" i="55" s="1"/>
  <c r="L16" i="55"/>
  <c r="L10" i="55"/>
  <c r="O25" i="55" s="1"/>
  <c r="L11" i="55"/>
  <c r="F111" i="64"/>
  <c r="C77" i="64"/>
  <c r="F77" i="64"/>
  <c r="C239" i="64"/>
  <c r="F239" i="64"/>
  <c r="O3" i="64"/>
  <c r="Q3" i="64"/>
  <c r="P3" i="64"/>
  <c r="N3" i="64"/>
  <c r="M3" i="64"/>
  <c r="K3" i="64"/>
  <c r="L3" i="64"/>
  <c r="J3" i="64"/>
  <c r="I3" i="64"/>
  <c r="H3" i="64"/>
  <c r="B245" i="64"/>
  <c r="B389" i="64" s="1"/>
  <c r="I408" i="64"/>
  <c r="G406" i="64"/>
  <c r="G354" i="64"/>
  <c r="G313" i="64"/>
  <c r="G323" i="64" s="1"/>
  <c r="B5" i="64"/>
  <c r="A6" i="64"/>
  <c r="C6" i="64"/>
  <c r="F6" i="64"/>
  <c r="C8" i="64"/>
  <c r="F8" i="64"/>
  <c r="C9" i="64"/>
  <c r="F9" i="64"/>
  <c r="C10" i="64"/>
  <c r="A12" i="64"/>
  <c r="B12" i="64"/>
  <c r="C18" i="64"/>
  <c r="C20" i="64"/>
  <c r="F20" i="64"/>
  <c r="C24" i="64"/>
  <c r="C26" i="64"/>
  <c r="C28" i="64"/>
  <c r="B29" i="64"/>
  <c r="C31" i="64"/>
  <c r="B32" i="64"/>
  <c r="A34" i="64"/>
  <c r="A35" i="64"/>
  <c r="C39" i="64"/>
  <c r="F39" i="64"/>
  <c r="C41" i="64"/>
  <c r="C42" i="64"/>
  <c r="C43" i="64"/>
  <c r="B47" i="64"/>
  <c r="B49" i="64"/>
  <c r="C51" i="64"/>
  <c r="F51" i="64"/>
  <c r="C53" i="64"/>
  <c r="F53" i="64"/>
  <c r="C57" i="64"/>
  <c r="C59" i="64"/>
  <c r="B61" i="64"/>
  <c r="B63" i="64"/>
  <c r="A65" i="64"/>
  <c r="B67" i="64"/>
  <c r="C68" i="64"/>
  <c r="F68" i="64"/>
  <c r="C69" i="64"/>
  <c r="F69" i="64"/>
  <c r="C70" i="64"/>
  <c r="C73" i="64"/>
  <c r="B76" i="64"/>
  <c r="C78" i="64"/>
  <c r="C79" i="64"/>
  <c r="B81" i="64"/>
  <c r="C83" i="64"/>
  <c r="C84" i="64"/>
  <c r="C85" i="64"/>
  <c r="F85" i="64"/>
  <c r="C86" i="64"/>
  <c r="B88" i="64"/>
  <c r="C89" i="64"/>
  <c r="C90" i="64"/>
  <c r="F90" i="64"/>
  <c r="C91" i="64"/>
  <c r="B93" i="64"/>
  <c r="C95" i="64"/>
  <c r="C96" i="64"/>
  <c r="B98" i="64"/>
  <c r="B100" i="64"/>
  <c r="A102" i="64"/>
  <c r="B104" i="64"/>
  <c r="C105" i="64"/>
  <c r="F105" i="64"/>
  <c r="C106" i="64"/>
  <c r="F106" i="64"/>
  <c r="C107" i="64"/>
  <c r="F107" i="64"/>
  <c r="C108" i="64"/>
  <c r="C112" i="64"/>
  <c r="F112" i="64"/>
  <c r="C113" i="64"/>
  <c r="F113" i="64"/>
  <c r="C115" i="64"/>
  <c r="F115" i="64"/>
  <c r="C117" i="64"/>
  <c r="C118" i="64"/>
  <c r="C119" i="64"/>
  <c r="C124" i="64"/>
  <c r="C126" i="64"/>
  <c r="F126" i="64"/>
  <c r="C128" i="64"/>
  <c r="C129" i="64"/>
  <c r="C130" i="64"/>
  <c r="C132" i="64"/>
  <c r="A134" i="64"/>
  <c r="B136" i="64"/>
  <c r="C137" i="64"/>
  <c r="F137" i="64"/>
  <c r="C139" i="64"/>
  <c r="F139" i="64"/>
  <c r="C141" i="64"/>
  <c r="C142" i="64"/>
  <c r="C143" i="64"/>
  <c r="C147" i="64"/>
  <c r="C148" i="64"/>
  <c r="C149" i="64"/>
  <c r="B152" i="64"/>
  <c r="A154" i="64"/>
  <c r="B156" i="64"/>
  <c r="F156" i="64"/>
  <c r="B158" i="64"/>
  <c r="A160" i="64"/>
  <c r="B162" i="64"/>
  <c r="C163" i="64"/>
  <c r="F163" i="64"/>
  <c r="C164" i="64"/>
  <c r="F164" i="64"/>
  <c r="C165" i="64"/>
  <c r="B167" i="64"/>
  <c r="E167" i="64"/>
  <c r="F167" i="64"/>
  <c r="B169" i="64"/>
  <c r="C170" i="64"/>
  <c r="F170" i="64"/>
  <c r="C171" i="64"/>
  <c r="E171" i="64"/>
  <c r="C172" i="64"/>
  <c r="C173" i="64"/>
  <c r="E173" i="64"/>
  <c r="F173" i="64"/>
  <c r="C174" i="64"/>
  <c r="B176" i="64"/>
  <c r="C177" i="64"/>
  <c r="F177" i="64"/>
  <c r="C178" i="64"/>
  <c r="F178" i="64"/>
  <c r="C179" i="64"/>
  <c r="E179" i="64"/>
  <c r="F179" i="64"/>
  <c r="C180" i="64"/>
  <c r="E180" i="64"/>
  <c r="C181" i="64"/>
  <c r="C182" i="64"/>
  <c r="F182" i="64"/>
  <c r="C183" i="64"/>
  <c r="C184" i="64"/>
  <c r="C186" i="64"/>
  <c r="D186" i="64"/>
  <c r="C187" i="64"/>
  <c r="D187" i="64"/>
  <c r="C188" i="64"/>
  <c r="D188" i="64"/>
  <c r="C190" i="64"/>
  <c r="D190" i="64"/>
  <c r="C191" i="64"/>
  <c r="D191" i="64"/>
  <c r="C192" i="64"/>
  <c r="D192" i="64"/>
  <c r="F192" i="64"/>
  <c r="C194" i="64"/>
  <c r="D194" i="64"/>
  <c r="C195" i="64"/>
  <c r="D195" i="64"/>
  <c r="C196" i="64"/>
  <c r="D196" i="64"/>
  <c r="B197" i="64"/>
  <c r="B199" i="64"/>
  <c r="A201" i="64"/>
  <c r="A203" i="64"/>
  <c r="B203" i="64"/>
  <c r="C204" i="64"/>
  <c r="F204" i="64"/>
  <c r="C206" i="64"/>
  <c r="D206" i="64"/>
  <c r="F206" i="64"/>
  <c r="C207" i="64"/>
  <c r="D207" i="64"/>
  <c r="C208" i="64"/>
  <c r="B210" i="64"/>
  <c r="C211" i="64"/>
  <c r="F211" i="64"/>
  <c r="C212" i="64"/>
  <c r="C213" i="64"/>
  <c r="C214" i="64"/>
  <c r="B218" i="64"/>
  <c r="D218" i="64"/>
  <c r="B220" i="64"/>
  <c r="A222" i="64"/>
  <c r="B224" i="64"/>
  <c r="C225" i="64"/>
  <c r="C226" i="64"/>
  <c r="C227" i="64"/>
  <c r="C229" i="64"/>
  <c r="C230" i="64"/>
  <c r="C231" i="64"/>
  <c r="C232" i="64"/>
  <c r="C233" i="64"/>
  <c r="C235" i="64"/>
  <c r="B237" i="64"/>
  <c r="C240" i="64"/>
  <c r="C241" i="64"/>
  <c r="C242" i="64"/>
  <c r="C243" i="64"/>
  <c r="C246" i="64"/>
  <c r="F246" i="64"/>
  <c r="C249" i="64"/>
  <c r="B251" i="64"/>
  <c r="C253" i="64"/>
  <c r="C254" i="64"/>
  <c r="C255" i="64"/>
  <c r="C256" i="64"/>
  <c r="B259" i="64"/>
  <c r="C260" i="64"/>
  <c r="C261" i="64"/>
  <c r="F261" i="64"/>
  <c r="C262" i="64"/>
  <c r="C264" i="64"/>
  <c r="C265" i="64"/>
  <c r="C267" i="64"/>
  <c r="C268" i="64"/>
  <c r="F268" i="64"/>
  <c r="C269" i="64"/>
  <c r="B271" i="64"/>
  <c r="C273" i="64"/>
  <c r="D273" i="64"/>
  <c r="C275" i="64"/>
  <c r="E214" i="64"/>
  <c r="A69" i="64"/>
  <c r="A70" i="64"/>
  <c r="F70" i="64"/>
  <c r="A104" i="64"/>
  <c r="F78" i="64"/>
  <c r="F142" i="64"/>
  <c r="A78" i="64"/>
  <c r="F214" i="64"/>
  <c r="F171" i="64"/>
  <c r="A268" i="64"/>
  <c r="L54" i="55"/>
  <c r="L55" i="55" s="1"/>
  <c r="L50" i="55"/>
  <c r="L51" i="55" s="1"/>
  <c r="E112" i="48"/>
  <c r="F54" i="64"/>
  <c r="F238" i="64"/>
  <c r="F253" i="64"/>
  <c r="F79" i="64"/>
  <c r="A77" i="64"/>
  <c r="A79" i="64"/>
  <c r="A82" i="64"/>
  <c r="A83" i="64"/>
  <c r="A84" i="64"/>
  <c r="A85" i="64"/>
  <c r="A86" i="64"/>
  <c r="A89" i="64"/>
  <c r="A90" i="64"/>
  <c r="A91" i="64"/>
  <c r="A94" i="64"/>
  <c r="A374" i="64" s="1"/>
  <c r="A95" i="64"/>
  <c r="F96" i="64"/>
  <c r="A96" i="64"/>
  <c r="F98" i="64"/>
  <c r="F226" i="64"/>
  <c r="A98" i="64"/>
  <c r="F100" i="64"/>
  <c r="A100" i="64"/>
  <c r="F227" i="64"/>
  <c r="A105" i="64"/>
  <c r="A106" i="64"/>
  <c r="F108" i="64"/>
  <c r="A107" i="64"/>
  <c r="A108" i="64"/>
  <c r="A111" i="64"/>
  <c r="A112" i="64"/>
  <c r="A113" i="64"/>
  <c r="A114" i="64"/>
  <c r="A115" i="64"/>
  <c r="A116" i="64"/>
  <c r="F117" i="64"/>
  <c r="F119" i="64"/>
  <c r="A117" i="64"/>
  <c r="A118" i="64"/>
  <c r="A119" i="64"/>
  <c r="A122" i="64"/>
  <c r="F124" i="64"/>
  <c r="A123" i="64"/>
  <c r="A124" i="64"/>
  <c r="A126" i="64"/>
  <c r="F128" i="64"/>
  <c r="A127" i="64"/>
  <c r="A128" i="64"/>
  <c r="F130" i="64"/>
  <c r="A129" i="64"/>
  <c r="A130" i="64"/>
  <c r="F132" i="64"/>
  <c r="F229" i="64"/>
  <c r="F89" i="64"/>
  <c r="A132" i="64"/>
  <c r="A137" i="64"/>
  <c r="A139" i="64"/>
  <c r="F141" i="64"/>
  <c r="A140" i="64"/>
  <c r="F143" i="64"/>
  <c r="A141" i="64"/>
  <c r="A142" i="64"/>
  <c r="A143" i="64"/>
  <c r="A145" i="64"/>
  <c r="F147" i="64"/>
  <c r="A146" i="64"/>
  <c r="F149" i="64"/>
  <c r="A147" i="64"/>
  <c r="A148" i="64"/>
  <c r="A149" i="64"/>
  <c r="F152" i="64"/>
  <c r="F230" i="64"/>
  <c r="A152" i="64"/>
  <c r="A156" i="64"/>
  <c r="F158" i="64"/>
  <c r="A158" i="64"/>
  <c r="F231" i="64"/>
  <c r="A163" i="64"/>
  <c r="F165" i="64"/>
  <c r="A21" i="54"/>
  <c r="A14" i="53"/>
  <c r="A164" i="64"/>
  <c r="A165" i="64"/>
  <c r="A167" i="64"/>
  <c r="A170" i="64"/>
  <c r="A171" i="64"/>
  <c r="A29" i="54"/>
  <c r="A172" i="64"/>
  <c r="A173" i="64"/>
  <c r="F174" i="64"/>
  <c r="A174" i="64"/>
  <c r="A177" i="64"/>
  <c r="F183" i="64"/>
  <c r="A178" i="64"/>
  <c r="A179" i="64"/>
  <c r="A180" i="64"/>
  <c r="A18" i="53"/>
  <c r="F181" i="64"/>
  <c r="A181" i="64"/>
  <c r="F190" i="64"/>
  <c r="A182" i="64"/>
  <c r="F191" i="64"/>
  <c r="A183" i="64"/>
  <c r="F184" i="64"/>
  <c r="A184" i="64"/>
  <c r="F188" i="64"/>
  <c r="F187" i="64"/>
  <c r="A186" i="64"/>
  <c r="F186" i="64"/>
  <c r="A187" i="64"/>
  <c r="A188" i="64"/>
  <c r="A190" i="64"/>
  <c r="F194" i="64"/>
  <c r="A191" i="64"/>
  <c r="A192" i="64"/>
  <c r="F195" i="64"/>
  <c r="A194" i="64"/>
  <c r="F196" i="64"/>
  <c r="A195" i="64"/>
  <c r="A196" i="64"/>
  <c r="A197" i="64"/>
  <c r="F197" i="64"/>
  <c r="A199" i="64"/>
  <c r="F232" i="64"/>
  <c r="F199" i="64"/>
  <c r="A204" i="64"/>
  <c r="A205" i="64"/>
  <c r="A206" i="64"/>
  <c r="A207" i="64"/>
  <c r="F218" i="64"/>
  <c r="A208" i="64"/>
  <c r="F212" i="64"/>
  <c r="A211" i="64"/>
  <c r="A212" i="64"/>
  <c r="A213" i="64"/>
  <c r="A214" i="64"/>
  <c r="F220" i="64"/>
  <c r="A218" i="64"/>
  <c r="A220" i="64"/>
  <c r="F233" i="64"/>
  <c r="A225" i="64"/>
  <c r="A226" i="64"/>
  <c r="A227" i="64"/>
  <c r="A229" i="64"/>
  <c r="A230" i="64"/>
  <c r="A231" i="64"/>
  <c r="A232" i="64"/>
  <c r="A233" i="64"/>
  <c r="F235" i="64"/>
  <c r="A235" i="64"/>
  <c r="F242" i="64"/>
  <c r="A238" i="64"/>
  <c r="F240" i="64"/>
  <c r="A239" i="64"/>
  <c r="A240" i="64"/>
  <c r="F241" i="64"/>
  <c r="A241" i="64"/>
  <c r="A242" i="64"/>
  <c r="F243" i="64"/>
  <c r="A243" i="64"/>
  <c r="A246" i="64"/>
  <c r="A247" i="64"/>
  <c r="A390" i="64" s="1"/>
  <c r="F249" i="64"/>
  <c r="A249" i="64"/>
  <c r="F260" i="64"/>
  <c r="F252" i="64"/>
  <c r="F267" i="64"/>
  <c r="F254" i="64"/>
  <c r="A252" i="64"/>
  <c r="F256" i="64"/>
  <c r="F255" i="64"/>
  <c r="A253" i="64"/>
  <c r="A254" i="64"/>
  <c r="A255" i="64"/>
  <c r="B10" i="55"/>
  <c r="B16" i="55"/>
  <c r="A256" i="64"/>
  <c r="A260" i="64"/>
  <c r="F262" i="64"/>
  <c r="A261" i="64"/>
  <c r="A262" i="64"/>
  <c r="F264" i="64"/>
  <c r="A263" i="64"/>
  <c r="F265" i="64"/>
  <c r="A264" i="64"/>
  <c r="A265" i="64"/>
  <c r="B11" i="55"/>
  <c r="A267" i="64"/>
  <c r="F269" i="64"/>
  <c r="A269" i="64"/>
  <c r="F273" i="64"/>
  <c r="A272" i="64"/>
  <c r="F275" i="64"/>
  <c r="A275" i="64"/>
  <c r="A273" i="64"/>
  <c r="AV49" i="72"/>
  <c r="AV50" i="72" s="1"/>
  <c r="BH65" i="72"/>
  <c r="BH66" i="72" s="1"/>
  <c r="BH63" i="72"/>
  <c r="BH64" i="72" s="1"/>
  <c r="T44" i="55"/>
  <c r="T45" i="55" s="1"/>
  <c r="BH73" i="72"/>
  <c r="BH74" i="72" s="1"/>
  <c r="L48" i="55"/>
  <c r="L49" i="55" s="1"/>
  <c r="L56" i="55"/>
  <c r="L57" i="55" s="1"/>
  <c r="T66" i="55"/>
  <c r="T67" i="55" s="1"/>
  <c r="T56" i="55"/>
  <c r="T57" i="55" s="1"/>
  <c r="T64" i="55"/>
  <c r="T65" i="55" s="1"/>
  <c r="T50" i="55"/>
  <c r="T51" i="55" s="1"/>
  <c r="L70" i="55"/>
  <c r="L71" i="55" s="1"/>
  <c r="L66" i="55"/>
  <c r="L67" i="55" s="1"/>
  <c r="L36" i="55"/>
  <c r="L37" i="55"/>
  <c r="T68" i="55"/>
  <c r="T69" i="55" s="1"/>
  <c r="AF60" i="55"/>
  <c r="AF61" i="55" s="1"/>
  <c r="T42" i="55"/>
  <c r="T43" i="55" s="1"/>
  <c r="H64" i="55"/>
  <c r="H65" i="55" s="1"/>
  <c r="AF68" i="55"/>
  <c r="AF69" i="55" s="1"/>
  <c r="AF54" i="55"/>
  <c r="AF55" i="55" s="1"/>
  <c r="AF66" i="55"/>
  <c r="AF67" i="55" s="1"/>
  <c r="T60" i="55"/>
  <c r="T61" i="55" s="1"/>
  <c r="AJ58" i="55"/>
  <c r="AJ59" i="55"/>
  <c r="T54" i="55"/>
  <c r="T55" i="55" s="1"/>
  <c r="L68" i="55"/>
  <c r="L69" i="55"/>
  <c r="L64" i="55"/>
  <c r="L65" i="55" s="1"/>
  <c r="L60" i="55"/>
  <c r="L61" i="55" s="1"/>
  <c r="L38" i="55"/>
  <c r="L39" i="55" s="1"/>
  <c r="L34" i="55"/>
  <c r="L35" i="55" s="1"/>
  <c r="AJ66" i="55"/>
  <c r="AJ67" i="55" s="1"/>
  <c r="AJ70" i="55"/>
  <c r="AJ71" i="55" s="1"/>
  <c r="AJ60" i="55"/>
  <c r="AJ61" i="55" s="1"/>
  <c r="AJ54" i="55"/>
  <c r="AJ55" i="55" s="1"/>
  <c r="AJ52" i="55"/>
  <c r="AJ53" i="55" s="1"/>
  <c r="AJ44" i="55"/>
  <c r="AJ45" i="55" s="1"/>
  <c r="H56" i="55"/>
  <c r="H57" i="55" s="1"/>
  <c r="FA57" i="72"/>
  <c r="FA58" i="72" s="1"/>
  <c r="P52" i="55"/>
  <c r="P53" i="55" s="1"/>
  <c r="P50" i="55"/>
  <c r="P51" i="55" s="1"/>
  <c r="F65" i="68"/>
  <c r="BH49" i="72"/>
  <c r="BH50" i="72" s="1"/>
  <c r="GC58" i="72"/>
  <c r="GG77" i="72"/>
  <c r="GG78" i="72" s="1"/>
  <c r="HM61" i="72"/>
  <c r="HM62" i="72" s="1"/>
  <c r="AJ133" i="72" l="1"/>
  <c r="AJ134" i="72" s="1"/>
  <c r="AJ123" i="72"/>
  <c r="AJ124" i="72" s="1"/>
  <c r="AJ113" i="72"/>
  <c r="AJ114" i="72" s="1"/>
  <c r="L101" i="72"/>
  <c r="L102" i="72" s="1"/>
  <c r="AJ87" i="72"/>
  <c r="AJ88" i="72" s="1"/>
  <c r="AJ131" i="72"/>
  <c r="AJ132" i="72" s="1"/>
  <c r="AJ121" i="72"/>
  <c r="AJ122" i="72" s="1"/>
  <c r="D113" i="72"/>
  <c r="D114" i="72" s="1"/>
  <c r="D99" i="72"/>
  <c r="D100" i="72" s="1"/>
  <c r="AJ71" i="72"/>
  <c r="AJ72" i="72" s="1"/>
  <c r="AJ47" i="72"/>
  <c r="AJ119" i="72"/>
  <c r="AJ120" i="72" s="1"/>
  <c r="AJ111" i="72"/>
  <c r="AJ112" i="72" s="1"/>
  <c r="AJ69" i="72"/>
  <c r="AJ70" i="72" s="1"/>
  <c r="AB44" i="55"/>
  <c r="AB45" i="55" s="1"/>
  <c r="AJ125" i="72"/>
  <c r="AJ126" i="72" s="1"/>
  <c r="D119" i="72"/>
  <c r="D120" i="72" s="1"/>
  <c r="CB91" i="72"/>
  <c r="CB92" i="72" s="1"/>
  <c r="AJ79" i="72"/>
  <c r="AJ80" i="72" s="1"/>
  <c r="D107" i="72"/>
  <c r="D108" i="72" s="1"/>
  <c r="D91" i="72"/>
  <c r="D92" i="72" s="1"/>
  <c r="CB67" i="72"/>
  <c r="CB68" i="72" s="1"/>
  <c r="AB66" i="55"/>
  <c r="AB67" i="55" s="1"/>
  <c r="C60" i="68"/>
  <c r="CV135" i="72"/>
  <c r="CV136" i="72" s="1"/>
  <c r="D125" i="72"/>
  <c r="D126" i="72" s="1"/>
  <c r="AJ117" i="72"/>
  <c r="AJ118" i="72" s="1"/>
  <c r="D89" i="72"/>
  <c r="D90" i="72" s="1"/>
  <c r="AB58" i="55"/>
  <c r="AB59" i="55" s="1"/>
  <c r="CB133" i="72"/>
  <c r="CB134" i="72" s="1"/>
  <c r="CV123" i="72"/>
  <c r="CV124" i="72" s="1"/>
  <c r="CB113" i="72"/>
  <c r="CB114" i="72" s="1"/>
  <c r="CV87" i="72"/>
  <c r="CV88" i="72" s="1"/>
  <c r="D75" i="72"/>
  <c r="D76" i="72" s="1"/>
  <c r="I150" i="69"/>
  <c r="I96" i="69"/>
  <c r="I59" i="69"/>
  <c r="X44" i="55"/>
  <c r="X45" i="55" s="1"/>
  <c r="P42" i="55"/>
  <c r="P43" i="55" s="1"/>
  <c r="P44" i="55"/>
  <c r="P45" i="55" s="1"/>
  <c r="H44" i="55"/>
  <c r="H45" i="55" s="1"/>
  <c r="H46" i="55"/>
  <c r="H47" i="55" s="1"/>
  <c r="H38" i="55"/>
  <c r="H39" i="55" s="1"/>
  <c r="X42" i="55"/>
  <c r="X43" i="55" s="1"/>
  <c r="D59" i="72"/>
  <c r="D60" i="72" s="1"/>
  <c r="H52" i="55"/>
  <c r="H53" i="55" s="1"/>
  <c r="X66" i="55"/>
  <c r="X67" i="55" s="1"/>
  <c r="AB46" i="55"/>
  <c r="AB47" i="55" s="1"/>
  <c r="H68" i="55"/>
  <c r="H69" i="55" s="1"/>
  <c r="D42" i="55"/>
  <c r="D43" i="55" s="1"/>
  <c r="X48" i="55"/>
  <c r="X49" i="55" s="1"/>
  <c r="GG57" i="72"/>
  <c r="GG58" i="72" s="1"/>
  <c r="GH58" i="72" s="1"/>
  <c r="GF59" i="72" s="1"/>
  <c r="H127" i="72"/>
  <c r="H128" i="72" s="1"/>
  <c r="L81" i="72"/>
  <c r="L82" i="72" s="1"/>
  <c r="I255" i="65"/>
  <c r="K255" i="65" s="1"/>
  <c r="H236" i="48"/>
  <c r="AB39" i="55"/>
  <c r="AC39" i="55" s="1"/>
  <c r="AA40" i="55" s="1"/>
  <c r="AC38" i="55"/>
  <c r="C19" i="68"/>
  <c r="C78" i="68"/>
  <c r="AB54" i="55"/>
  <c r="AB55" i="55" s="1"/>
  <c r="AB68" i="55"/>
  <c r="AB69" i="55" s="1"/>
  <c r="H34" i="55"/>
  <c r="H35" i="55" s="1"/>
  <c r="AV73" i="72"/>
  <c r="AV74" i="72" s="1"/>
  <c r="L107" i="72"/>
  <c r="L108" i="72" s="1"/>
  <c r="AN103" i="72"/>
  <c r="AN104" i="72" s="1"/>
  <c r="L71" i="72"/>
  <c r="L72" i="72" s="1"/>
  <c r="AK40" i="55"/>
  <c r="AB52" i="55"/>
  <c r="AB53" i="55" s="1"/>
  <c r="AB40" i="55"/>
  <c r="AB41" i="55" s="1"/>
  <c r="AB70" i="55"/>
  <c r="AB71" i="55" s="1"/>
  <c r="AB56" i="55"/>
  <c r="AB57" i="55" s="1"/>
  <c r="H42" i="55"/>
  <c r="H43" i="55" s="1"/>
  <c r="AB42" i="55"/>
  <c r="AB43" i="55" s="1"/>
  <c r="T48" i="55"/>
  <c r="T49" i="55" s="1"/>
  <c r="AB64" i="55"/>
  <c r="AB65" i="55" s="1"/>
  <c r="T36" i="55"/>
  <c r="T62" i="55"/>
  <c r="T63" i="55" s="1"/>
  <c r="H50" i="55"/>
  <c r="H51" i="55" s="1"/>
  <c r="AF50" i="55"/>
  <c r="AF51" i="55" s="1"/>
  <c r="BP53" i="72"/>
  <c r="BP54" i="72" s="1"/>
  <c r="BL57" i="72"/>
  <c r="BL58" i="72" s="1"/>
  <c r="AV47" i="72"/>
  <c r="AV48" i="72" s="1"/>
  <c r="AV59" i="72"/>
  <c r="AV60" i="72" s="1"/>
  <c r="H36" i="55"/>
  <c r="H37" i="55" s="1"/>
  <c r="T58" i="55"/>
  <c r="T59" i="55" s="1"/>
  <c r="L117" i="72"/>
  <c r="L118" i="72" s="1"/>
  <c r="L109" i="72"/>
  <c r="L110" i="72" s="1"/>
  <c r="CV101" i="72"/>
  <c r="CV102" i="72" s="1"/>
  <c r="H99" i="72"/>
  <c r="H100" i="72" s="1"/>
  <c r="L83" i="72"/>
  <c r="L84" i="72" s="1"/>
  <c r="CV65" i="72"/>
  <c r="CV66" i="72" s="1"/>
  <c r="H70" i="55"/>
  <c r="H71" i="55" s="1"/>
  <c r="AB48" i="55"/>
  <c r="AB49" i="55" s="1"/>
  <c r="H58" i="55"/>
  <c r="H59" i="55" s="1"/>
  <c r="M34" i="55"/>
  <c r="AN123" i="72"/>
  <c r="AN124" i="72" s="1"/>
  <c r="L111" i="72"/>
  <c r="L112" i="72" s="1"/>
  <c r="H66" i="55"/>
  <c r="H67" i="55" s="1"/>
  <c r="FI55" i="72"/>
  <c r="FI56" i="72" s="1"/>
  <c r="AB62" i="55"/>
  <c r="AB63" i="55" s="1"/>
  <c r="AB60" i="55"/>
  <c r="AB61" i="55" s="1"/>
  <c r="H54" i="55"/>
  <c r="H55" i="55" s="1"/>
  <c r="H60" i="55"/>
  <c r="H61" i="55" s="1"/>
  <c r="AB50" i="55"/>
  <c r="AB51" i="55" s="1"/>
  <c r="H40" i="55"/>
  <c r="H41" i="55" s="1"/>
  <c r="H48" i="55"/>
  <c r="H49" i="55" s="1"/>
  <c r="T46" i="55"/>
  <c r="T47" i="55" s="1"/>
  <c r="T52" i="55"/>
  <c r="T53" i="55" s="1"/>
  <c r="AF40" i="55"/>
  <c r="AG40" i="55" s="1"/>
  <c r="T70" i="55"/>
  <c r="T71" i="55" s="1"/>
  <c r="AV57" i="72"/>
  <c r="AV58" i="72" s="1"/>
  <c r="AV71" i="72"/>
  <c r="AV72" i="72" s="1"/>
  <c r="AV41" i="72"/>
  <c r="AV42" i="72" s="1"/>
  <c r="AW42" i="72" s="1"/>
  <c r="H81" i="68"/>
  <c r="CV141" i="72"/>
  <c r="CV142" i="72" s="1"/>
  <c r="L127" i="72"/>
  <c r="L128" i="72" s="1"/>
  <c r="CV121" i="72"/>
  <c r="CV122" i="72" s="1"/>
  <c r="H117" i="72"/>
  <c r="H118" i="72" s="1"/>
  <c r="CV107" i="72"/>
  <c r="CV108" i="72" s="1"/>
  <c r="H107" i="72"/>
  <c r="H108" i="72" s="1"/>
  <c r="L89" i="72"/>
  <c r="L90" i="72" s="1"/>
  <c r="H73" i="72"/>
  <c r="H74" i="72" s="1"/>
  <c r="H246" i="48"/>
  <c r="H232" i="48"/>
  <c r="I100" i="69"/>
  <c r="I12" i="69" s="1"/>
  <c r="I63" i="69"/>
  <c r="I10" i="69" s="1"/>
  <c r="I154" i="69"/>
  <c r="I13" i="69" s="1"/>
  <c r="AI43" i="55"/>
  <c r="G30" i="68"/>
  <c r="H30" i="68" s="1"/>
  <c r="F31" i="68"/>
  <c r="BD67" i="72"/>
  <c r="BD68" i="72" s="1"/>
  <c r="BD55" i="72"/>
  <c r="BD56" i="72" s="1"/>
  <c r="X38" i="55"/>
  <c r="X62" i="55"/>
  <c r="X63" i="55" s="1"/>
  <c r="X52" i="55"/>
  <c r="X53" i="55" s="1"/>
  <c r="X68" i="55"/>
  <c r="X69" i="55" s="1"/>
  <c r="X50" i="55"/>
  <c r="X51" i="55" s="1"/>
  <c r="X40" i="55"/>
  <c r="X41" i="55" s="1"/>
  <c r="X56" i="55"/>
  <c r="X57" i="55" s="1"/>
  <c r="X58" i="55"/>
  <c r="X59" i="55" s="1"/>
  <c r="CB129" i="72"/>
  <c r="CB130" i="72" s="1"/>
  <c r="AJ50" i="55"/>
  <c r="AJ51" i="55" s="1"/>
  <c r="X54" i="55"/>
  <c r="X55" i="55" s="1"/>
  <c r="L46" i="55"/>
  <c r="L47" i="55" s="1"/>
  <c r="L40" i="55"/>
  <c r="L41" i="55" s="1"/>
  <c r="L44" i="55"/>
  <c r="L45" i="55" s="1"/>
  <c r="L52" i="55"/>
  <c r="L53" i="55" s="1"/>
  <c r="L58" i="55"/>
  <c r="L59" i="55" s="1"/>
  <c r="L62" i="55"/>
  <c r="L63" i="55" s="1"/>
  <c r="G86" i="68"/>
  <c r="H86" i="68" s="1"/>
  <c r="F87" i="68"/>
  <c r="CB107" i="72"/>
  <c r="CB108" i="72" s="1"/>
  <c r="CB97" i="72"/>
  <c r="CB98" i="72" s="1"/>
  <c r="CB95" i="72"/>
  <c r="CB96" i="72" s="1"/>
  <c r="CB85" i="72"/>
  <c r="CB86" i="72" s="1"/>
  <c r="CB77" i="72"/>
  <c r="CB78" i="72" s="1"/>
  <c r="CB65" i="72"/>
  <c r="CB66" i="72" s="1"/>
  <c r="AJ53" i="72"/>
  <c r="AJ54" i="72" s="1"/>
  <c r="AJ55" i="72"/>
  <c r="AJ56" i="72" s="1"/>
  <c r="AJ75" i="72"/>
  <c r="AJ76" i="72" s="1"/>
  <c r="AJ89" i="72"/>
  <c r="AJ90" i="72" s="1"/>
  <c r="AJ127" i="72"/>
  <c r="AJ128" i="72" s="1"/>
  <c r="AJ129" i="72"/>
  <c r="AJ130" i="72" s="1"/>
  <c r="AJ61" i="72"/>
  <c r="AJ62" i="72" s="1"/>
  <c r="AJ67" i="72"/>
  <c r="AJ68" i="72" s="1"/>
  <c r="AJ77" i="72"/>
  <c r="AJ78" i="72" s="1"/>
  <c r="AJ83" i="72"/>
  <c r="AJ84" i="72" s="1"/>
  <c r="AJ85" i="72"/>
  <c r="AJ86" i="72" s="1"/>
  <c r="AJ91" i="72"/>
  <c r="AJ92" i="72" s="1"/>
  <c r="AJ95" i="72"/>
  <c r="AJ96" i="72" s="1"/>
  <c r="AJ103" i="72"/>
  <c r="AJ104" i="72" s="1"/>
  <c r="AJ107" i="72"/>
  <c r="AJ108" i="72" s="1"/>
  <c r="AJ115" i="72"/>
  <c r="AJ116" i="72" s="1"/>
  <c r="D49" i="72"/>
  <c r="D50" i="72" s="1"/>
  <c r="D53" i="72"/>
  <c r="D54" i="72" s="1"/>
  <c r="D65" i="72"/>
  <c r="D66" i="72" s="1"/>
  <c r="D67" i="72"/>
  <c r="D68" i="72" s="1"/>
  <c r="D69" i="72"/>
  <c r="D70" i="72" s="1"/>
  <c r="D77" i="72"/>
  <c r="D78" i="72" s="1"/>
  <c r="D103" i="72"/>
  <c r="D104" i="72" s="1"/>
  <c r="D105" i="72"/>
  <c r="D106" i="72" s="1"/>
  <c r="D115" i="72"/>
  <c r="D116" i="72" s="1"/>
  <c r="D121" i="72"/>
  <c r="D122" i="72" s="1"/>
  <c r="D123" i="72"/>
  <c r="D124" i="72" s="1"/>
  <c r="D57" i="72"/>
  <c r="D58" i="72" s="1"/>
  <c r="D63" i="72"/>
  <c r="D64" i="72" s="1"/>
  <c r="D71" i="72"/>
  <c r="D72" i="72" s="1"/>
  <c r="D111" i="72"/>
  <c r="D112" i="72" s="1"/>
  <c r="D117" i="72"/>
  <c r="D118" i="72" s="1"/>
  <c r="D127" i="72"/>
  <c r="D128" i="72" s="1"/>
  <c r="P95" i="72"/>
  <c r="P96" i="72" s="1"/>
  <c r="P131" i="72"/>
  <c r="P132" i="72" s="1"/>
  <c r="P75" i="72"/>
  <c r="P76" i="72" s="1"/>
  <c r="EW55" i="72"/>
  <c r="EW56" i="72" s="1"/>
  <c r="EW59" i="72"/>
  <c r="EW60" i="72" s="1"/>
  <c r="CF119" i="72"/>
  <c r="CF120" i="72" s="1"/>
  <c r="CF79" i="72"/>
  <c r="CF80" i="72" s="1"/>
  <c r="CF97" i="72"/>
  <c r="CF98" i="72" s="1"/>
  <c r="CF107" i="72"/>
  <c r="CF108" i="72" s="1"/>
  <c r="CF121" i="72"/>
  <c r="CF122" i="72" s="1"/>
  <c r="CB137" i="72"/>
  <c r="CB138" i="72" s="1"/>
  <c r="CB49" i="72"/>
  <c r="CB50" i="72" s="1"/>
  <c r="CB61" i="72"/>
  <c r="CB62" i="72" s="1"/>
  <c r="CB69" i="72"/>
  <c r="CB70" i="72" s="1"/>
  <c r="CB71" i="72"/>
  <c r="CB72" i="72" s="1"/>
  <c r="CB73" i="72"/>
  <c r="CB74" i="72" s="1"/>
  <c r="CB87" i="72"/>
  <c r="CB88" i="72" s="1"/>
  <c r="CB93" i="72"/>
  <c r="CB94" i="72" s="1"/>
  <c r="CB109" i="72"/>
  <c r="CB110" i="72" s="1"/>
  <c r="CB121" i="72"/>
  <c r="CB122" i="72" s="1"/>
  <c r="CB123" i="72"/>
  <c r="CB124" i="72" s="1"/>
  <c r="CB131" i="72"/>
  <c r="CB132" i="72" s="1"/>
  <c r="CB135" i="72"/>
  <c r="CB136" i="72" s="1"/>
  <c r="CB53" i="72"/>
  <c r="CB54" i="72" s="1"/>
  <c r="CB75" i="72"/>
  <c r="CB76" i="72" s="1"/>
  <c r="CB81" i="72"/>
  <c r="CB82" i="72" s="1"/>
  <c r="CB89" i="72"/>
  <c r="CB90" i="72" s="1"/>
  <c r="CB99" i="72"/>
  <c r="CB100" i="72" s="1"/>
  <c r="CB101" i="72"/>
  <c r="CB102" i="72" s="1"/>
  <c r="CB111" i="72"/>
  <c r="CB112" i="72" s="1"/>
  <c r="CB117" i="72"/>
  <c r="CB118" i="72" s="1"/>
  <c r="CB127" i="72"/>
  <c r="CB128" i="72" s="1"/>
  <c r="X83" i="72"/>
  <c r="X84" i="72" s="1"/>
  <c r="X97" i="72"/>
  <c r="X98" i="72" s="1"/>
  <c r="X101" i="72"/>
  <c r="X102" i="72" s="1"/>
  <c r="X107" i="72"/>
  <c r="X108" i="72" s="1"/>
  <c r="X79" i="72"/>
  <c r="X80" i="72" s="1"/>
  <c r="X105" i="72"/>
  <c r="X106" i="72" s="1"/>
  <c r="X113" i="72"/>
  <c r="X114" i="72" s="1"/>
  <c r="X119" i="72"/>
  <c r="X120" i="72" s="1"/>
  <c r="X121" i="72"/>
  <c r="X122" i="72" s="1"/>
  <c r="X131" i="72"/>
  <c r="X132" i="72" s="1"/>
  <c r="I35" i="55"/>
  <c r="G36" i="55" s="1"/>
  <c r="CB103" i="72"/>
  <c r="CB104" i="72" s="1"/>
  <c r="CF85" i="72"/>
  <c r="CF86" i="72" s="1"/>
  <c r="CB83" i="72"/>
  <c r="CB84" i="72" s="1"/>
  <c r="CB63" i="72"/>
  <c r="CB64" i="72" s="1"/>
  <c r="G44" i="72"/>
  <c r="I44" i="72" s="1"/>
  <c r="G45" i="72" s="1"/>
  <c r="G46" i="72" s="1"/>
  <c r="I43" i="72"/>
  <c r="I34" i="55"/>
  <c r="AJ46" i="55"/>
  <c r="AJ47" i="55" s="1"/>
  <c r="AJ64" i="55"/>
  <c r="AJ65" i="55" s="1"/>
  <c r="D70" i="55"/>
  <c r="D71" i="55" s="1"/>
  <c r="E71" i="55" s="1"/>
  <c r="X64" i="55"/>
  <c r="X65" i="55" s="1"/>
  <c r="G63" i="68"/>
  <c r="H63" i="68" s="1"/>
  <c r="AJ48" i="55"/>
  <c r="AJ49" i="55" s="1"/>
  <c r="AJ56" i="55"/>
  <c r="AJ57" i="55" s="1"/>
  <c r="AJ68" i="55"/>
  <c r="AJ69" i="55" s="1"/>
  <c r="AJ42" i="55"/>
  <c r="AJ43" i="55" s="1"/>
  <c r="AJ62" i="55"/>
  <c r="AJ63" i="55" s="1"/>
  <c r="X60" i="55"/>
  <c r="X61" i="55" s="1"/>
  <c r="X70" i="55"/>
  <c r="X71" i="55" s="1"/>
  <c r="M35" i="55"/>
  <c r="K36" i="55" s="1"/>
  <c r="K37" i="55" s="1"/>
  <c r="M37" i="55" s="1"/>
  <c r="K38" i="55" s="1"/>
  <c r="B16" i="68"/>
  <c r="B60" i="68" s="1"/>
  <c r="B56" i="68"/>
  <c r="AZ75" i="72"/>
  <c r="AZ76" i="72" s="1"/>
  <c r="AZ61" i="72"/>
  <c r="AZ62" i="72" s="1"/>
  <c r="AZ69" i="72"/>
  <c r="AZ70" i="72" s="1"/>
  <c r="CB125" i="72"/>
  <c r="CB126" i="72" s="1"/>
  <c r="CB119" i="72"/>
  <c r="CB120" i="72" s="1"/>
  <c r="CB115" i="72"/>
  <c r="CB116" i="72" s="1"/>
  <c r="X109" i="72"/>
  <c r="X110" i="72" s="1"/>
  <c r="CB105" i="72"/>
  <c r="CB106" i="72" s="1"/>
  <c r="AJ99" i="72"/>
  <c r="AJ100" i="72" s="1"/>
  <c r="AJ97" i="72"/>
  <c r="AJ98" i="72" s="1"/>
  <c r="D93" i="72"/>
  <c r="D94" i="72" s="1"/>
  <c r="D83" i="72"/>
  <c r="D84" i="72" s="1"/>
  <c r="CB79" i="72"/>
  <c r="CB80" i="72" s="1"/>
  <c r="AJ73" i="72"/>
  <c r="AJ74" i="72" s="1"/>
  <c r="CB55" i="72"/>
  <c r="CB56" i="72" s="1"/>
  <c r="AN65" i="72"/>
  <c r="AN66" i="72" s="1"/>
  <c r="AN99" i="72"/>
  <c r="AN100" i="72" s="1"/>
  <c r="AN117" i="72"/>
  <c r="AN118" i="72" s="1"/>
  <c r="AN129" i="72"/>
  <c r="AN130" i="72" s="1"/>
  <c r="L55" i="72"/>
  <c r="L56" i="72" s="1"/>
  <c r="L43" i="72"/>
  <c r="L44" i="72" s="1"/>
  <c r="L79" i="72"/>
  <c r="L80" i="72" s="1"/>
  <c r="L91" i="72"/>
  <c r="L92" i="72" s="1"/>
  <c r="L113" i="72"/>
  <c r="L114" i="72" s="1"/>
  <c r="L119" i="72"/>
  <c r="L120" i="72" s="1"/>
  <c r="L125" i="72"/>
  <c r="L126" i="72" s="1"/>
  <c r="L123" i="72"/>
  <c r="L124" i="72" s="1"/>
  <c r="DO134" i="72"/>
  <c r="DQ134" i="72" s="1"/>
  <c r="DO135" i="72" s="1"/>
  <c r="DQ133" i="72"/>
  <c r="H109" i="68"/>
  <c r="F115" i="68" s="1"/>
  <c r="F116" i="68" s="1"/>
  <c r="E239" i="64"/>
  <c r="E94" i="64"/>
  <c r="E374" i="64" s="1"/>
  <c r="F95" i="64"/>
  <c r="A13" i="48"/>
  <c r="F14" i="48" s="1"/>
  <c r="F10" i="64" s="1"/>
  <c r="F139" i="65"/>
  <c r="E8" i="65"/>
  <c r="E390" i="64"/>
  <c r="C8" i="65"/>
  <c r="C374" i="64"/>
  <c r="G372" i="64" s="1"/>
  <c r="E61" i="65"/>
  <c r="C17" i="65"/>
  <c r="EA111" i="72"/>
  <c r="DY107" i="72"/>
  <c r="DW108" i="72"/>
  <c r="DY108" i="72" s="1"/>
  <c r="DS110" i="72"/>
  <c r="DU110" i="72" s="1"/>
  <c r="DU109" i="72"/>
  <c r="FY61" i="72"/>
  <c r="FY62" i="72" s="1"/>
  <c r="FY63" i="72" s="1"/>
  <c r="FY65" i="72" s="1"/>
  <c r="FY66" i="72" s="1"/>
  <c r="FY67" i="72" s="1"/>
  <c r="FY68" i="72" s="1"/>
  <c r="FY69" i="72" s="1"/>
  <c r="FY70" i="72" s="1"/>
  <c r="FY71" i="72" s="1"/>
  <c r="FY72" i="72" s="1"/>
  <c r="FY73" i="72" s="1"/>
  <c r="FY74" i="72" s="1"/>
  <c r="FY75" i="72" s="1"/>
  <c r="FY76" i="72" s="1"/>
  <c r="BL53" i="72"/>
  <c r="BL54" i="72" s="1"/>
  <c r="BL55" i="72"/>
  <c r="BL56" i="72" s="1"/>
  <c r="BL45" i="72"/>
  <c r="AZ73" i="72"/>
  <c r="AZ74" i="72" s="1"/>
  <c r="BL59" i="72"/>
  <c r="BL60" i="72" s="1"/>
  <c r="BL75" i="72"/>
  <c r="BL76" i="72" s="1"/>
  <c r="FY57" i="72"/>
  <c r="FY58" i="72" s="1"/>
  <c r="CV143" i="72"/>
  <c r="CV144" i="72" s="1"/>
  <c r="CV131" i="72"/>
  <c r="CV132" i="72" s="1"/>
  <c r="H129" i="72"/>
  <c r="H130" i="72" s="1"/>
  <c r="CV125" i="72"/>
  <c r="CV126" i="72" s="1"/>
  <c r="H121" i="72"/>
  <c r="H122" i="72" s="1"/>
  <c r="H119" i="72"/>
  <c r="H120" i="72" s="1"/>
  <c r="H115" i="72"/>
  <c r="H116" i="72" s="1"/>
  <c r="H113" i="72"/>
  <c r="H114" i="72" s="1"/>
  <c r="CV111" i="72"/>
  <c r="CV112" i="72" s="1"/>
  <c r="CV109" i="72"/>
  <c r="CV110" i="72" s="1"/>
  <c r="H109" i="72"/>
  <c r="H110" i="72" s="1"/>
  <c r="H105" i="72"/>
  <c r="H106" i="72" s="1"/>
  <c r="CV99" i="72"/>
  <c r="CV100" i="72" s="1"/>
  <c r="H91" i="72"/>
  <c r="H92" i="72" s="1"/>
  <c r="H89" i="72"/>
  <c r="H90" i="72" s="1"/>
  <c r="P85" i="72"/>
  <c r="P86" i="72" s="1"/>
  <c r="H75" i="72"/>
  <c r="H76" i="72" s="1"/>
  <c r="CJ69" i="72"/>
  <c r="CJ70" i="72" s="1"/>
  <c r="CV67" i="72"/>
  <c r="CV68" i="72" s="1"/>
  <c r="P67" i="72"/>
  <c r="P68" i="72" s="1"/>
  <c r="P63" i="72"/>
  <c r="P64" i="72" s="1"/>
  <c r="AE31" i="72"/>
  <c r="AF93" i="72" s="1"/>
  <c r="AF94" i="72" s="1"/>
  <c r="H51" i="72"/>
  <c r="H52" i="72" s="1"/>
  <c r="P49" i="72"/>
  <c r="P50" i="72" s="1"/>
  <c r="BL65" i="72"/>
  <c r="BL66" i="72" s="1"/>
  <c r="BL49" i="72"/>
  <c r="BL50" i="72" s="1"/>
  <c r="BL61" i="72"/>
  <c r="BL62" i="72" s="1"/>
  <c r="BL67" i="72"/>
  <c r="BL68" i="72" s="1"/>
  <c r="BL73" i="72"/>
  <c r="BL74" i="72" s="1"/>
  <c r="CV147" i="72"/>
  <c r="CV148" i="72" s="1"/>
  <c r="CV139" i="72"/>
  <c r="CV140" i="72" s="1"/>
  <c r="P127" i="72"/>
  <c r="P128" i="72" s="1"/>
  <c r="H125" i="72"/>
  <c r="H126" i="72" s="1"/>
  <c r="CV119" i="72"/>
  <c r="CV120" i="72" s="1"/>
  <c r="CV113" i="72"/>
  <c r="CV114" i="72" s="1"/>
  <c r="H111" i="72"/>
  <c r="H112" i="72" s="1"/>
  <c r="CV103" i="72"/>
  <c r="CV104" i="72" s="1"/>
  <c r="H101" i="72"/>
  <c r="H102" i="72" s="1"/>
  <c r="H97" i="72"/>
  <c r="H98" i="72" s="1"/>
  <c r="H95" i="72"/>
  <c r="H96" i="72" s="1"/>
  <c r="CJ89" i="72"/>
  <c r="CJ90" i="72" s="1"/>
  <c r="CJ79" i="72"/>
  <c r="CJ80" i="72" s="1"/>
  <c r="P73" i="72"/>
  <c r="P74" i="72" s="1"/>
  <c r="H69" i="72"/>
  <c r="H70" i="72" s="1"/>
  <c r="AN59" i="72"/>
  <c r="AN60" i="72" s="1"/>
  <c r="H59" i="72"/>
  <c r="H60" i="72" s="1"/>
  <c r="BL51" i="72"/>
  <c r="BL52" i="72" s="1"/>
  <c r="BL71" i="72"/>
  <c r="BL72" i="72" s="1"/>
  <c r="AZ51" i="72"/>
  <c r="AZ52" i="72" s="1"/>
  <c r="AZ47" i="72"/>
  <c r="AZ48" i="72" s="1"/>
  <c r="BL47" i="72"/>
  <c r="BL48" i="72" s="1"/>
  <c r="BL69" i="72"/>
  <c r="BL70" i="72" s="1"/>
  <c r="CV145" i="72"/>
  <c r="CV146" i="72" s="1"/>
  <c r="CV137" i="72"/>
  <c r="CV138" i="72" s="1"/>
  <c r="CV133" i="72"/>
  <c r="CV134" i="72" s="1"/>
  <c r="CV129" i="72"/>
  <c r="CV130" i="72" s="1"/>
  <c r="CV127" i="72"/>
  <c r="CV128" i="72" s="1"/>
  <c r="P125" i="72"/>
  <c r="P126" i="72" s="1"/>
  <c r="H123" i="72"/>
  <c r="H124" i="72" s="1"/>
  <c r="CV117" i="72"/>
  <c r="CV118" i="72" s="1"/>
  <c r="CV115" i="72"/>
  <c r="CV116" i="72" s="1"/>
  <c r="CV105" i="72"/>
  <c r="CV106" i="72" s="1"/>
  <c r="H103" i="72"/>
  <c r="H104" i="72" s="1"/>
  <c r="P97" i="72"/>
  <c r="P98" i="72" s="1"/>
  <c r="H85" i="72"/>
  <c r="H86" i="72" s="1"/>
  <c r="H83" i="72"/>
  <c r="H84" i="72" s="1"/>
  <c r="H71" i="72"/>
  <c r="H72" i="72" s="1"/>
  <c r="H55" i="72"/>
  <c r="H56" i="72" s="1"/>
  <c r="FE56" i="72"/>
  <c r="FF55" i="72"/>
  <c r="EW61" i="72"/>
  <c r="EW62" i="72" s="1"/>
  <c r="EW63" i="72" s="1"/>
  <c r="EW64" i="72" s="1"/>
  <c r="FA55" i="72"/>
  <c r="FA59" i="72"/>
  <c r="FA60" i="72" s="1"/>
  <c r="FA75" i="72"/>
  <c r="FA76" i="72" s="1"/>
  <c r="BD53" i="72"/>
  <c r="BD54" i="72" s="1"/>
  <c r="BD49" i="72"/>
  <c r="BD50" i="72" s="1"/>
  <c r="FI75" i="72"/>
  <c r="FI76" i="72" s="1"/>
  <c r="FI57" i="72"/>
  <c r="FI58" i="72" s="1"/>
  <c r="CJ55" i="72"/>
  <c r="CJ56" i="72" s="1"/>
  <c r="CJ59" i="72"/>
  <c r="CJ60" i="72" s="1"/>
  <c r="CJ77" i="72"/>
  <c r="CJ78" i="72" s="1"/>
  <c r="CJ81" i="72"/>
  <c r="CJ82" i="72" s="1"/>
  <c r="CJ97" i="72"/>
  <c r="CJ98" i="72" s="1"/>
  <c r="CJ101" i="72"/>
  <c r="CJ102" i="72" s="1"/>
  <c r="CJ113" i="72"/>
  <c r="CJ114" i="72" s="1"/>
  <c r="CJ63" i="72"/>
  <c r="CJ64" i="72" s="1"/>
  <c r="CJ67" i="72"/>
  <c r="CJ68" i="72" s="1"/>
  <c r="CJ83" i="72"/>
  <c r="CJ84" i="72" s="1"/>
  <c r="CJ91" i="72"/>
  <c r="CJ92" i="72" s="1"/>
  <c r="CJ93" i="72"/>
  <c r="CJ94" i="72" s="1"/>
  <c r="CJ95" i="72"/>
  <c r="CJ96" i="72" s="1"/>
  <c r="CJ105" i="72"/>
  <c r="CJ106" i="72" s="1"/>
  <c r="CJ109" i="72"/>
  <c r="CJ110" i="72" s="1"/>
  <c r="CJ121" i="72"/>
  <c r="CJ122" i="72" s="1"/>
  <c r="CJ125" i="72"/>
  <c r="CJ126" i="72" s="1"/>
  <c r="CJ127" i="72"/>
  <c r="CJ128" i="72" s="1"/>
  <c r="CJ135" i="72"/>
  <c r="CJ136" i="72" s="1"/>
  <c r="CJ137" i="72"/>
  <c r="CJ138" i="72" s="1"/>
  <c r="CJ65" i="72"/>
  <c r="CJ66" i="72" s="1"/>
  <c r="CJ73" i="72"/>
  <c r="CJ74" i="72" s="1"/>
  <c r="CJ99" i="72"/>
  <c r="CJ100" i="72" s="1"/>
  <c r="CJ103" i="72"/>
  <c r="CJ104" i="72" s="1"/>
  <c r="CJ111" i="72"/>
  <c r="CJ112" i="72" s="1"/>
  <c r="CJ119" i="72"/>
  <c r="CJ120" i="72" s="1"/>
  <c r="CJ115" i="72"/>
  <c r="CJ116" i="72" s="1"/>
  <c r="CJ123" i="72"/>
  <c r="CJ124" i="72" s="1"/>
  <c r="CJ57" i="72"/>
  <c r="CJ58" i="72" s="1"/>
  <c r="CJ71" i="72"/>
  <c r="CJ72" i="72" s="1"/>
  <c r="CJ117" i="72"/>
  <c r="CJ118" i="72" s="1"/>
  <c r="CJ133" i="72"/>
  <c r="CJ134" i="72" s="1"/>
  <c r="CJ85" i="72"/>
  <c r="CJ86" i="72" s="1"/>
  <c r="CJ87" i="72"/>
  <c r="CJ88" i="72" s="1"/>
  <c r="CJ107" i="72"/>
  <c r="CJ108" i="72" s="1"/>
  <c r="CJ129" i="72"/>
  <c r="CJ130" i="72" s="1"/>
  <c r="CJ131" i="72"/>
  <c r="CJ132" i="72" s="1"/>
  <c r="BD59" i="72"/>
  <c r="BD60" i="72" s="1"/>
  <c r="BD75" i="72"/>
  <c r="BD76" i="72" s="1"/>
  <c r="BD69" i="72"/>
  <c r="BD70" i="72" s="1"/>
  <c r="BD57" i="72"/>
  <c r="BD58" i="72" s="1"/>
  <c r="BD61" i="72"/>
  <c r="BD62" i="72" s="1"/>
  <c r="BD71" i="72"/>
  <c r="BD72" i="72" s="1"/>
  <c r="BD63" i="72"/>
  <c r="BD64" i="72" s="1"/>
  <c r="BD51" i="72"/>
  <c r="BD52" i="72" s="1"/>
  <c r="BD45" i="72"/>
  <c r="BD46" i="72" s="1"/>
  <c r="BD43" i="72"/>
  <c r="BD47" i="72"/>
  <c r="BD48" i="72" s="1"/>
  <c r="BD73" i="72"/>
  <c r="BD74" i="72" s="1"/>
  <c r="BD65" i="72"/>
  <c r="BD66" i="72" s="1"/>
  <c r="BP65" i="72"/>
  <c r="BP66" i="72" s="1"/>
  <c r="BP47" i="72"/>
  <c r="BP48" i="72" s="1"/>
  <c r="BP71" i="72"/>
  <c r="BP72" i="72" s="1"/>
  <c r="BP61" i="72"/>
  <c r="BP62" i="72" s="1"/>
  <c r="BP55" i="72"/>
  <c r="BP56" i="72" s="1"/>
  <c r="BP63" i="72"/>
  <c r="BP64" i="72" s="1"/>
  <c r="BP59" i="72"/>
  <c r="BP60" i="72" s="1"/>
  <c r="BP57" i="72"/>
  <c r="BP58" i="72" s="1"/>
  <c r="BP67" i="72"/>
  <c r="BP68" i="72" s="1"/>
  <c r="BP69" i="72"/>
  <c r="BP70" i="72" s="1"/>
  <c r="BP73" i="72"/>
  <c r="BP74" i="72" s="1"/>
  <c r="BP45" i="72"/>
  <c r="BP46" i="72" s="1"/>
  <c r="BQ46" i="72" s="1"/>
  <c r="BT83" i="72"/>
  <c r="BT84" i="72" s="1"/>
  <c r="BT89" i="72"/>
  <c r="BT90" i="72" s="1"/>
  <c r="BT99" i="72"/>
  <c r="BT100" i="72" s="1"/>
  <c r="BT111" i="72"/>
  <c r="BT112" i="72" s="1"/>
  <c r="BT115" i="72"/>
  <c r="BT116" i="72" s="1"/>
  <c r="BT57" i="72"/>
  <c r="BT58" i="72" s="1"/>
  <c r="BT97" i="72"/>
  <c r="BT98" i="72" s="1"/>
  <c r="BT123" i="72"/>
  <c r="BT124" i="72" s="1"/>
  <c r="BT129" i="72"/>
  <c r="BT130" i="72" s="1"/>
  <c r="BT131" i="72"/>
  <c r="BT132" i="72" s="1"/>
  <c r="BT121" i="72"/>
  <c r="BT122" i="72" s="1"/>
  <c r="BT63" i="72"/>
  <c r="BT64" i="72" s="1"/>
  <c r="BT91" i="72"/>
  <c r="BT92" i="72" s="1"/>
  <c r="BT61" i="72"/>
  <c r="BT62" i="72" s="1"/>
  <c r="BT105" i="72"/>
  <c r="BT106" i="72" s="1"/>
  <c r="BT133" i="72"/>
  <c r="BT134" i="72" s="1"/>
  <c r="BT135" i="72"/>
  <c r="BT136" i="72" s="1"/>
  <c r="AN47" i="72"/>
  <c r="AN55" i="72"/>
  <c r="AN56" i="72" s="1"/>
  <c r="AN69" i="72"/>
  <c r="AN70" i="72" s="1"/>
  <c r="AN73" i="72"/>
  <c r="AN74" i="72" s="1"/>
  <c r="AN79" i="72"/>
  <c r="AN80" i="72" s="1"/>
  <c r="AN85" i="72"/>
  <c r="AN86" i="72" s="1"/>
  <c r="AN95" i="72"/>
  <c r="AN96" i="72" s="1"/>
  <c r="AN97" i="72"/>
  <c r="AN98" i="72" s="1"/>
  <c r="AN105" i="72"/>
  <c r="AN106" i="72" s="1"/>
  <c r="AN51" i="72"/>
  <c r="AN52" i="72" s="1"/>
  <c r="AN61" i="72"/>
  <c r="AN62" i="72" s="1"/>
  <c r="AN75" i="72"/>
  <c r="AN76" i="72" s="1"/>
  <c r="AN87" i="72"/>
  <c r="AN88" i="72" s="1"/>
  <c r="AN115" i="72"/>
  <c r="AN116" i="72" s="1"/>
  <c r="AN121" i="72"/>
  <c r="AN122" i="72" s="1"/>
  <c r="AN77" i="72"/>
  <c r="AN78" i="72" s="1"/>
  <c r="AN89" i="72"/>
  <c r="AN90" i="72" s="1"/>
  <c r="AN101" i="72"/>
  <c r="AN102" i="72" s="1"/>
  <c r="AN133" i="72"/>
  <c r="AN134" i="72" s="1"/>
  <c r="AN83" i="72"/>
  <c r="AN84" i="72" s="1"/>
  <c r="AN111" i="72"/>
  <c r="AN112" i="72" s="1"/>
  <c r="AN113" i="72"/>
  <c r="AN114" i="72" s="1"/>
  <c r="AN125" i="72"/>
  <c r="AN126" i="72" s="1"/>
  <c r="AN53" i="72"/>
  <c r="AN54" i="72" s="1"/>
  <c r="AN91" i="72"/>
  <c r="AN92" i="72" s="1"/>
  <c r="AN81" i="72"/>
  <c r="AN82" i="72" s="1"/>
  <c r="AN93" i="72"/>
  <c r="AN94" i="72" s="1"/>
  <c r="AN109" i="72"/>
  <c r="AN110" i="72" s="1"/>
  <c r="AN119" i="72"/>
  <c r="AN120" i="72" s="1"/>
  <c r="AN127" i="72"/>
  <c r="AN128" i="72" s="1"/>
  <c r="AB51" i="72"/>
  <c r="AB52" i="72" s="1"/>
  <c r="AB61" i="72"/>
  <c r="AB62" i="72" s="1"/>
  <c r="AB67" i="72"/>
  <c r="AB68" i="72" s="1"/>
  <c r="AB71" i="72"/>
  <c r="AB72" i="72" s="1"/>
  <c r="AB89" i="72"/>
  <c r="AB90" i="72" s="1"/>
  <c r="AB91" i="72"/>
  <c r="AB92" i="72" s="1"/>
  <c r="AB99" i="72"/>
  <c r="AB100" i="72" s="1"/>
  <c r="AB103" i="72"/>
  <c r="AB104" i="72" s="1"/>
  <c r="AB111" i="72"/>
  <c r="AB112" i="72" s="1"/>
  <c r="AB113" i="72"/>
  <c r="AB114" i="72" s="1"/>
  <c r="AB115" i="72"/>
  <c r="AB116" i="72" s="1"/>
  <c r="P61" i="72"/>
  <c r="P62" i="72" s="1"/>
  <c r="P53" i="72"/>
  <c r="P54" i="72" s="1"/>
  <c r="P65" i="72"/>
  <c r="P66" i="72" s="1"/>
  <c r="P83" i="72"/>
  <c r="P84" i="72" s="1"/>
  <c r="P99" i="72"/>
  <c r="P100" i="72" s="1"/>
  <c r="P103" i="72"/>
  <c r="P104" i="72" s="1"/>
  <c r="P107" i="72"/>
  <c r="P108" i="72" s="1"/>
  <c r="P111" i="72"/>
  <c r="P112" i="72" s="1"/>
  <c r="P115" i="72"/>
  <c r="P116" i="72" s="1"/>
  <c r="AV67" i="72"/>
  <c r="AV68" i="72" s="1"/>
  <c r="AV65" i="72"/>
  <c r="AV66" i="72" s="1"/>
  <c r="AV75" i="72"/>
  <c r="AV76" i="72" s="1"/>
  <c r="AB131" i="72"/>
  <c r="AB132" i="72" s="1"/>
  <c r="P129" i="72"/>
  <c r="P130" i="72" s="1"/>
  <c r="L73" i="72"/>
  <c r="L74" i="72" s="1"/>
  <c r="L67" i="72"/>
  <c r="L68" i="72" s="1"/>
  <c r="L63" i="72"/>
  <c r="L64" i="72" s="1"/>
  <c r="L41" i="72"/>
  <c r="L42" i="72" s="1"/>
  <c r="L45" i="72"/>
  <c r="L46" i="72" s="1"/>
  <c r="L75" i="72"/>
  <c r="L76" i="72" s="1"/>
  <c r="L77" i="72"/>
  <c r="L78" i="72" s="1"/>
  <c r="L97" i="72"/>
  <c r="L98" i="72" s="1"/>
  <c r="L105" i="72"/>
  <c r="L106" i="72" s="1"/>
  <c r="BH57" i="72"/>
  <c r="BH58" i="72" s="1"/>
  <c r="AV69" i="72"/>
  <c r="AV70" i="72" s="1"/>
  <c r="EW75" i="72"/>
  <c r="EW76" i="72" s="1"/>
  <c r="AV55" i="72"/>
  <c r="AV56" i="72" s="1"/>
  <c r="AF129" i="72"/>
  <c r="AF130" i="72" s="1"/>
  <c r="AF123" i="72"/>
  <c r="AF124" i="72" s="1"/>
  <c r="P121" i="72"/>
  <c r="P122" i="72" s="1"/>
  <c r="L115" i="72"/>
  <c r="L116" i="72" s="1"/>
  <c r="AB109" i="72"/>
  <c r="AB110" i="72" s="1"/>
  <c r="P109" i="72"/>
  <c r="P110" i="72" s="1"/>
  <c r="AB107" i="72"/>
  <c r="AB108" i="72" s="1"/>
  <c r="AF103" i="72"/>
  <c r="AF104" i="72" s="1"/>
  <c r="AF99" i="72"/>
  <c r="AF100" i="72" s="1"/>
  <c r="AB95" i="72"/>
  <c r="AB96" i="72" s="1"/>
  <c r="L85" i="72"/>
  <c r="L86" i="72" s="1"/>
  <c r="AB81" i="72"/>
  <c r="AB82" i="72" s="1"/>
  <c r="P81" i="72"/>
  <c r="P82" i="72" s="1"/>
  <c r="P79" i="72"/>
  <c r="P80" i="72" s="1"/>
  <c r="FY77" i="72"/>
  <c r="FY78" i="72" s="1"/>
  <c r="AV45" i="72"/>
  <c r="AV46" i="72" s="1"/>
  <c r="AV61" i="72"/>
  <c r="AV62" i="72" s="1"/>
  <c r="AV63" i="72"/>
  <c r="AV64" i="72" s="1"/>
  <c r="AV53" i="72"/>
  <c r="AV54" i="72" s="1"/>
  <c r="AV51" i="72"/>
  <c r="AV52" i="72" s="1"/>
  <c r="EW57" i="72"/>
  <c r="EW58" i="72" s="1"/>
  <c r="CF133" i="72"/>
  <c r="CF134" i="72" s="1"/>
  <c r="AB129" i="72"/>
  <c r="AB130" i="72" s="1"/>
  <c r="AF127" i="72"/>
  <c r="AF128" i="72" s="1"/>
  <c r="AF125" i="72"/>
  <c r="AF126" i="72" s="1"/>
  <c r="AB123" i="72"/>
  <c r="AB124" i="72" s="1"/>
  <c r="P123" i="72"/>
  <c r="P124" i="72" s="1"/>
  <c r="L121" i="72"/>
  <c r="L122" i="72" s="1"/>
  <c r="AB119" i="72"/>
  <c r="AB120" i="72" s="1"/>
  <c r="AB117" i="72"/>
  <c r="AB118" i="72" s="1"/>
  <c r="P117" i="72"/>
  <c r="P118" i="72" s="1"/>
  <c r="P113" i="72"/>
  <c r="P114" i="72" s="1"/>
  <c r="AF111" i="72"/>
  <c r="AF112" i="72" s="1"/>
  <c r="AB105" i="72"/>
  <c r="AB106" i="72" s="1"/>
  <c r="P105" i="72"/>
  <c r="P106" i="72" s="1"/>
  <c r="L103" i="72"/>
  <c r="L104" i="72" s="1"/>
  <c r="AB101" i="72"/>
  <c r="AB102" i="72" s="1"/>
  <c r="P101" i="72"/>
  <c r="P102" i="72" s="1"/>
  <c r="L99" i="72"/>
  <c r="L100" i="72" s="1"/>
  <c r="L95" i="72"/>
  <c r="L96" i="72" s="1"/>
  <c r="L93" i="72"/>
  <c r="L94" i="72" s="1"/>
  <c r="AB83" i="72"/>
  <c r="AB84" i="72" s="1"/>
  <c r="P69" i="72"/>
  <c r="P70" i="72" s="1"/>
  <c r="AJ135" i="72"/>
  <c r="AJ136" i="72" s="1"/>
  <c r="AJ49" i="72"/>
  <c r="AJ50" i="72" s="1"/>
  <c r="AJ57" i="72"/>
  <c r="AJ58" i="72" s="1"/>
  <c r="AJ63" i="72"/>
  <c r="AJ64" i="72" s="1"/>
  <c r="AJ65" i="72"/>
  <c r="AJ66" i="72" s="1"/>
  <c r="AJ81" i="72"/>
  <c r="AJ82" i="72" s="1"/>
  <c r="AJ93" i="72"/>
  <c r="AJ94" i="72" s="1"/>
  <c r="AJ101" i="72"/>
  <c r="AJ102" i="72" s="1"/>
  <c r="AJ109" i="72"/>
  <c r="AJ110" i="72" s="1"/>
  <c r="D131" i="72"/>
  <c r="D132" i="72" s="1"/>
  <c r="D51" i="72"/>
  <c r="D52" i="72" s="1"/>
  <c r="D61" i="72"/>
  <c r="D62" i="72" s="1"/>
  <c r="D73" i="72"/>
  <c r="D74" i="72" s="1"/>
  <c r="D79" i="72"/>
  <c r="D80" i="72" s="1"/>
  <c r="D81" i="72"/>
  <c r="D82" i="72" s="1"/>
  <c r="D85" i="72"/>
  <c r="D86" i="72" s="1"/>
  <c r="D87" i="72"/>
  <c r="D88" i="72" s="1"/>
  <c r="D95" i="72"/>
  <c r="D96" i="72" s="1"/>
  <c r="D101" i="72"/>
  <c r="D102" i="72" s="1"/>
  <c r="D109" i="72"/>
  <c r="D110" i="72" s="1"/>
  <c r="P57" i="72"/>
  <c r="P58" i="72" s="1"/>
  <c r="H163" i="48"/>
  <c r="E61" i="70"/>
  <c r="C209" i="65"/>
  <c r="G207" i="65" s="1"/>
  <c r="C390" i="64"/>
  <c r="G388" i="64" s="1"/>
  <c r="K26" i="55"/>
  <c r="AA25" i="55"/>
  <c r="AD38" i="55" s="1"/>
  <c r="AA26" i="55"/>
  <c r="A14" i="48"/>
  <c r="G65" i="68"/>
  <c r="H65" i="68" s="1"/>
  <c r="F66" i="68"/>
  <c r="AE26" i="55"/>
  <c r="BQ45" i="72"/>
  <c r="BR45" i="72" s="1"/>
  <c r="B17" i="68"/>
  <c r="EV56" i="72"/>
  <c r="EX55" i="72"/>
  <c r="FQ77" i="72"/>
  <c r="FQ78" i="72" s="1"/>
  <c r="FQ57" i="72"/>
  <c r="FQ58" i="72" s="1"/>
  <c r="FP58" i="72"/>
  <c r="FQ59" i="72"/>
  <c r="E180" i="65"/>
  <c r="E139" i="65"/>
  <c r="D46" i="55"/>
  <c r="D47" i="55" s="1"/>
  <c r="D60" i="55"/>
  <c r="D61" i="55" s="1"/>
  <c r="D34" i="55"/>
  <c r="D35" i="55" s="1"/>
  <c r="D56" i="55"/>
  <c r="D57" i="55" s="1"/>
  <c r="D52" i="55"/>
  <c r="D53" i="55" s="1"/>
  <c r="D48" i="55"/>
  <c r="D49" i="55" s="1"/>
  <c r="D44" i="55"/>
  <c r="D45" i="55" s="1"/>
  <c r="D36" i="55"/>
  <c r="D37" i="55" s="1"/>
  <c r="D58" i="55"/>
  <c r="D59" i="55" s="1"/>
  <c r="D32" i="55"/>
  <c r="D33" i="55" s="1"/>
  <c r="E33" i="55" s="1"/>
  <c r="C34" i="55" s="1"/>
  <c r="D50" i="55"/>
  <c r="D51" i="55" s="1"/>
  <c r="D40" i="55"/>
  <c r="D41" i="55" s="1"/>
  <c r="D54" i="55"/>
  <c r="D55" i="55" s="1"/>
  <c r="D38" i="55"/>
  <c r="D39" i="55" s="1"/>
  <c r="D68" i="55"/>
  <c r="D69" i="55" s="1"/>
  <c r="D66" i="55"/>
  <c r="D67" i="55" s="1"/>
  <c r="D64" i="55"/>
  <c r="D65" i="55" s="1"/>
  <c r="FU57" i="72"/>
  <c r="FV57" i="72" s="1"/>
  <c r="FU77" i="72"/>
  <c r="FU78" i="72" s="1"/>
  <c r="FU59" i="72"/>
  <c r="FX58" i="72"/>
  <c r="FZ57" i="72"/>
  <c r="GG61" i="72"/>
  <c r="GG62" i="72" s="1"/>
  <c r="GG63" i="72" s="1"/>
  <c r="GG60" i="72"/>
  <c r="CA50" i="72"/>
  <c r="CC50" i="72" s="1"/>
  <c r="CA51" i="72" s="1"/>
  <c r="AJ48" i="72"/>
  <c r="AK48" i="72" s="1"/>
  <c r="AI49" i="72" s="1"/>
  <c r="AK47" i="72"/>
  <c r="CI52" i="72"/>
  <c r="BX137" i="72"/>
  <c r="BX138" i="72" s="1"/>
  <c r="BX53" i="72"/>
  <c r="BX54" i="72" s="1"/>
  <c r="BX57" i="72"/>
  <c r="BX58" i="72" s="1"/>
  <c r="BX73" i="72"/>
  <c r="BX74" i="72" s="1"/>
  <c r="BX75" i="72"/>
  <c r="BX76" i="72" s="1"/>
  <c r="BX81" i="72"/>
  <c r="BX82" i="72" s="1"/>
  <c r="BX83" i="72"/>
  <c r="BX84" i="72" s="1"/>
  <c r="BX85" i="72"/>
  <c r="BX86" i="72" s="1"/>
  <c r="BX95" i="72"/>
  <c r="BX96" i="72" s="1"/>
  <c r="BX61" i="72"/>
  <c r="BX62" i="72" s="1"/>
  <c r="BX79" i="72"/>
  <c r="BX80" i="72" s="1"/>
  <c r="BX55" i="72"/>
  <c r="BX56" i="72" s="1"/>
  <c r="BX63" i="72"/>
  <c r="BX64" i="72" s="1"/>
  <c r="BX91" i="72"/>
  <c r="BX92" i="72" s="1"/>
  <c r="BX97" i="72"/>
  <c r="BX98" i="72" s="1"/>
  <c r="BX105" i="72"/>
  <c r="BX106" i="72" s="1"/>
  <c r="BX121" i="72"/>
  <c r="BX122" i="72" s="1"/>
  <c r="BX131" i="72"/>
  <c r="BX132" i="72" s="1"/>
  <c r="BX65" i="72"/>
  <c r="BX66" i="72" s="1"/>
  <c r="BX67" i="72"/>
  <c r="BX68" i="72" s="1"/>
  <c r="BX93" i="72"/>
  <c r="BX94" i="72" s="1"/>
  <c r="BX101" i="72"/>
  <c r="BX102" i="72" s="1"/>
  <c r="BX107" i="72"/>
  <c r="BX108" i="72" s="1"/>
  <c r="BX109" i="72"/>
  <c r="BX110" i="72" s="1"/>
  <c r="BX113" i="72"/>
  <c r="BX114" i="72" s="1"/>
  <c r="BX119" i="72"/>
  <c r="BX120" i="72" s="1"/>
  <c r="BX99" i="72"/>
  <c r="BX100" i="72" s="1"/>
  <c r="BX117" i="72"/>
  <c r="BX118" i="72" s="1"/>
  <c r="BX135" i="72"/>
  <c r="BX136" i="72" s="1"/>
  <c r="BX49" i="72"/>
  <c r="BX77" i="72"/>
  <c r="BX78" i="72" s="1"/>
  <c r="BX103" i="72"/>
  <c r="BX104" i="72" s="1"/>
  <c r="BX115" i="72"/>
  <c r="BX116" i="72" s="1"/>
  <c r="BX127" i="72"/>
  <c r="BX128" i="72" s="1"/>
  <c r="BX123" i="72"/>
  <c r="BX124" i="72" s="1"/>
  <c r="BX125" i="72"/>
  <c r="BX126" i="72" s="1"/>
  <c r="BX129" i="72"/>
  <c r="BX130" i="72" s="1"/>
  <c r="BX71" i="72"/>
  <c r="BX72" i="72" s="1"/>
  <c r="BX89" i="72"/>
  <c r="BX90" i="72" s="1"/>
  <c r="BX133" i="72"/>
  <c r="BX134" i="72" s="1"/>
  <c r="FI61" i="72"/>
  <c r="FI62" i="72" s="1"/>
  <c r="FI63" i="72" s="1"/>
  <c r="FI60" i="72"/>
  <c r="P36" i="55"/>
  <c r="P62" i="55"/>
  <c r="P63" i="55" s="1"/>
  <c r="P40" i="55"/>
  <c r="P41" i="55" s="1"/>
  <c r="P48" i="55"/>
  <c r="P49" i="55" s="1"/>
  <c r="P56" i="55"/>
  <c r="P57" i="55" s="1"/>
  <c r="P66" i="55"/>
  <c r="P67" i="55" s="1"/>
  <c r="P64" i="55"/>
  <c r="P65" i="55" s="1"/>
  <c r="P58" i="55"/>
  <c r="P59" i="55" s="1"/>
  <c r="P70" i="55"/>
  <c r="P71" i="55" s="1"/>
  <c r="P68" i="55"/>
  <c r="P69" i="55" s="1"/>
  <c r="P38" i="55"/>
  <c r="P39" i="55" s="1"/>
  <c r="P46" i="55"/>
  <c r="P47" i="55" s="1"/>
  <c r="P54" i="55"/>
  <c r="P55" i="55" s="1"/>
  <c r="AF44" i="55"/>
  <c r="AF45" i="55" s="1"/>
  <c r="AF62" i="55"/>
  <c r="AF63" i="55" s="1"/>
  <c r="AF64" i="55"/>
  <c r="AF65" i="55" s="1"/>
  <c r="AF56" i="55"/>
  <c r="AF57" i="55" s="1"/>
  <c r="AF48" i="55"/>
  <c r="AF49" i="55" s="1"/>
  <c r="AF46" i="55"/>
  <c r="AF47" i="55" s="1"/>
  <c r="AF70" i="55"/>
  <c r="AF71" i="55" s="1"/>
  <c r="AF58" i="55"/>
  <c r="AF59" i="55" s="1"/>
  <c r="AF52" i="55"/>
  <c r="AF53" i="55" s="1"/>
  <c r="GK59" i="72"/>
  <c r="GK60" i="72" s="1"/>
  <c r="GL60" i="72" s="1"/>
  <c r="GJ61" i="72" s="1"/>
  <c r="GK61" i="72"/>
  <c r="GK62" i="72" s="1"/>
  <c r="GK63" i="72" s="1"/>
  <c r="GK64" i="72" s="1"/>
  <c r="GK79" i="72"/>
  <c r="GK80" i="72" s="1"/>
  <c r="CF137" i="72"/>
  <c r="CF138" i="72" s="1"/>
  <c r="CF53" i="72"/>
  <c r="CF54" i="72" s="1"/>
  <c r="CF57" i="72"/>
  <c r="CF58" i="72" s="1"/>
  <c r="CF67" i="72"/>
  <c r="CF68" i="72" s="1"/>
  <c r="CF71" i="72"/>
  <c r="CF72" i="72" s="1"/>
  <c r="CF77" i="72"/>
  <c r="CF78" i="72" s="1"/>
  <c r="CF87" i="72"/>
  <c r="CF88" i="72" s="1"/>
  <c r="CF93" i="72"/>
  <c r="CF94" i="72" s="1"/>
  <c r="CF61" i="72"/>
  <c r="CF62" i="72" s="1"/>
  <c r="CF65" i="72"/>
  <c r="CF66" i="72" s="1"/>
  <c r="CF69" i="72"/>
  <c r="CF70" i="72" s="1"/>
  <c r="CF89" i="72"/>
  <c r="CF90" i="72" s="1"/>
  <c r="CF91" i="72"/>
  <c r="CF92" i="72" s="1"/>
  <c r="CF55" i="72"/>
  <c r="CF56" i="72" s="1"/>
  <c r="CF103" i="72"/>
  <c r="CF104" i="72" s="1"/>
  <c r="CF117" i="72"/>
  <c r="CF118" i="72" s="1"/>
  <c r="CF125" i="72"/>
  <c r="CF126" i="72" s="1"/>
  <c r="CF127" i="72"/>
  <c r="CF128" i="72" s="1"/>
  <c r="CF81" i="72"/>
  <c r="CF82" i="72" s="1"/>
  <c r="CF83" i="72"/>
  <c r="CF84" i="72" s="1"/>
  <c r="CF99" i="72"/>
  <c r="CF100" i="72" s="1"/>
  <c r="CF111" i="72"/>
  <c r="CF112" i="72" s="1"/>
  <c r="CF115" i="72"/>
  <c r="CF116" i="72" s="1"/>
  <c r="CF123" i="72"/>
  <c r="CF124" i="72" s="1"/>
  <c r="CF129" i="72"/>
  <c r="CF130" i="72" s="1"/>
  <c r="CF49" i="72"/>
  <c r="CF109" i="72"/>
  <c r="CF110" i="72" s="1"/>
  <c r="CF73" i="72"/>
  <c r="CF74" i="72" s="1"/>
  <c r="CF95" i="72"/>
  <c r="CF96" i="72" s="1"/>
  <c r="CF105" i="72"/>
  <c r="CF106" i="72" s="1"/>
  <c r="CF113" i="72"/>
  <c r="CF114" i="72" s="1"/>
  <c r="CF131" i="72"/>
  <c r="CF132" i="72" s="1"/>
  <c r="CF135" i="72"/>
  <c r="CF136" i="72" s="1"/>
  <c r="BP75" i="72"/>
  <c r="BP76" i="72" s="1"/>
  <c r="BP49" i="72"/>
  <c r="BP50" i="72" s="1"/>
  <c r="FM59" i="72"/>
  <c r="FM60" i="72" s="1"/>
  <c r="FM77" i="72"/>
  <c r="FM78" i="72" s="1"/>
  <c r="BS48" i="72"/>
  <c r="AF47" i="72"/>
  <c r="AF48" i="72" s="1"/>
  <c r="AF51" i="72"/>
  <c r="AF52" i="72" s="1"/>
  <c r="AF75" i="72"/>
  <c r="AF76" i="72" s="1"/>
  <c r="AF81" i="72"/>
  <c r="AF82" i="72" s="1"/>
  <c r="AF95" i="72"/>
  <c r="AF96" i="72" s="1"/>
  <c r="AF55" i="72"/>
  <c r="AF56" i="72" s="1"/>
  <c r="AF71" i="72"/>
  <c r="AF72" i="72" s="1"/>
  <c r="AF77" i="72"/>
  <c r="AF78" i="72" s="1"/>
  <c r="AF97" i="72"/>
  <c r="AF98" i="72" s="1"/>
  <c r="AF105" i="72"/>
  <c r="AF106" i="72" s="1"/>
  <c r="AF65" i="72"/>
  <c r="AF66" i="72" s="1"/>
  <c r="AF101" i="72"/>
  <c r="AF102" i="72" s="1"/>
  <c r="AF113" i="72"/>
  <c r="AF114" i="72" s="1"/>
  <c r="AF119" i="72"/>
  <c r="AF120" i="72" s="1"/>
  <c r="X133" i="72"/>
  <c r="X134" i="72" s="1"/>
  <c r="X49" i="72"/>
  <c r="X50" i="72" s="1"/>
  <c r="X57" i="72"/>
  <c r="X58" i="72" s="1"/>
  <c r="X77" i="72"/>
  <c r="X78" i="72" s="1"/>
  <c r="X87" i="72"/>
  <c r="X88" i="72" s="1"/>
  <c r="X93" i="72"/>
  <c r="X94" i="72" s="1"/>
  <c r="X51" i="72"/>
  <c r="X52" i="72" s="1"/>
  <c r="X59" i="72"/>
  <c r="X60" i="72" s="1"/>
  <c r="X65" i="72"/>
  <c r="X66" i="72" s="1"/>
  <c r="X67" i="72"/>
  <c r="X68" i="72" s="1"/>
  <c r="X69" i="72"/>
  <c r="X70" i="72" s="1"/>
  <c r="X71" i="72"/>
  <c r="X72" i="72" s="1"/>
  <c r="X89" i="72"/>
  <c r="X90" i="72" s="1"/>
  <c r="X91" i="72"/>
  <c r="X92" i="72" s="1"/>
  <c r="X47" i="72"/>
  <c r="X48" i="72" s="1"/>
  <c r="X75" i="72"/>
  <c r="X76" i="72" s="1"/>
  <c r="X85" i="72"/>
  <c r="X86" i="72" s="1"/>
  <c r="X95" i="72"/>
  <c r="X96" i="72" s="1"/>
  <c r="X103" i="72"/>
  <c r="X104" i="72" s="1"/>
  <c r="X117" i="72"/>
  <c r="X118" i="72" s="1"/>
  <c r="X125" i="72"/>
  <c r="X126" i="72" s="1"/>
  <c r="X127" i="72"/>
  <c r="X128" i="72" s="1"/>
  <c r="X55" i="72"/>
  <c r="X56" i="72" s="1"/>
  <c r="X63" i="72"/>
  <c r="X64" i="72" s="1"/>
  <c r="X73" i="72"/>
  <c r="X74" i="72" s="1"/>
  <c r="X99" i="72"/>
  <c r="X100" i="72" s="1"/>
  <c r="X111" i="72"/>
  <c r="X112" i="72" s="1"/>
  <c r="X115" i="72"/>
  <c r="X116" i="72" s="1"/>
  <c r="X123" i="72"/>
  <c r="X124" i="72" s="1"/>
  <c r="X129" i="72"/>
  <c r="X130" i="72" s="1"/>
  <c r="H48" i="48"/>
  <c r="H100" i="48"/>
  <c r="H101" i="48" s="1"/>
  <c r="H103" i="48" s="1"/>
  <c r="H139" i="48"/>
  <c r="H140" i="48" s="1"/>
  <c r="H187" i="48"/>
  <c r="I21" i="54"/>
  <c r="I22" i="54" s="1"/>
  <c r="G240" i="65"/>
  <c r="AF67" i="72"/>
  <c r="AF68" i="72" s="1"/>
  <c r="BT47" i="72"/>
  <c r="BT48" i="72" s="1"/>
  <c r="BT55" i="72"/>
  <c r="BT56" i="72" s="1"/>
  <c r="BT79" i="72"/>
  <c r="BT80" i="72" s="1"/>
  <c r="BT49" i="72"/>
  <c r="BT50" i="72" s="1"/>
  <c r="BT67" i="72"/>
  <c r="BT68" i="72" s="1"/>
  <c r="BT71" i="72"/>
  <c r="BT72" i="72" s="1"/>
  <c r="BT77" i="72"/>
  <c r="BT78" i="72" s="1"/>
  <c r="BT87" i="72"/>
  <c r="BT88" i="72" s="1"/>
  <c r="BT93" i="72"/>
  <c r="BT94" i="72" s="1"/>
  <c r="BT53" i="72"/>
  <c r="BT54" i="72" s="1"/>
  <c r="BT65" i="72"/>
  <c r="BT66" i="72" s="1"/>
  <c r="BT75" i="72"/>
  <c r="BT76" i="72" s="1"/>
  <c r="BT85" i="72"/>
  <c r="BT86" i="72" s="1"/>
  <c r="BT95" i="72"/>
  <c r="BT96" i="72" s="1"/>
  <c r="BT101" i="72"/>
  <c r="BT102" i="72" s="1"/>
  <c r="BT107" i="72"/>
  <c r="BT108" i="72" s="1"/>
  <c r="BT109" i="72"/>
  <c r="BT110" i="72" s="1"/>
  <c r="BT113" i="72"/>
  <c r="BT114" i="72" s="1"/>
  <c r="BT119" i="72"/>
  <c r="BT120" i="72" s="1"/>
  <c r="BT69" i="72"/>
  <c r="BT70" i="72" s="1"/>
  <c r="BT73" i="72"/>
  <c r="BT74" i="72" s="1"/>
  <c r="BT103" i="72"/>
  <c r="BT104" i="72" s="1"/>
  <c r="BT117" i="72"/>
  <c r="BT118" i="72" s="1"/>
  <c r="BT125" i="72"/>
  <c r="BT126" i="72" s="1"/>
  <c r="BT127" i="72"/>
  <c r="BT128" i="72" s="1"/>
  <c r="CV73" i="72"/>
  <c r="CV74" i="72" s="1"/>
  <c r="CV75" i="72"/>
  <c r="CV76" i="72" s="1"/>
  <c r="CV83" i="72"/>
  <c r="CV84" i="72" s="1"/>
  <c r="CV95" i="72"/>
  <c r="CV96" i="72" s="1"/>
  <c r="O45" i="72"/>
  <c r="O46" i="72" s="1"/>
  <c r="AB133" i="72"/>
  <c r="AB134" i="72" s="1"/>
  <c r="AB45" i="72"/>
  <c r="AB79" i="72"/>
  <c r="AB80" i="72" s="1"/>
  <c r="AB47" i="72"/>
  <c r="AB48" i="72" s="1"/>
  <c r="AB55" i="72"/>
  <c r="AB56" i="72" s="1"/>
  <c r="AB77" i="72"/>
  <c r="AB78" i="72" s="1"/>
  <c r="AB87" i="72"/>
  <c r="AB88" i="72" s="1"/>
  <c r="AB93" i="72"/>
  <c r="AB94" i="72" s="1"/>
  <c r="H47" i="72"/>
  <c r="H48" i="72" s="1"/>
  <c r="H131" i="72"/>
  <c r="H132" i="72" s="1"/>
  <c r="H57" i="72"/>
  <c r="H58" i="72" s="1"/>
  <c r="H63" i="72"/>
  <c r="H64" i="72" s="1"/>
  <c r="H79" i="72"/>
  <c r="H80" i="72" s="1"/>
  <c r="H49" i="72"/>
  <c r="H50" i="72" s="1"/>
  <c r="H77" i="72"/>
  <c r="H78" i="72" s="1"/>
  <c r="H87" i="72"/>
  <c r="H88" i="72" s="1"/>
  <c r="H93" i="72"/>
  <c r="H94" i="72" s="1"/>
  <c r="P133" i="72"/>
  <c r="P134" i="72" s="1"/>
  <c r="P45" i="72"/>
  <c r="P46" i="72" s="1"/>
  <c r="P77" i="72"/>
  <c r="P78" i="72" s="1"/>
  <c r="P87" i="72"/>
  <c r="P88" i="72" s="1"/>
  <c r="P93" i="72"/>
  <c r="P94" i="72" s="1"/>
  <c r="P47" i="72"/>
  <c r="P48" i="72" s="1"/>
  <c r="P55" i="72"/>
  <c r="P56" i="72" s="1"/>
  <c r="P71" i="72"/>
  <c r="P72" i="72" s="1"/>
  <c r="P89" i="72"/>
  <c r="P90" i="72" s="1"/>
  <c r="P91" i="72"/>
  <c r="P92" i="72" s="1"/>
  <c r="L51" i="72"/>
  <c r="L52" i="72" s="1"/>
  <c r="K41" i="72"/>
  <c r="K42" i="72" s="1"/>
  <c r="M42" i="72" s="1"/>
  <c r="D43" i="72"/>
  <c r="CJ51" i="72"/>
  <c r="CJ52" i="72" s="1"/>
  <c r="CJ139" i="72"/>
  <c r="CJ140" i="72" s="1"/>
  <c r="AN63" i="72"/>
  <c r="AN64" i="72" s="1"/>
  <c r="AN135" i="72"/>
  <c r="AN136" i="72" s="1"/>
  <c r="E178" i="64"/>
  <c r="E202" i="48"/>
  <c r="G38" i="54"/>
  <c r="F180" i="64"/>
  <c r="I65" i="54"/>
  <c r="F172" i="64"/>
  <c r="AE25" i="55"/>
  <c r="H150" i="65"/>
  <c r="I150" i="65" s="1"/>
  <c r="H64" i="48"/>
  <c r="F33" i="70"/>
  <c r="G33" i="70" s="1"/>
  <c r="E161" i="65"/>
  <c r="F161" i="65" s="1"/>
  <c r="K25" i="55"/>
  <c r="F209" i="65"/>
  <c r="A20" i="48"/>
  <c r="A16" i="64"/>
  <c r="A56" i="65" s="1"/>
  <c r="H204" i="48"/>
  <c r="H207" i="48" s="1"/>
  <c r="H170" i="48"/>
  <c r="H164" i="48"/>
  <c r="B90" i="65"/>
  <c r="L12" i="55"/>
  <c r="C26" i="55" s="1"/>
  <c r="AI25" i="55"/>
  <c r="G25" i="55"/>
  <c r="C25" i="55"/>
  <c r="W25" i="55"/>
  <c r="S25" i="55"/>
  <c r="H269" i="48"/>
  <c r="H284" i="48"/>
  <c r="F175" i="65"/>
  <c r="F374" i="64"/>
  <c r="I28" i="54"/>
  <c r="I31" i="54" s="1"/>
  <c r="I41" i="54" s="1"/>
  <c r="I49" i="54"/>
  <c r="I38" i="54"/>
  <c r="H231" i="48"/>
  <c r="H169" i="48"/>
  <c r="H20" i="48"/>
  <c r="H47" i="48"/>
  <c r="H27" i="48"/>
  <c r="H62" i="48"/>
  <c r="DK87" i="72"/>
  <c r="DG85" i="72"/>
  <c r="DC83" i="72"/>
  <c r="CY83" i="72"/>
  <c r="FI64" i="72"/>
  <c r="FI65" i="72"/>
  <c r="FI66" i="72" s="1"/>
  <c r="FI67" i="72" s="1"/>
  <c r="FI68" i="72" s="1"/>
  <c r="FI69" i="72" s="1"/>
  <c r="FI70" i="72" s="1"/>
  <c r="FI71" i="72" s="1"/>
  <c r="FI72" i="72" s="1"/>
  <c r="FI73" i="72" s="1"/>
  <c r="FI74" i="72" s="1"/>
  <c r="FB55" i="72"/>
  <c r="FA56" i="72"/>
  <c r="FB56" i="72" s="1"/>
  <c r="EZ57" i="72" s="1"/>
  <c r="GH59" i="72"/>
  <c r="GF60" i="72"/>
  <c r="GK65" i="72"/>
  <c r="GK66" i="72" s="1"/>
  <c r="GK67" i="72" s="1"/>
  <c r="GK68" i="72" s="1"/>
  <c r="GK69" i="72" s="1"/>
  <c r="GK70" i="72" s="1"/>
  <c r="GK71" i="72" s="1"/>
  <c r="GK72" i="72" s="1"/>
  <c r="GK73" i="72" s="1"/>
  <c r="GK74" i="72" s="1"/>
  <c r="GK75" i="72" s="1"/>
  <c r="FM58" i="72"/>
  <c r="FN58" i="72" s="1"/>
  <c r="FN57" i="72"/>
  <c r="AW41" i="72"/>
  <c r="AX41" i="72" s="1"/>
  <c r="GH57" i="72"/>
  <c r="BH45" i="72"/>
  <c r="BH46" i="72" s="1"/>
  <c r="BH75" i="72"/>
  <c r="BH76" i="72" s="1"/>
  <c r="BH55" i="72"/>
  <c r="BH56" i="72" s="1"/>
  <c r="BH47" i="72"/>
  <c r="BH48" i="72" s="1"/>
  <c r="BH59" i="72"/>
  <c r="BH60" i="72" s="1"/>
  <c r="BH43" i="72"/>
  <c r="BH53" i="72"/>
  <c r="BH54" i="72" s="1"/>
  <c r="BH69" i="72"/>
  <c r="BH70" i="72" s="1"/>
  <c r="BH51" i="72"/>
  <c r="BH52" i="72" s="1"/>
  <c r="FF56" i="72"/>
  <c r="FD57" i="72" s="1"/>
  <c r="FH56" i="72"/>
  <c r="FJ56" i="72" s="1"/>
  <c r="FH57" i="72" s="1"/>
  <c r="FJ55" i="72"/>
  <c r="GB58" i="72"/>
  <c r="GD58" i="72" s="1"/>
  <c r="GB59" i="72" s="1"/>
  <c r="GD57" i="72"/>
  <c r="GJ62" i="72"/>
  <c r="GC77" i="72"/>
  <c r="GC78" i="72" s="1"/>
  <c r="GC59" i="72"/>
  <c r="AZ45" i="72"/>
  <c r="AZ46" i="72" s="1"/>
  <c r="AZ59" i="72"/>
  <c r="AZ60" i="72" s="1"/>
  <c r="AZ63" i="72"/>
  <c r="AZ64" i="72" s="1"/>
  <c r="AZ55" i="72"/>
  <c r="AZ56" i="72" s="1"/>
  <c r="AZ43" i="72"/>
  <c r="AZ44" i="72" s="1"/>
  <c r="AZ65" i="72"/>
  <c r="AZ66" i="72" s="1"/>
  <c r="AZ41" i="72"/>
  <c r="AZ42" i="72" s="1"/>
  <c r="AZ53" i="72"/>
  <c r="AZ54" i="72" s="1"/>
  <c r="AZ67" i="72"/>
  <c r="AZ68" i="72" s="1"/>
  <c r="AZ57" i="72"/>
  <c r="AZ58" i="72" s="1"/>
  <c r="AZ71" i="72"/>
  <c r="AZ72" i="72" s="1"/>
  <c r="BH61" i="72"/>
  <c r="BH62" i="72" s="1"/>
  <c r="BH67" i="72"/>
  <c r="BH68" i="72" s="1"/>
  <c r="AY42" i="72"/>
  <c r="FE75" i="72"/>
  <c r="FE76" i="72" s="1"/>
  <c r="FE57" i="72"/>
  <c r="FE58" i="72" s="1"/>
  <c r="FE59" i="72"/>
  <c r="GL59" i="72"/>
  <c r="CV63" i="72"/>
  <c r="CV64" i="72" s="1"/>
  <c r="CV71" i="72"/>
  <c r="CV72" i="72" s="1"/>
  <c r="CV59" i="72"/>
  <c r="CV77" i="72"/>
  <c r="CV78" i="72" s="1"/>
  <c r="CV81" i="72"/>
  <c r="CV82" i="72" s="1"/>
  <c r="CV85" i="72"/>
  <c r="CV86" i="72" s="1"/>
  <c r="CV89" i="72"/>
  <c r="CV90" i="72" s="1"/>
  <c r="CV61" i="72"/>
  <c r="CV62" i="72" s="1"/>
  <c r="CV69" i="72"/>
  <c r="CV70" i="72" s="1"/>
  <c r="CV79" i="72"/>
  <c r="CV80" i="72" s="1"/>
  <c r="CV93" i="72"/>
  <c r="CV94" i="72" s="1"/>
  <c r="CV97" i="72"/>
  <c r="CV98" i="72" s="1"/>
  <c r="CQ59" i="72"/>
  <c r="CQ31" i="72"/>
  <c r="CM59" i="72"/>
  <c r="CM31" i="72"/>
  <c r="AQ31" i="72"/>
  <c r="AR135" i="72" s="1"/>
  <c r="AQ47" i="72"/>
  <c r="S31" i="72"/>
  <c r="T131" i="72" s="1"/>
  <c r="S43" i="72"/>
  <c r="AN71" i="72"/>
  <c r="AN72" i="72" s="1"/>
  <c r="L69" i="72"/>
  <c r="L70" i="72" s="1"/>
  <c r="AN67" i="72"/>
  <c r="AN68" i="72" s="1"/>
  <c r="H67" i="72"/>
  <c r="H68" i="72" s="1"/>
  <c r="L65" i="72"/>
  <c r="L66" i="72" s="1"/>
  <c r="CJ53" i="72"/>
  <c r="CJ54" i="72" s="1"/>
  <c r="CJ61" i="72"/>
  <c r="CJ62" i="72" s="1"/>
  <c r="CF51" i="72"/>
  <c r="CF52" i="72" s="1"/>
  <c r="CF59" i="72"/>
  <c r="CF60" i="72" s="1"/>
  <c r="CF63" i="72"/>
  <c r="CF64" i="72" s="1"/>
  <c r="CB51" i="72"/>
  <c r="CB52" i="72" s="1"/>
  <c r="CB59" i="72"/>
  <c r="CB60" i="72" s="1"/>
  <c r="BX51" i="72"/>
  <c r="BX59" i="72"/>
  <c r="BX60" i="72" s="1"/>
  <c r="BT51" i="72"/>
  <c r="BT52" i="72" s="1"/>
  <c r="BT59" i="72"/>
  <c r="BT60" i="72" s="1"/>
  <c r="AF61" i="72"/>
  <c r="AF62" i="72" s="1"/>
  <c r="X45" i="72"/>
  <c r="X53" i="72"/>
  <c r="X54" i="72" s="1"/>
  <c r="X61" i="72"/>
  <c r="X62" i="72" s="1"/>
  <c r="L53" i="72"/>
  <c r="L54" i="72" s="1"/>
  <c r="L47" i="72"/>
  <c r="L48" i="72" s="1"/>
  <c r="AN49" i="72"/>
  <c r="AN57" i="72"/>
  <c r="AN58" i="72" s="1"/>
  <c r="AJ51" i="72"/>
  <c r="AJ52" i="72" s="1"/>
  <c r="AJ59" i="72"/>
  <c r="AJ60" i="72" s="1"/>
  <c r="AB49" i="72"/>
  <c r="AB50" i="72" s="1"/>
  <c r="AB57" i="72"/>
  <c r="AB58" i="72" s="1"/>
  <c r="AB59" i="72"/>
  <c r="AB60" i="72" s="1"/>
  <c r="AB63" i="72"/>
  <c r="AB64" i="72" s="1"/>
  <c r="L49" i="72"/>
  <c r="L50" i="72" s="1"/>
  <c r="L57" i="72"/>
  <c r="L58" i="72" s="1"/>
  <c r="L59" i="72"/>
  <c r="L60" i="72" s="1"/>
  <c r="L61" i="72"/>
  <c r="L62" i="72" s="1"/>
  <c r="H45" i="72"/>
  <c r="H53" i="72"/>
  <c r="H54" i="72" s="1"/>
  <c r="H61" i="72"/>
  <c r="H62" i="72" s="1"/>
  <c r="D47" i="72"/>
  <c r="D48" i="72" s="1"/>
  <c r="D55" i="72"/>
  <c r="D56" i="72" s="1"/>
  <c r="P51" i="72"/>
  <c r="P52" i="72" s="1"/>
  <c r="P59" i="72"/>
  <c r="P60" i="72" s="1"/>
  <c r="GP75" i="72"/>
  <c r="GN76" i="72"/>
  <c r="GP76" i="72" s="1"/>
  <c r="HM31" i="72"/>
  <c r="HN61" i="72" s="1"/>
  <c r="HO61" i="72" s="1"/>
  <c r="HO62" i="72" s="1"/>
  <c r="I37" i="54"/>
  <c r="D23" i="71"/>
  <c r="H277" i="48" s="1"/>
  <c r="FR57" i="72" l="1"/>
  <c r="FA61" i="72"/>
  <c r="FA62" i="72" s="1"/>
  <c r="FA63" i="72" s="1"/>
  <c r="FY64" i="72"/>
  <c r="K260" i="65"/>
  <c r="AF41" i="55"/>
  <c r="AG41" i="55" s="1"/>
  <c r="AE42" i="55" s="1"/>
  <c r="E32" i="55"/>
  <c r="FZ58" i="72"/>
  <c r="FX59" i="72" s="1"/>
  <c r="FU58" i="72"/>
  <c r="FV58" i="72" s="1"/>
  <c r="EW65" i="72"/>
  <c r="EW66" i="72" s="1"/>
  <c r="EW67" i="72" s="1"/>
  <c r="EW68" i="72" s="1"/>
  <c r="EW69" i="72" s="1"/>
  <c r="EW70" i="72" s="1"/>
  <c r="EW71" i="72" s="1"/>
  <c r="EW72" i="72" s="1"/>
  <c r="EW73" i="72" s="1"/>
  <c r="EW74" i="72" s="1"/>
  <c r="C20" i="68"/>
  <c r="C106" i="68"/>
  <c r="BA42" i="72"/>
  <c r="AY43" i="72" s="1"/>
  <c r="Q144" i="75"/>
  <c r="Q146" i="75" s="1"/>
  <c r="Q75" i="75"/>
  <c r="Q77" i="75" s="1"/>
  <c r="O144" i="75"/>
  <c r="O146" i="75" s="1"/>
  <c r="O156" i="75" s="1"/>
  <c r="O158" i="75" s="1"/>
  <c r="O75" i="75"/>
  <c r="O77" i="75" s="1"/>
  <c r="O87" i="75" s="1"/>
  <c r="M144" i="75"/>
  <c r="M146" i="75" s="1"/>
  <c r="M156" i="75" s="1"/>
  <c r="M75" i="75"/>
  <c r="M77" i="75" s="1"/>
  <c r="M87" i="75" s="1"/>
  <c r="K144" i="75"/>
  <c r="K146" i="75" s="1"/>
  <c r="K156" i="75" s="1"/>
  <c r="K158" i="75" s="1"/>
  <c r="K75" i="75"/>
  <c r="K77" i="75" s="1"/>
  <c r="K87" i="75" s="1"/>
  <c r="I76" i="54"/>
  <c r="I80" i="54" s="1"/>
  <c r="H245" i="48"/>
  <c r="H247" i="48" s="1"/>
  <c r="T37" i="55"/>
  <c r="U37" i="55" s="1"/>
  <c r="S38" i="55" s="1"/>
  <c r="U36" i="55"/>
  <c r="V36" i="55" s="1"/>
  <c r="I15" i="69"/>
  <c r="I66" i="54"/>
  <c r="I67" i="54"/>
  <c r="I71" i="54"/>
  <c r="I81" i="54"/>
  <c r="E175" i="65"/>
  <c r="K39" i="55"/>
  <c r="M39" i="55" s="1"/>
  <c r="K40" i="55" s="1"/>
  <c r="M38" i="55"/>
  <c r="N38" i="55" s="1"/>
  <c r="G31" i="68"/>
  <c r="H31" i="68" s="1"/>
  <c r="F32" i="68"/>
  <c r="AF53" i="72"/>
  <c r="AF54" i="72" s="1"/>
  <c r="FM61" i="72"/>
  <c r="FM62" i="72" s="1"/>
  <c r="FM63" i="72" s="1"/>
  <c r="FM65" i="72" s="1"/>
  <c r="FM66" i="72" s="1"/>
  <c r="FM67" i="72" s="1"/>
  <c r="FM68" i="72" s="1"/>
  <c r="FM69" i="72" s="1"/>
  <c r="FM70" i="72" s="1"/>
  <c r="FM71" i="72" s="1"/>
  <c r="FM72" i="72" s="1"/>
  <c r="FM73" i="72" s="1"/>
  <c r="FM74" i="72" s="1"/>
  <c r="FM75" i="72" s="1"/>
  <c r="FM76" i="72" s="1"/>
  <c r="I115" i="68"/>
  <c r="J115" i="68" s="1"/>
  <c r="AF69" i="72"/>
  <c r="AF70" i="72" s="1"/>
  <c r="AF109" i="72"/>
  <c r="AF110" i="72" s="1"/>
  <c r="AF131" i="72"/>
  <c r="AF132" i="72" s="1"/>
  <c r="AF91" i="72"/>
  <c r="AF92" i="72" s="1"/>
  <c r="AF49" i="72"/>
  <c r="AF50" i="72" s="1"/>
  <c r="AF85" i="72"/>
  <c r="AF86" i="72" s="1"/>
  <c r="AF73" i="72"/>
  <c r="AF74" i="72" s="1"/>
  <c r="AF133" i="72"/>
  <c r="AF134" i="72" s="1"/>
  <c r="M36" i="55"/>
  <c r="N36" i="55" s="1"/>
  <c r="CC49" i="72"/>
  <c r="AF117" i="72"/>
  <c r="AF118" i="72" s="1"/>
  <c r="DO136" i="72"/>
  <c r="DQ136" i="72" s="1"/>
  <c r="DO137" i="72" s="1"/>
  <c r="DO138" i="72" s="1"/>
  <c r="DQ138" i="72" s="1"/>
  <c r="DQ135" i="72"/>
  <c r="AK42" i="55"/>
  <c r="AL42" i="55" s="1"/>
  <c r="EX56" i="72"/>
  <c r="EV57" i="72" s="1"/>
  <c r="I36" i="55"/>
  <c r="J36" i="55" s="1"/>
  <c r="G37" i="55"/>
  <c r="I37" i="55" s="1"/>
  <c r="G38" i="55" s="1"/>
  <c r="Y38" i="55"/>
  <c r="X39" i="55"/>
  <c r="Y39" i="55" s="1"/>
  <c r="W40" i="55" s="1"/>
  <c r="AF45" i="72"/>
  <c r="AG45" i="72" s="1"/>
  <c r="AF59" i="72"/>
  <c r="AF60" i="72" s="1"/>
  <c r="AF107" i="72"/>
  <c r="AF108" i="72" s="1"/>
  <c r="AF121" i="72"/>
  <c r="AF122" i="72" s="1"/>
  <c r="AF87" i="72"/>
  <c r="AF88" i="72" s="1"/>
  <c r="AF79" i="72"/>
  <c r="AF80" i="72" s="1"/>
  <c r="AF83" i="72"/>
  <c r="AF84" i="72" s="1"/>
  <c r="AF63" i="72"/>
  <c r="AF64" i="72" s="1"/>
  <c r="G87" i="68"/>
  <c r="H87" i="68" s="1"/>
  <c r="F88" i="68"/>
  <c r="AK43" i="55"/>
  <c r="AI44" i="55" s="1"/>
  <c r="A9" i="64"/>
  <c r="G26" i="55"/>
  <c r="H165" i="48"/>
  <c r="G35" i="65" s="1"/>
  <c r="H35" i="65" s="1"/>
  <c r="EA112" i="72"/>
  <c r="EC112" i="72" s="1"/>
  <c r="EC111" i="72"/>
  <c r="DW109" i="72"/>
  <c r="DS111" i="72"/>
  <c r="BU48" i="72"/>
  <c r="BS49" i="72" s="1"/>
  <c r="BS50" i="72" s="1"/>
  <c r="BU50" i="72" s="1"/>
  <c r="BS51" i="72" s="1"/>
  <c r="BM45" i="72"/>
  <c r="BN45" i="72" s="1"/>
  <c r="BL46" i="72"/>
  <c r="BM46" i="72" s="1"/>
  <c r="GH60" i="72"/>
  <c r="GF61" i="72" s="1"/>
  <c r="GF62" i="72" s="1"/>
  <c r="GH62" i="72" s="1"/>
  <c r="GF63" i="72" s="1"/>
  <c r="CK52" i="72"/>
  <c r="CI53" i="72" s="1"/>
  <c r="CI54" i="72" s="1"/>
  <c r="CK54" i="72" s="1"/>
  <c r="CI55" i="72" s="1"/>
  <c r="AF57" i="72"/>
  <c r="AF58" i="72" s="1"/>
  <c r="AF89" i="72"/>
  <c r="AF90" i="72" s="1"/>
  <c r="AF115" i="72"/>
  <c r="AF116" i="72" s="1"/>
  <c r="M41" i="72"/>
  <c r="K43" i="72" s="1"/>
  <c r="M43" i="72" s="1"/>
  <c r="BO47" i="72"/>
  <c r="BR46" i="72"/>
  <c r="BD44" i="72"/>
  <c r="BE44" i="72" s="1"/>
  <c r="BE43" i="72"/>
  <c r="BF43" i="72" s="1"/>
  <c r="GL61" i="72"/>
  <c r="GL62" i="72"/>
  <c r="GJ63" i="72" s="1"/>
  <c r="CK51" i="72"/>
  <c r="AN48" i="72"/>
  <c r="AO48" i="72" s="1"/>
  <c r="AM49" i="72" s="1"/>
  <c r="AM50" i="72" s="1"/>
  <c r="AO47" i="72"/>
  <c r="H213" i="48"/>
  <c r="FX60" i="72"/>
  <c r="FZ60" i="72" s="1"/>
  <c r="FX61" i="72" s="1"/>
  <c r="FZ61" i="72" s="1"/>
  <c r="FZ59" i="72"/>
  <c r="Q46" i="72"/>
  <c r="O47" i="72" s="1"/>
  <c r="C35" i="55"/>
  <c r="E35" i="55" s="1"/>
  <c r="C36" i="55" s="1"/>
  <c r="E34" i="55"/>
  <c r="F34" i="55" s="1"/>
  <c r="FU61" i="72"/>
  <c r="FU62" i="72" s="1"/>
  <c r="FU63" i="72" s="1"/>
  <c r="FU60" i="72"/>
  <c r="FQ60" i="72"/>
  <c r="FQ61" i="72"/>
  <c r="FQ62" i="72" s="1"/>
  <c r="FQ63" i="72" s="1"/>
  <c r="F67" i="68"/>
  <c r="G66" i="68"/>
  <c r="AC40" i="55"/>
  <c r="AD40" i="55" s="1"/>
  <c r="AA41" i="55"/>
  <c r="AC41" i="55" s="1"/>
  <c r="AA42" i="55" s="1"/>
  <c r="D44" i="72"/>
  <c r="E44" i="72" s="1"/>
  <c r="C45" i="72" s="1"/>
  <c r="C46" i="72" s="1"/>
  <c r="E46" i="72" s="1"/>
  <c r="C47" i="72" s="1"/>
  <c r="E43" i="72"/>
  <c r="Q45" i="72"/>
  <c r="AB46" i="72"/>
  <c r="AC46" i="72" s="1"/>
  <c r="AA47" i="72" s="1"/>
  <c r="AA48" i="72" s="1"/>
  <c r="AC48" i="72" s="1"/>
  <c r="AA49" i="72" s="1"/>
  <c r="AC45" i="72"/>
  <c r="GG64" i="72"/>
  <c r="GG65" i="72"/>
  <c r="GG66" i="72" s="1"/>
  <c r="GG67" i="72" s="1"/>
  <c r="GG68" i="72" s="1"/>
  <c r="GG69" i="72" s="1"/>
  <c r="GG70" i="72" s="1"/>
  <c r="GG71" i="72" s="1"/>
  <c r="GG72" i="72" s="1"/>
  <c r="GG73" i="72" s="1"/>
  <c r="GG74" i="72" s="1"/>
  <c r="GG75" i="72" s="1"/>
  <c r="GG76" i="72" s="1"/>
  <c r="FR58" i="72"/>
  <c r="FP59" i="72" s="1"/>
  <c r="B19" i="68"/>
  <c r="B106" i="68" s="1"/>
  <c r="B78" i="68"/>
  <c r="P37" i="55"/>
  <c r="Q37" i="55" s="1"/>
  <c r="O38" i="55" s="1"/>
  <c r="Q36" i="55"/>
  <c r="R36" i="55" s="1"/>
  <c r="BA41" i="72"/>
  <c r="BB41" i="72" s="1"/>
  <c r="AH41" i="55"/>
  <c r="AD39" i="55"/>
  <c r="BU47" i="72"/>
  <c r="CF50" i="72"/>
  <c r="CG50" i="72" s="1"/>
  <c r="CE51" i="72" s="1"/>
  <c r="CG51" i="72" s="1"/>
  <c r="CG49" i="72"/>
  <c r="BX50" i="72"/>
  <c r="BY50" i="72" s="1"/>
  <c r="BW51" i="72" s="1"/>
  <c r="BW52" i="72" s="1"/>
  <c r="BY49" i="72"/>
  <c r="F16" i="48"/>
  <c r="F12" i="64" s="1"/>
  <c r="A10" i="64"/>
  <c r="N35" i="55"/>
  <c r="N39" i="55"/>
  <c r="N37" i="55"/>
  <c r="AH40" i="55"/>
  <c r="S26" i="55"/>
  <c r="V37" i="55" s="1"/>
  <c r="A21" i="48"/>
  <c r="A17" i="64"/>
  <c r="F21" i="48"/>
  <c r="F18" i="64" s="1"/>
  <c r="AI26" i="55"/>
  <c r="W26" i="55"/>
  <c r="O26" i="55"/>
  <c r="N34" i="55"/>
  <c r="J34" i="55"/>
  <c r="H271" i="48"/>
  <c r="AL40" i="55"/>
  <c r="H294" i="48"/>
  <c r="I39" i="54"/>
  <c r="I48" i="54" s="1"/>
  <c r="Z38" i="55"/>
  <c r="F32" i="55"/>
  <c r="AM32" i="55" s="1"/>
  <c r="AO32" i="55" s="1"/>
  <c r="AO74" i="55" s="1"/>
  <c r="F71" i="55"/>
  <c r="F33" i="55"/>
  <c r="AM33" i="55" s="1"/>
  <c r="AN33" i="55" s="1"/>
  <c r="AN74" i="55" s="1"/>
  <c r="F35" i="55"/>
  <c r="D48" i="71"/>
  <c r="F117" i="68"/>
  <c r="I116" i="68"/>
  <c r="J116" i="68" s="1"/>
  <c r="H171" i="48"/>
  <c r="H49" i="48"/>
  <c r="H21" i="48"/>
  <c r="H29" i="48" s="1"/>
  <c r="H63" i="48"/>
  <c r="DM87" i="72"/>
  <c r="DK88" i="72"/>
  <c r="DM88" i="72" s="1"/>
  <c r="DG86" i="72"/>
  <c r="DI86" i="72" s="1"/>
  <c r="DI85" i="72"/>
  <c r="DE83" i="72"/>
  <c r="DC84" i="72"/>
  <c r="DE84" i="72" s="1"/>
  <c r="DA83" i="72"/>
  <c r="CY84" i="72"/>
  <c r="DA84" i="72" s="1"/>
  <c r="H46" i="72"/>
  <c r="I46" i="72" s="1"/>
  <c r="G47" i="72" s="1"/>
  <c r="I45" i="72"/>
  <c r="S44" i="72"/>
  <c r="CN61" i="72"/>
  <c r="CN62" i="72" s="1"/>
  <c r="CN63" i="72"/>
  <c r="CN64" i="72" s="1"/>
  <c r="CN59" i="72"/>
  <c r="CN60" i="72" s="1"/>
  <c r="CN67" i="72"/>
  <c r="CN68" i="72" s="1"/>
  <c r="CN75" i="72"/>
  <c r="CN76" i="72" s="1"/>
  <c r="CN79" i="72"/>
  <c r="CN80" i="72" s="1"/>
  <c r="CN83" i="72"/>
  <c r="CN84" i="72" s="1"/>
  <c r="CN87" i="72"/>
  <c r="CN88" i="72" s="1"/>
  <c r="CN65" i="72"/>
  <c r="CN66" i="72" s="1"/>
  <c r="CN81" i="72"/>
  <c r="CN82" i="72" s="1"/>
  <c r="CN91" i="72"/>
  <c r="CN92" i="72" s="1"/>
  <c r="CN95" i="72"/>
  <c r="CN96" i="72" s="1"/>
  <c r="CN99" i="72"/>
  <c r="CN100" i="72" s="1"/>
  <c r="CN71" i="72"/>
  <c r="CN72" i="72" s="1"/>
  <c r="CN77" i="72"/>
  <c r="CN78" i="72" s="1"/>
  <c r="CN89" i="72"/>
  <c r="CN90" i="72" s="1"/>
  <c r="CN93" i="72"/>
  <c r="CN94" i="72" s="1"/>
  <c r="CN97" i="72"/>
  <c r="CN98" i="72" s="1"/>
  <c r="CN73" i="72"/>
  <c r="CN74" i="72" s="1"/>
  <c r="CN85" i="72"/>
  <c r="CN86" i="72" s="1"/>
  <c r="CN101" i="72"/>
  <c r="CN102" i="72" s="1"/>
  <c r="CN111" i="72"/>
  <c r="CN112" i="72" s="1"/>
  <c r="CN103" i="72"/>
  <c r="CN104" i="72" s="1"/>
  <c r="CN109" i="72"/>
  <c r="CN110" i="72" s="1"/>
  <c r="CN131" i="72"/>
  <c r="CN132" i="72" s="1"/>
  <c r="CN139" i="72"/>
  <c r="CN140" i="72" s="1"/>
  <c r="CN105" i="72"/>
  <c r="CN106" i="72" s="1"/>
  <c r="CN107" i="72"/>
  <c r="CN108" i="72" s="1"/>
  <c r="CN121" i="72"/>
  <c r="CN122" i="72" s="1"/>
  <c r="CN137" i="72"/>
  <c r="CN138" i="72" s="1"/>
  <c r="CN141" i="72"/>
  <c r="CN142" i="72" s="1"/>
  <c r="CN69" i="72"/>
  <c r="CN70" i="72" s="1"/>
  <c r="CN115" i="72"/>
  <c r="CN116" i="72" s="1"/>
  <c r="CN123" i="72"/>
  <c r="CN124" i="72" s="1"/>
  <c r="CN147" i="72"/>
  <c r="CN148" i="72" s="1"/>
  <c r="CN119" i="72"/>
  <c r="CN120" i="72" s="1"/>
  <c r="CN127" i="72"/>
  <c r="CN128" i="72" s="1"/>
  <c r="CN133" i="72"/>
  <c r="CN134" i="72" s="1"/>
  <c r="CN135" i="72"/>
  <c r="CN136" i="72" s="1"/>
  <c r="CN143" i="72"/>
  <c r="CN144" i="72" s="1"/>
  <c r="CN117" i="72"/>
  <c r="CN118" i="72" s="1"/>
  <c r="CN125" i="72"/>
  <c r="CN126" i="72" s="1"/>
  <c r="CN129" i="72"/>
  <c r="CN130" i="72" s="1"/>
  <c r="CN113" i="72"/>
  <c r="CN114" i="72" s="1"/>
  <c r="CN145" i="72"/>
  <c r="CN146" i="72" s="1"/>
  <c r="CW59" i="72"/>
  <c r="CV60" i="72"/>
  <c r="CW60" i="72" s="1"/>
  <c r="CU61" i="72" s="1"/>
  <c r="FD58" i="72"/>
  <c r="FF58" i="72" s="1"/>
  <c r="FF57" i="72"/>
  <c r="AN50" i="72"/>
  <c r="AR53" i="72"/>
  <c r="AR54" i="72" s="1"/>
  <c r="AR61" i="72"/>
  <c r="AR62" i="72" s="1"/>
  <c r="AR63" i="72"/>
  <c r="AR64" i="72" s="1"/>
  <c r="AR47" i="72"/>
  <c r="AR48" i="72" s="1"/>
  <c r="AR49" i="72"/>
  <c r="AR50" i="72" s="1"/>
  <c r="AR51" i="72"/>
  <c r="AR52" i="72" s="1"/>
  <c r="AR67" i="72"/>
  <c r="AR68" i="72" s="1"/>
  <c r="AR75" i="72"/>
  <c r="AR76" i="72" s="1"/>
  <c r="AR77" i="72"/>
  <c r="AR78" i="72" s="1"/>
  <c r="AR81" i="72"/>
  <c r="AR82" i="72" s="1"/>
  <c r="AR85" i="72"/>
  <c r="AR86" i="72" s="1"/>
  <c r="AR89" i="72"/>
  <c r="AR90" i="72" s="1"/>
  <c r="AR69" i="72"/>
  <c r="AR70" i="72" s="1"/>
  <c r="AR93" i="72"/>
  <c r="AR94" i="72" s="1"/>
  <c r="AR97" i="72"/>
  <c r="AR98" i="72" s="1"/>
  <c r="AR57" i="72"/>
  <c r="AR58" i="72" s="1"/>
  <c r="AR65" i="72"/>
  <c r="AR66" i="72" s="1"/>
  <c r="AR55" i="72"/>
  <c r="AR56" i="72" s="1"/>
  <c r="AR79" i="72"/>
  <c r="AR80" i="72" s="1"/>
  <c r="AR91" i="72"/>
  <c r="AR92" i="72" s="1"/>
  <c r="AR71" i="72"/>
  <c r="AR72" i="72" s="1"/>
  <c r="AR73" i="72"/>
  <c r="AR74" i="72" s="1"/>
  <c r="AR59" i="72"/>
  <c r="AR60" i="72" s="1"/>
  <c r="AR109" i="72"/>
  <c r="AR110" i="72" s="1"/>
  <c r="AR111" i="72"/>
  <c r="AR112" i="72" s="1"/>
  <c r="AR99" i="72"/>
  <c r="AR100" i="72" s="1"/>
  <c r="AR101" i="72"/>
  <c r="AR102" i="72" s="1"/>
  <c r="AR103" i="72"/>
  <c r="AR104" i="72" s="1"/>
  <c r="AR105" i="72"/>
  <c r="AR106" i="72" s="1"/>
  <c r="AR121" i="72"/>
  <c r="AR122" i="72" s="1"/>
  <c r="AR136" i="72"/>
  <c r="AR83" i="72"/>
  <c r="AR84" i="72" s="1"/>
  <c r="AR115" i="72"/>
  <c r="AR116" i="72" s="1"/>
  <c r="AR123" i="72"/>
  <c r="AR124" i="72" s="1"/>
  <c r="AR129" i="72"/>
  <c r="AR130" i="72" s="1"/>
  <c r="AR87" i="72"/>
  <c r="AR88" i="72" s="1"/>
  <c r="AR95" i="72"/>
  <c r="AR96" i="72" s="1"/>
  <c r="AR113" i="72"/>
  <c r="AR114" i="72" s="1"/>
  <c r="AR117" i="72"/>
  <c r="AR118" i="72" s="1"/>
  <c r="AR125" i="72"/>
  <c r="AR126" i="72" s="1"/>
  <c r="AR127" i="72"/>
  <c r="AR128" i="72" s="1"/>
  <c r="AR133" i="72"/>
  <c r="AR134" i="72" s="1"/>
  <c r="AR107" i="72"/>
  <c r="AR108" i="72" s="1"/>
  <c r="AR119" i="72"/>
  <c r="AR120" i="72" s="1"/>
  <c r="AR131" i="72"/>
  <c r="AR132" i="72" s="1"/>
  <c r="CM60" i="72"/>
  <c r="GC61" i="72"/>
  <c r="GC62" i="72" s="1"/>
  <c r="GC63" i="72" s="1"/>
  <c r="GC60" i="72"/>
  <c r="GB60" i="72"/>
  <c r="GD59" i="72"/>
  <c r="AU43" i="72"/>
  <c r="AX42" i="72"/>
  <c r="EZ58" i="72"/>
  <c r="FB58" i="72" s="1"/>
  <c r="FB57" i="72"/>
  <c r="X46" i="72"/>
  <c r="Y46" i="72" s="1"/>
  <c r="W47" i="72" s="1"/>
  <c r="Y45" i="72"/>
  <c r="O48" i="72"/>
  <c r="Q48" i="72" s="1"/>
  <c r="O49" i="72" s="1"/>
  <c r="Q47" i="72"/>
  <c r="BU49" i="72"/>
  <c r="CQ60" i="72"/>
  <c r="FM64" i="72"/>
  <c r="BO48" i="72"/>
  <c r="BQ48" i="72" s="1"/>
  <c r="BQ47" i="72"/>
  <c r="BR47" i="72" s="1"/>
  <c r="AQ48" i="72"/>
  <c r="FE60" i="72"/>
  <c r="FE61" i="72"/>
  <c r="FE62" i="72" s="1"/>
  <c r="FE63" i="72" s="1"/>
  <c r="BI43" i="72"/>
  <c r="BJ43" i="72" s="1"/>
  <c r="BH44" i="72"/>
  <c r="BI44" i="72" s="1"/>
  <c r="GK77" i="72"/>
  <c r="GK76" i="72"/>
  <c r="GK78" i="72" s="1"/>
  <c r="BX52" i="72"/>
  <c r="T49" i="72"/>
  <c r="T50" i="72" s="1"/>
  <c r="T57" i="72"/>
  <c r="T58" i="72" s="1"/>
  <c r="T51" i="72"/>
  <c r="T52" i="72" s="1"/>
  <c r="T53" i="72"/>
  <c r="T54" i="72" s="1"/>
  <c r="T55" i="72"/>
  <c r="T56" i="72" s="1"/>
  <c r="T45" i="72"/>
  <c r="T46" i="72" s="1"/>
  <c r="T59" i="72"/>
  <c r="T60" i="72" s="1"/>
  <c r="T47" i="72"/>
  <c r="T48" i="72" s="1"/>
  <c r="T75" i="72"/>
  <c r="T76" i="72" s="1"/>
  <c r="T61" i="72"/>
  <c r="T62" i="72" s="1"/>
  <c r="T63" i="72"/>
  <c r="T64" i="72" s="1"/>
  <c r="T71" i="72"/>
  <c r="T72" i="72" s="1"/>
  <c r="T79" i="72"/>
  <c r="T80" i="72" s="1"/>
  <c r="T83" i="72"/>
  <c r="T84" i="72" s="1"/>
  <c r="T87" i="72"/>
  <c r="T88" i="72" s="1"/>
  <c r="T67" i="72"/>
  <c r="T68" i="72" s="1"/>
  <c r="T69" i="72"/>
  <c r="T70" i="72" s="1"/>
  <c r="T85" i="72"/>
  <c r="T86" i="72" s="1"/>
  <c r="T91" i="72"/>
  <c r="T92" i="72" s="1"/>
  <c r="T95" i="72"/>
  <c r="T96" i="72" s="1"/>
  <c r="T99" i="72"/>
  <c r="T100" i="72" s="1"/>
  <c r="T65" i="72"/>
  <c r="T66" i="72" s="1"/>
  <c r="T73" i="72"/>
  <c r="T74" i="72" s="1"/>
  <c r="T89" i="72"/>
  <c r="T90" i="72" s="1"/>
  <c r="T81" i="72"/>
  <c r="T82" i="72" s="1"/>
  <c r="T93" i="72"/>
  <c r="T94" i="72" s="1"/>
  <c r="T103" i="72"/>
  <c r="T104" i="72" s="1"/>
  <c r="T109" i="72"/>
  <c r="T110" i="72" s="1"/>
  <c r="T43" i="72"/>
  <c r="T44" i="72" s="1"/>
  <c r="T77" i="72"/>
  <c r="T78" i="72" s="1"/>
  <c r="T97" i="72"/>
  <c r="T98" i="72" s="1"/>
  <c r="T101" i="72"/>
  <c r="T102" i="72" s="1"/>
  <c r="T111" i="72"/>
  <c r="T112" i="72" s="1"/>
  <c r="T132" i="72"/>
  <c r="T121" i="72"/>
  <c r="T122" i="72" s="1"/>
  <c r="T127" i="72"/>
  <c r="T128" i="72" s="1"/>
  <c r="T113" i="72"/>
  <c r="T114" i="72" s="1"/>
  <c r="T115" i="72"/>
  <c r="T116" i="72" s="1"/>
  <c r="T123" i="72"/>
  <c r="T124" i="72" s="1"/>
  <c r="T129" i="72"/>
  <c r="T130" i="72" s="1"/>
  <c r="T117" i="72"/>
  <c r="T118" i="72" s="1"/>
  <c r="T125" i="72"/>
  <c r="T126" i="72" s="1"/>
  <c r="T119" i="72"/>
  <c r="T120" i="72" s="1"/>
  <c r="T105" i="72"/>
  <c r="T106" i="72" s="1"/>
  <c r="T107" i="72"/>
  <c r="T108" i="72" s="1"/>
  <c r="CR61" i="72"/>
  <c r="CR62" i="72" s="1"/>
  <c r="CR67" i="72"/>
  <c r="CR68" i="72" s="1"/>
  <c r="CR71" i="72"/>
  <c r="CR72" i="72" s="1"/>
  <c r="CR75" i="72"/>
  <c r="CR76" i="72" s="1"/>
  <c r="CR73" i="72"/>
  <c r="CR74" i="72" s="1"/>
  <c r="CR87" i="72"/>
  <c r="CR88" i="72" s="1"/>
  <c r="CR89" i="72"/>
  <c r="CR90" i="72" s="1"/>
  <c r="CR69" i="72"/>
  <c r="CR70" i="72" s="1"/>
  <c r="CR59" i="72"/>
  <c r="CR60" i="72" s="1"/>
  <c r="CR63" i="72"/>
  <c r="CR64" i="72" s="1"/>
  <c r="CR85" i="72"/>
  <c r="CR86" i="72" s="1"/>
  <c r="CR65" i="72"/>
  <c r="CR66" i="72" s="1"/>
  <c r="CR81" i="72"/>
  <c r="CR82" i="72" s="1"/>
  <c r="CR95" i="72"/>
  <c r="CR96" i="72" s="1"/>
  <c r="CR101" i="72"/>
  <c r="CR102" i="72" s="1"/>
  <c r="CR105" i="72"/>
  <c r="CR106" i="72" s="1"/>
  <c r="CR109" i="72"/>
  <c r="CR110" i="72" s="1"/>
  <c r="CR113" i="72"/>
  <c r="CR114" i="72" s="1"/>
  <c r="CR97" i="72"/>
  <c r="CR98" i="72" s="1"/>
  <c r="CR103" i="72"/>
  <c r="CR104" i="72" s="1"/>
  <c r="CR115" i="72"/>
  <c r="CR116" i="72" s="1"/>
  <c r="CR119" i="72"/>
  <c r="CR120" i="72" s="1"/>
  <c r="CR123" i="72"/>
  <c r="CR124" i="72" s="1"/>
  <c r="CR83" i="72"/>
  <c r="CR84" i="72" s="1"/>
  <c r="CR91" i="72"/>
  <c r="CR92" i="72" s="1"/>
  <c r="CR111" i="72"/>
  <c r="CR112" i="72" s="1"/>
  <c r="CR117" i="72"/>
  <c r="CR118" i="72" s="1"/>
  <c r="CR121" i="72"/>
  <c r="CR122" i="72" s="1"/>
  <c r="CR125" i="72"/>
  <c r="CR126" i="72" s="1"/>
  <c r="CR129" i="72"/>
  <c r="CR130" i="72" s="1"/>
  <c r="CR135" i="72"/>
  <c r="CR136" i="72" s="1"/>
  <c r="CR141" i="72"/>
  <c r="CR142" i="72" s="1"/>
  <c r="CR145" i="72"/>
  <c r="CR146" i="72" s="1"/>
  <c r="CR79" i="72"/>
  <c r="CR80" i="72" s="1"/>
  <c r="CR127" i="72"/>
  <c r="CR128" i="72" s="1"/>
  <c r="CR133" i="72"/>
  <c r="CR134" i="72" s="1"/>
  <c r="CR143" i="72"/>
  <c r="CR144" i="72" s="1"/>
  <c r="CR93" i="72"/>
  <c r="CR94" i="72" s="1"/>
  <c r="CR99" i="72"/>
  <c r="CR100" i="72" s="1"/>
  <c r="CR107" i="72"/>
  <c r="CR108" i="72" s="1"/>
  <c r="CR147" i="72"/>
  <c r="CR148" i="72" s="1"/>
  <c r="CR77" i="72"/>
  <c r="CR78" i="72" s="1"/>
  <c r="CR137" i="72"/>
  <c r="CR138" i="72" s="1"/>
  <c r="CR139" i="72"/>
  <c r="CR140" i="72" s="1"/>
  <c r="CR131" i="72"/>
  <c r="CR132" i="72" s="1"/>
  <c r="AI50" i="72"/>
  <c r="AK50" i="72" s="1"/>
  <c r="AI51" i="72" s="1"/>
  <c r="AK49" i="72"/>
  <c r="CA52" i="72"/>
  <c r="CC52" i="72" s="1"/>
  <c r="CA53" i="72" s="1"/>
  <c r="CC51" i="72"/>
  <c r="CE52" i="72"/>
  <c r="CG52" i="72" s="1"/>
  <c r="CE53" i="72" s="1"/>
  <c r="FT59" i="72"/>
  <c r="GJ64" i="72"/>
  <c r="GL64" i="72" s="1"/>
  <c r="GJ65" i="72" s="1"/>
  <c r="GL63" i="72"/>
  <c r="FH58" i="72"/>
  <c r="FJ58" i="72" s="1"/>
  <c r="FH59" i="72" s="1"/>
  <c r="FJ57" i="72"/>
  <c r="FL59" i="72"/>
  <c r="GN77" i="72"/>
  <c r="HN62" i="72"/>
  <c r="H209" i="48"/>
  <c r="H210" i="48"/>
  <c r="H211" i="48"/>
  <c r="FA65" i="72" l="1"/>
  <c r="FA66" i="72" s="1"/>
  <c r="FA67" i="72" s="1"/>
  <c r="FA68" i="72" s="1"/>
  <c r="FA69" i="72" s="1"/>
  <c r="FA70" i="72" s="1"/>
  <c r="FA71" i="72" s="1"/>
  <c r="FA72" i="72" s="1"/>
  <c r="FA73" i="72" s="1"/>
  <c r="FA74" i="72" s="1"/>
  <c r="FA64" i="72"/>
  <c r="K44" i="72"/>
  <c r="M44" i="72" s="1"/>
  <c r="K45" i="72" s="1"/>
  <c r="AO50" i="72"/>
  <c r="AM51" i="72" s="1"/>
  <c r="AE43" i="55"/>
  <c r="AG43" i="55" s="1"/>
  <c r="AG42" i="55"/>
  <c r="AH42" i="55" s="1"/>
  <c r="AF46" i="72"/>
  <c r="AG46" i="72" s="1"/>
  <c r="AE47" i="72" s="1"/>
  <c r="CK53" i="72"/>
  <c r="DQ137" i="72"/>
  <c r="E45" i="72"/>
  <c r="BY51" i="72"/>
  <c r="I82" i="54"/>
  <c r="S39" i="55"/>
  <c r="U39" i="55" s="1"/>
  <c r="S40" i="55" s="1"/>
  <c r="U38" i="55"/>
  <c r="V38" i="55" s="1"/>
  <c r="K89" i="75"/>
  <c r="K170" i="75"/>
  <c r="K172" i="75" s="1"/>
  <c r="O170" i="75"/>
  <c r="O172" i="75" s="1"/>
  <c r="O89" i="75"/>
  <c r="GD60" i="72"/>
  <c r="BB42" i="72"/>
  <c r="Z39" i="55"/>
  <c r="M89" i="75"/>
  <c r="M170" i="75"/>
  <c r="Q87" i="75"/>
  <c r="Q89" i="75" s="1"/>
  <c r="M158" i="75"/>
  <c r="Q156" i="75"/>
  <c r="Q158" i="75" s="1"/>
  <c r="C21" i="68"/>
  <c r="C155" i="68" s="1"/>
  <c r="C151" i="68"/>
  <c r="AS48" i="72"/>
  <c r="AQ49" i="72" s="1"/>
  <c r="W41" i="55"/>
  <c r="Y41" i="55" s="1"/>
  <c r="W42" i="55" s="1"/>
  <c r="Y40" i="55"/>
  <c r="Z40" i="55" s="1"/>
  <c r="F89" i="68"/>
  <c r="G88" i="68"/>
  <c r="H88" i="68" s="1"/>
  <c r="I38" i="55"/>
  <c r="J38" i="55" s="1"/>
  <c r="G39" i="55"/>
  <c r="I39" i="55" s="1"/>
  <c r="G40" i="55" s="1"/>
  <c r="G32" i="68"/>
  <c r="H32" i="68" s="1"/>
  <c r="F33" i="68"/>
  <c r="FX62" i="72"/>
  <c r="FZ62" i="72" s="1"/>
  <c r="FX63" i="72" s="1"/>
  <c r="FX64" i="72" s="1"/>
  <c r="FZ64" i="72" s="1"/>
  <c r="J39" i="55"/>
  <c r="AK44" i="55"/>
  <c r="AL44" i="55" s="1"/>
  <c r="AI45" i="55"/>
  <c r="AK45" i="55" s="1"/>
  <c r="AI46" i="55" s="1"/>
  <c r="K41" i="55"/>
  <c r="M41" i="55" s="1"/>
  <c r="M40" i="55"/>
  <c r="N40" i="55" s="1"/>
  <c r="J35" i="55"/>
  <c r="AM35" i="55" s="1"/>
  <c r="AN35" i="55" s="1"/>
  <c r="Z41" i="55"/>
  <c r="J37" i="55"/>
  <c r="AL41" i="55"/>
  <c r="AL43" i="55"/>
  <c r="V39" i="55"/>
  <c r="H217" i="48"/>
  <c r="EA113" i="72"/>
  <c r="DY109" i="72"/>
  <c r="DW110" i="72"/>
  <c r="DY110" i="72" s="1"/>
  <c r="DU111" i="72"/>
  <c r="DS112" i="72"/>
  <c r="DU112" i="72" s="1"/>
  <c r="DO139" i="72"/>
  <c r="BK47" i="72"/>
  <c r="BN46" i="72"/>
  <c r="GH61" i="72"/>
  <c r="CO60" i="72"/>
  <c r="CM61" i="72" s="1"/>
  <c r="CM62" i="72" s="1"/>
  <c r="CO62" i="72" s="1"/>
  <c r="CM63" i="72" s="1"/>
  <c r="AC47" i="72"/>
  <c r="BF44" i="72"/>
  <c r="BC45" i="72"/>
  <c r="AO49" i="72"/>
  <c r="Q38" i="55"/>
  <c r="R38" i="55" s="1"/>
  <c r="O39" i="55"/>
  <c r="Q39" i="55" s="1"/>
  <c r="H66" i="68"/>
  <c r="BY52" i="72"/>
  <c r="BW53" i="72" s="1"/>
  <c r="BW54" i="72" s="1"/>
  <c r="BY54" i="72" s="1"/>
  <c r="BW55" i="72" s="1"/>
  <c r="AC42" i="55"/>
  <c r="AD42" i="55" s="1"/>
  <c r="AA43" i="55"/>
  <c r="AC43" i="55" s="1"/>
  <c r="F68" i="68"/>
  <c r="G67" i="68"/>
  <c r="H67" i="68" s="1"/>
  <c r="FU64" i="72"/>
  <c r="FU65" i="72"/>
  <c r="FU66" i="72" s="1"/>
  <c r="FU67" i="72" s="1"/>
  <c r="FU68" i="72" s="1"/>
  <c r="FU69" i="72" s="1"/>
  <c r="FU70" i="72" s="1"/>
  <c r="FU71" i="72" s="1"/>
  <c r="FU72" i="72" s="1"/>
  <c r="FU73" i="72" s="1"/>
  <c r="FU74" i="72" s="1"/>
  <c r="FU75" i="72" s="1"/>
  <c r="FU76" i="72" s="1"/>
  <c r="FR59" i="72"/>
  <c r="FP60" i="72"/>
  <c r="FR60" i="72" s="1"/>
  <c r="FP61" i="72" s="1"/>
  <c r="FQ65" i="72"/>
  <c r="FQ66" i="72" s="1"/>
  <c r="FQ67" i="72" s="1"/>
  <c r="FQ68" i="72" s="1"/>
  <c r="FQ69" i="72" s="1"/>
  <c r="FQ70" i="72" s="1"/>
  <c r="FQ71" i="72" s="1"/>
  <c r="FQ72" i="72" s="1"/>
  <c r="FQ73" i="72" s="1"/>
  <c r="FQ74" i="72" s="1"/>
  <c r="FQ75" i="72" s="1"/>
  <c r="FQ76" i="72" s="1"/>
  <c r="FQ64" i="72"/>
  <c r="AD41" i="55"/>
  <c r="C37" i="55"/>
  <c r="E37" i="55" s="1"/>
  <c r="E36" i="55"/>
  <c r="F36" i="55" s="1"/>
  <c r="AM36" i="55" s="1"/>
  <c r="AO36" i="55" s="1"/>
  <c r="A57" i="65"/>
  <c r="A8" i="65"/>
  <c r="A23" i="48"/>
  <c r="A18" i="64"/>
  <c r="R37" i="55"/>
  <c r="I42" i="54"/>
  <c r="I46" i="54" s="1"/>
  <c r="I54" i="54" s="1"/>
  <c r="H272" i="48"/>
  <c r="AM34" i="55"/>
  <c r="AO34" i="55" s="1"/>
  <c r="I117" i="68"/>
  <c r="J117" i="68" s="1"/>
  <c r="F118" i="68"/>
  <c r="H174" i="48"/>
  <c r="H261" i="48" s="1"/>
  <c r="H65" i="48"/>
  <c r="DK89" i="72"/>
  <c r="DG87" i="72"/>
  <c r="DC85" i="72"/>
  <c r="CY85" i="72"/>
  <c r="FJ59" i="72"/>
  <c r="FH60" i="72"/>
  <c r="FJ60" i="72" s="1"/>
  <c r="GJ66" i="72"/>
  <c r="GL66" i="72" s="1"/>
  <c r="GJ67" i="72" s="1"/>
  <c r="GL65" i="72"/>
  <c r="BG45" i="72"/>
  <c r="BJ44" i="72"/>
  <c r="AQ50" i="72"/>
  <c r="AS50" i="72" s="1"/>
  <c r="AQ51" i="72" s="1"/>
  <c r="AS49" i="72"/>
  <c r="CS59" i="72"/>
  <c r="AW43" i="72"/>
  <c r="AX43" i="72" s="1"/>
  <c r="AU44" i="72"/>
  <c r="AW44" i="72" s="1"/>
  <c r="GC65" i="72"/>
  <c r="GC66" i="72" s="1"/>
  <c r="GC67" i="72" s="1"/>
  <c r="GC68" i="72" s="1"/>
  <c r="GC69" i="72" s="1"/>
  <c r="GC70" i="72" s="1"/>
  <c r="GC71" i="72" s="1"/>
  <c r="GC72" i="72" s="1"/>
  <c r="GC73" i="72" s="1"/>
  <c r="GC74" i="72" s="1"/>
  <c r="GC75" i="72" s="1"/>
  <c r="GC76" i="72" s="1"/>
  <c r="GC64" i="72"/>
  <c r="CW61" i="72"/>
  <c r="CU62" i="72"/>
  <c r="CW62" i="72" s="1"/>
  <c r="CU63" i="72" s="1"/>
  <c r="U44" i="72"/>
  <c r="S45" i="72" s="1"/>
  <c r="FL60" i="72"/>
  <c r="FN60" i="72" s="1"/>
  <c r="FN59" i="72"/>
  <c r="FV59" i="72"/>
  <c r="FT60" i="72"/>
  <c r="FV60" i="72" s="1"/>
  <c r="CA54" i="72"/>
  <c r="CC54" i="72" s="1"/>
  <c r="CA55" i="72" s="1"/>
  <c r="CC53" i="72"/>
  <c r="K46" i="72"/>
  <c r="M46" i="72" s="1"/>
  <c r="K47" i="72" s="1"/>
  <c r="M45" i="72"/>
  <c r="C48" i="72"/>
  <c r="E48" i="72" s="1"/>
  <c r="C49" i="72" s="1"/>
  <c r="E47" i="72"/>
  <c r="CS60" i="72"/>
  <c r="CQ61" i="72" s="1"/>
  <c r="O50" i="72"/>
  <c r="Q50" i="72" s="1"/>
  <c r="O51" i="72" s="1"/>
  <c r="Q49" i="72"/>
  <c r="EZ59" i="72"/>
  <c r="CO59" i="72"/>
  <c r="AM52" i="72"/>
  <c r="AO52" i="72" s="1"/>
  <c r="AM53" i="72" s="1"/>
  <c r="AO51" i="72"/>
  <c r="FD59" i="72"/>
  <c r="CI56" i="72"/>
  <c r="CK56" i="72" s="1"/>
  <c r="CI57" i="72" s="1"/>
  <c r="CK55" i="72"/>
  <c r="GB61" i="72"/>
  <c r="G48" i="72"/>
  <c r="I48" i="72" s="1"/>
  <c r="G49" i="72" s="1"/>
  <c r="I47" i="72"/>
  <c r="GH63" i="72"/>
  <c r="GF64" i="72"/>
  <c r="GH64" i="72" s="1"/>
  <c r="GF65" i="72" s="1"/>
  <c r="CE54" i="72"/>
  <c r="CG54" i="72" s="1"/>
  <c r="CE55" i="72" s="1"/>
  <c r="CG53" i="72"/>
  <c r="AI52" i="72"/>
  <c r="AK52" i="72" s="1"/>
  <c r="AI53" i="72" s="1"/>
  <c r="AK51" i="72"/>
  <c r="EX57" i="72"/>
  <c r="EV58" i="72"/>
  <c r="EX58" i="72" s="1"/>
  <c r="AE48" i="72"/>
  <c r="AG48" i="72" s="1"/>
  <c r="AE49" i="72" s="1"/>
  <c r="AG47" i="72"/>
  <c r="FE65" i="72"/>
  <c r="FE66" i="72" s="1"/>
  <c r="FE67" i="72" s="1"/>
  <c r="FE68" i="72" s="1"/>
  <c r="FE69" i="72" s="1"/>
  <c r="FE70" i="72" s="1"/>
  <c r="FE71" i="72" s="1"/>
  <c r="FE72" i="72" s="1"/>
  <c r="FE73" i="72" s="1"/>
  <c r="FE74" i="72" s="1"/>
  <c r="FE64" i="72"/>
  <c r="AS47" i="72"/>
  <c r="BR48" i="72"/>
  <c r="BO49" i="72"/>
  <c r="BS52" i="72"/>
  <c r="BU52" i="72" s="1"/>
  <c r="BS53" i="72" s="1"/>
  <c r="BU51" i="72"/>
  <c r="W48" i="72"/>
  <c r="Y48" i="72" s="1"/>
  <c r="W49" i="72" s="1"/>
  <c r="Y47" i="72"/>
  <c r="AA50" i="72"/>
  <c r="AC50" i="72" s="1"/>
  <c r="AA51" i="72" s="1"/>
  <c r="AC49" i="72"/>
  <c r="AY44" i="72"/>
  <c r="BA44" i="72" s="1"/>
  <c r="BA43" i="72"/>
  <c r="BB43" i="72" s="1"/>
  <c r="U43" i="72"/>
  <c r="GN78" i="72"/>
  <c r="GP78" i="72" s="1"/>
  <c r="GN79" i="72" s="1"/>
  <c r="GP77" i="72"/>
  <c r="H218" i="48"/>
  <c r="H219" i="48"/>
  <c r="AE44" i="55" l="1"/>
  <c r="AH43" i="55"/>
  <c r="AL45" i="55"/>
  <c r="M172" i="75"/>
  <c r="Q170" i="75"/>
  <c r="Q172" i="75" s="1"/>
  <c r="FZ63" i="72"/>
  <c r="U40" i="55"/>
  <c r="V40" i="55" s="1"/>
  <c r="S41" i="55"/>
  <c r="U41" i="55" s="1"/>
  <c r="K42" i="55"/>
  <c r="N41" i="55"/>
  <c r="AI47" i="55"/>
  <c r="AK47" i="55" s="1"/>
  <c r="AK46" i="55"/>
  <c r="AL46" i="55" s="1"/>
  <c r="G33" i="68"/>
  <c r="H33" i="68" s="1"/>
  <c r="F34" i="68"/>
  <c r="Y42" i="55"/>
  <c r="Z42" i="55" s="1"/>
  <c r="W43" i="55"/>
  <c r="Y43" i="55" s="1"/>
  <c r="G41" i="55"/>
  <c r="I41" i="55" s="1"/>
  <c r="I40" i="55"/>
  <c r="J40" i="55" s="1"/>
  <c r="G89" i="68"/>
  <c r="H89" i="68" s="1"/>
  <c r="F90" i="68"/>
  <c r="EA114" i="72"/>
  <c r="EC114" i="72" s="1"/>
  <c r="EC113" i="72"/>
  <c r="DW111" i="72"/>
  <c r="DS113" i="72"/>
  <c r="DO140" i="72"/>
  <c r="DQ140" i="72" s="1"/>
  <c r="DQ139" i="72"/>
  <c r="BY53" i="72"/>
  <c r="CO61" i="72"/>
  <c r="BK48" i="72"/>
  <c r="BM48" i="72" s="1"/>
  <c r="BM47" i="72"/>
  <c r="BN47" i="72" s="1"/>
  <c r="BE45" i="72"/>
  <c r="BF45" i="72" s="1"/>
  <c r="BC46" i="72"/>
  <c r="BE46" i="72" s="1"/>
  <c r="I45" i="54"/>
  <c r="I53" i="54" s="1"/>
  <c r="G68" i="68"/>
  <c r="F69" i="68"/>
  <c r="AA44" i="55"/>
  <c r="AD43" i="55"/>
  <c r="FP62" i="72"/>
  <c r="FR62" i="72" s="1"/>
  <c r="FP63" i="72" s="1"/>
  <c r="FR61" i="72"/>
  <c r="GN80" i="72"/>
  <c r="GP80" i="72" s="1"/>
  <c r="GN81" i="72" s="1"/>
  <c r="GP79" i="72"/>
  <c r="C38" i="55"/>
  <c r="F37" i="55"/>
  <c r="AM37" i="55" s="1"/>
  <c r="AN37" i="55" s="1"/>
  <c r="O40" i="55"/>
  <c r="R39" i="55"/>
  <c r="A20" i="64"/>
  <c r="A24" i="48"/>
  <c r="I44" i="54"/>
  <c r="I52" i="54" s="1"/>
  <c r="F119" i="68"/>
  <c r="I118" i="68"/>
  <c r="J118" i="68" s="1"/>
  <c r="H67" i="48"/>
  <c r="DM89" i="72"/>
  <c r="DK90" i="72"/>
  <c r="DM90" i="72" s="1"/>
  <c r="DG88" i="72"/>
  <c r="DI88" i="72" s="1"/>
  <c r="DI87" i="72"/>
  <c r="DE85" i="72"/>
  <c r="DC86" i="72"/>
  <c r="DE86" i="72" s="1"/>
  <c r="DA85" i="72"/>
  <c r="CY86" i="72"/>
  <c r="DA86" i="72" s="1"/>
  <c r="AE50" i="72"/>
  <c r="AG50" i="72" s="1"/>
  <c r="AE51" i="72" s="1"/>
  <c r="AG49" i="72"/>
  <c r="AI54" i="72"/>
  <c r="AK54" i="72" s="1"/>
  <c r="AI55" i="72" s="1"/>
  <c r="AK53" i="72"/>
  <c r="CI58" i="72"/>
  <c r="CK58" i="72" s="1"/>
  <c r="CI59" i="72" s="1"/>
  <c r="CK57" i="72"/>
  <c r="CS61" i="72"/>
  <c r="CQ62" i="72"/>
  <c r="CS62" i="72" s="1"/>
  <c r="CQ63" i="72" s="1"/>
  <c r="BW56" i="72"/>
  <c r="BY56" i="72" s="1"/>
  <c r="BW57" i="72" s="1"/>
  <c r="BY55" i="72"/>
  <c r="CA56" i="72"/>
  <c r="CC56" i="72" s="1"/>
  <c r="CA57" i="72" s="1"/>
  <c r="CC55" i="72"/>
  <c r="FL61" i="72"/>
  <c r="AQ52" i="72"/>
  <c r="AS52" i="72" s="1"/>
  <c r="AQ53" i="72" s="1"/>
  <c r="AS51" i="72"/>
  <c r="GL67" i="72"/>
  <c r="GJ68" i="72"/>
  <c r="GL68" i="72" s="1"/>
  <c r="GJ69" i="72" s="1"/>
  <c r="AA52" i="72"/>
  <c r="AC52" i="72" s="1"/>
  <c r="AA53" i="72" s="1"/>
  <c r="AC51" i="72"/>
  <c r="BS54" i="72"/>
  <c r="BU54" i="72" s="1"/>
  <c r="BS55" i="72" s="1"/>
  <c r="BU53" i="72"/>
  <c r="EV59" i="72"/>
  <c r="EZ60" i="72"/>
  <c r="FB60" i="72" s="1"/>
  <c r="FB59" i="72"/>
  <c r="FT61" i="72"/>
  <c r="S46" i="72"/>
  <c r="U46" i="72" s="1"/>
  <c r="S47" i="72" s="1"/>
  <c r="U45" i="72"/>
  <c r="CO63" i="72"/>
  <c r="CM64" i="72"/>
  <c r="CO64" i="72" s="1"/>
  <c r="CM65" i="72" s="1"/>
  <c r="BO50" i="72"/>
  <c r="BQ50" i="72" s="1"/>
  <c r="BQ49" i="72"/>
  <c r="BR49" i="72" s="1"/>
  <c r="CE56" i="72"/>
  <c r="CG56" i="72" s="1"/>
  <c r="CE57" i="72" s="1"/>
  <c r="CG55" i="72"/>
  <c r="G50" i="72"/>
  <c r="I50" i="72" s="1"/>
  <c r="G51" i="72" s="1"/>
  <c r="I49" i="72"/>
  <c r="GD61" i="72"/>
  <c r="GB62" i="72"/>
  <c r="GD62" i="72" s="1"/>
  <c r="FF59" i="72"/>
  <c r="FD60" i="72"/>
  <c r="FF60" i="72" s="1"/>
  <c r="AM54" i="72"/>
  <c r="AO54" i="72" s="1"/>
  <c r="AM55" i="72" s="1"/>
  <c r="AO53" i="72"/>
  <c r="C50" i="72"/>
  <c r="E50" i="72" s="1"/>
  <c r="C51" i="72" s="1"/>
  <c r="E49" i="72"/>
  <c r="K48" i="72"/>
  <c r="M48" i="72" s="1"/>
  <c r="K49" i="72" s="1"/>
  <c r="M47" i="72"/>
  <c r="CW63" i="72"/>
  <c r="CU64" i="72"/>
  <c r="CW64" i="72" s="1"/>
  <c r="CU65" i="72" s="1"/>
  <c r="AX44" i="72"/>
  <c r="AU45" i="72"/>
  <c r="FX65" i="72"/>
  <c r="BG46" i="72"/>
  <c r="BI46" i="72" s="1"/>
  <c r="BI45" i="72"/>
  <c r="BJ45" i="72" s="1"/>
  <c r="FH61" i="72"/>
  <c r="AY45" i="72"/>
  <c r="BB44" i="72"/>
  <c r="W50" i="72"/>
  <c r="Y50" i="72" s="1"/>
  <c r="W51" i="72" s="1"/>
  <c r="Y49" i="72"/>
  <c r="GH65" i="72"/>
  <c r="GF66" i="72"/>
  <c r="GH66" i="72" s="1"/>
  <c r="O52" i="72"/>
  <c r="Q52" i="72" s="1"/>
  <c r="O53" i="72" s="1"/>
  <c r="Q51" i="72"/>
  <c r="H220" i="48"/>
  <c r="J168" i="65" s="1"/>
  <c r="H124" i="48" s="1"/>
  <c r="AE45" i="55" l="1"/>
  <c r="AG45" i="55" s="1"/>
  <c r="AG44" i="55"/>
  <c r="AH44" i="55" s="1"/>
  <c r="S42" i="55"/>
  <c r="V41" i="55"/>
  <c r="AI48" i="55"/>
  <c r="AL47" i="55"/>
  <c r="F91" i="68"/>
  <c r="G90" i="68"/>
  <c r="H90" i="68" s="1"/>
  <c r="W44" i="55"/>
  <c r="Z43" i="55"/>
  <c r="F35" i="68"/>
  <c r="G34" i="68"/>
  <c r="H34" i="68" s="1"/>
  <c r="G42" i="55"/>
  <c r="J41" i="55"/>
  <c r="M42" i="55"/>
  <c r="N42" i="55" s="1"/>
  <c r="K43" i="55"/>
  <c r="M43" i="55" s="1"/>
  <c r="EA115" i="72"/>
  <c r="DY111" i="72"/>
  <c r="DW112" i="72"/>
  <c r="DY112" i="72" s="1"/>
  <c r="DU113" i="72"/>
  <c r="DS114" i="72"/>
  <c r="DU114" i="72" s="1"/>
  <c r="DO141" i="72"/>
  <c r="BN48" i="72"/>
  <c r="BK49" i="72"/>
  <c r="BF46" i="72"/>
  <c r="BC47" i="72"/>
  <c r="I55" i="54"/>
  <c r="H68" i="68"/>
  <c r="Q40" i="55"/>
  <c r="R40" i="55" s="1"/>
  <c r="O41" i="55"/>
  <c r="Q41" i="55" s="1"/>
  <c r="F70" i="68"/>
  <c r="G69" i="68"/>
  <c r="H69" i="68" s="1"/>
  <c r="E38" i="55"/>
  <c r="F38" i="55" s="1"/>
  <c r="AM38" i="55" s="1"/>
  <c r="AO38" i="55" s="1"/>
  <c r="C39" i="55"/>
  <c r="E39" i="55" s="1"/>
  <c r="FP64" i="72"/>
  <c r="FR64" i="72" s="1"/>
  <c r="FP65" i="72" s="1"/>
  <c r="FR65" i="72" s="1"/>
  <c r="FR63" i="72"/>
  <c r="AC44" i="55"/>
  <c r="AD44" i="55" s="1"/>
  <c r="AA45" i="55"/>
  <c r="AC45" i="55" s="1"/>
  <c r="A25" i="48"/>
  <c r="A21" i="64"/>
  <c r="A11" i="65" s="1"/>
  <c r="I119" i="68"/>
  <c r="J119" i="68" s="1"/>
  <c r="F120" i="68"/>
  <c r="DK91" i="72"/>
  <c r="DG89" i="72"/>
  <c r="DC87" i="72"/>
  <c r="CY87" i="72"/>
  <c r="GF67" i="72"/>
  <c r="FJ61" i="72"/>
  <c r="FH62" i="72"/>
  <c r="FJ62" i="72" s="1"/>
  <c r="BG47" i="72"/>
  <c r="BJ46" i="72"/>
  <c r="K50" i="72"/>
  <c r="M50" i="72" s="1"/>
  <c r="K51" i="72" s="1"/>
  <c r="M49" i="72"/>
  <c r="AM56" i="72"/>
  <c r="AO56" i="72" s="1"/>
  <c r="AM57" i="72" s="1"/>
  <c r="AO55" i="72"/>
  <c r="CE58" i="72"/>
  <c r="CG58" i="72" s="1"/>
  <c r="CE59" i="72" s="1"/>
  <c r="CG57" i="72"/>
  <c r="FV61" i="72"/>
  <c r="FT62" i="72"/>
  <c r="FV62" i="72" s="1"/>
  <c r="AA54" i="72"/>
  <c r="AC54" i="72" s="1"/>
  <c r="AA55" i="72" s="1"/>
  <c r="AC53" i="72"/>
  <c r="O54" i="72"/>
  <c r="Q54" i="72" s="1"/>
  <c r="O55" i="72" s="1"/>
  <c r="Q53" i="72"/>
  <c r="BA45" i="72"/>
  <c r="BB45" i="72" s="1"/>
  <c r="AY46" i="72"/>
  <c r="BA46" i="72" s="1"/>
  <c r="CW65" i="72"/>
  <c r="CU66" i="72"/>
  <c r="CW66" i="72" s="1"/>
  <c r="CU67" i="72" s="1"/>
  <c r="FD61" i="72"/>
  <c r="FX66" i="72"/>
  <c r="FZ66" i="72" s="1"/>
  <c r="FZ65" i="72"/>
  <c r="C52" i="72"/>
  <c r="E52" i="72" s="1"/>
  <c r="C53" i="72" s="1"/>
  <c r="E51" i="72"/>
  <c r="G52" i="72"/>
  <c r="I52" i="72" s="1"/>
  <c r="G53" i="72" s="1"/>
  <c r="I51" i="72"/>
  <c r="BR50" i="72"/>
  <c r="BO51" i="72"/>
  <c r="S48" i="72"/>
  <c r="U48" i="72" s="1"/>
  <c r="S49" i="72" s="1"/>
  <c r="U47" i="72"/>
  <c r="EZ61" i="72"/>
  <c r="BS56" i="72"/>
  <c r="BU56" i="72" s="1"/>
  <c r="BS57" i="72" s="1"/>
  <c r="BU55" i="72"/>
  <c r="GJ70" i="72"/>
  <c r="GL70" i="72" s="1"/>
  <c r="GL69" i="72"/>
  <c r="FN61" i="72"/>
  <c r="FL62" i="72"/>
  <c r="FN62" i="72" s="1"/>
  <c r="BW58" i="72"/>
  <c r="BY58" i="72" s="1"/>
  <c r="BW59" i="72" s="1"/>
  <c r="BY57" i="72"/>
  <c r="CI60" i="72"/>
  <c r="CK60" i="72" s="1"/>
  <c r="CI61" i="72" s="1"/>
  <c r="CK59" i="72"/>
  <c r="AI56" i="72"/>
  <c r="AK56" i="72" s="1"/>
  <c r="AI57" i="72" s="1"/>
  <c r="AK55" i="72"/>
  <c r="W52" i="72"/>
  <c r="Y52" i="72" s="1"/>
  <c r="W53" i="72" s="1"/>
  <c r="Y51" i="72"/>
  <c r="AW45" i="72"/>
  <c r="AX45" i="72" s="1"/>
  <c r="AU46" i="72"/>
  <c r="AW46" i="72" s="1"/>
  <c r="GB63" i="72"/>
  <c r="CO65" i="72"/>
  <c r="CM66" i="72"/>
  <c r="CO66" i="72" s="1"/>
  <c r="CM67" i="72" s="1"/>
  <c r="CQ64" i="72"/>
  <c r="CS64" i="72" s="1"/>
  <c r="CQ65" i="72" s="1"/>
  <c r="CS63" i="72"/>
  <c r="EV60" i="72"/>
  <c r="EX60" i="72" s="1"/>
  <c r="EX59" i="72"/>
  <c r="AQ54" i="72"/>
  <c r="AS54" i="72" s="1"/>
  <c r="AQ55" i="72" s="1"/>
  <c r="AS53" i="72"/>
  <c r="CA58" i="72"/>
  <c r="CC58" i="72" s="1"/>
  <c r="CA59" i="72" s="1"/>
  <c r="CC57" i="72"/>
  <c r="FP66" i="72"/>
  <c r="FR66" i="72" s="1"/>
  <c r="AE52" i="72"/>
  <c r="AG52" i="72" s="1"/>
  <c r="AE53" i="72" s="1"/>
  <c r="AG51" i="72"/>
  <c r="GN82" i="72"/>
  <c r="GP82" i="72" s="1"/>
  <c r="GP81" i="72"/>
  <c r="H128" i="48"/>
  <c r="H153" i="48" s="1"/>
  <c r="AE46" i="55" l="1"/>
  <c r="AH45" i="55"/>
  <c r="S43" i="55"/>
  <c r="U43" i="55" s="1"/>
  <c r="U42" i="55"/>
  <c r="V42" i="55" s="1"/>
  <c r="K44" i="55"/>
  <c r="N43" i="55"/>
  <c r="F36" i="68"/>
  <c r="G35" i="68"/>
  <c r="H35" i="68" s="1"/>
  <c r="G91" i="68"/>
  <c r="H91" i="68" s="1"/>
  <c r="F92" i="68"/>
  <c r="G43" i="55"/>
  <c r="I43" i="55" s="1"/>
  <c r="I42" i="55"/>
  <c r="J42" i="55" s="1"/>
  <c r="W45" i="55"/>
  <c r="Y45" i="55" s="1"/>
  <c r="Y44" i="55"/>
  <c r="Z44" i="55" s="1"/>
  <c r="AI49" i="55"/>
  <c r="AK49" i="55" s="1"/>
  <c r="AK48" i="55"/>
  <c r="AL48" i="55" s="1"/>
  <c r="EA116" i="72"/>
  <c r="EC116" i="72" s="1"/>
  <c r="EC115" i="72"/>
  <c r="DW113" i="72"/>
  <c r="DS115" i="72"/>
  <c r="DO142" i="72"/>
  <c r="DQ142" i="72" s="1"/>
  <c r="DQ141" i="72"/>
  <c r="BM49" i="72"/>
  <c r="BN49" i="72" s="1"/>
  <c r="BK50" i="72"/>
  <c r="BM50" i="72" s="1"/>
  <c r="BC48" i="72"/>
  <c r="BE48" i="72" s="1"/>
  <c r="BE47" i="72"/>
  <c r="BF47" i="72" s="1"/>
  <c r="AA46" i="55"/>
  <c r="AD45" i="55"/>
  <c r="C40" i="55"/>
  <c r="F39" i="55"/>
  <c r="AM39" i="55" s="1"/>
  <c r="AN39" i="55" s="1"/>
  <c r="O42" i="55"/>
  <c r="R41" i="55"/>
  <c r="F71" i="68"/>
  <c r="G70" i="68"/>
  <c r="A26" i="48"/>
  <c r="F61" i="48"/>
  <c r="F55" i="64" s="1"/>
  <c r="A22" i="64"/>
  <c r="A12" i="65" s="1"/>
  <c r="F121" i="68"/>
  <c r="I120" i="68"/>
  <c r="J120" i="68" s="1"/>
  <c r="DM91" i="72"/>
  <c r="DK92" i="72"/>
  <c r="DM92" i="72" s="1"/>
  <c r="DG90" i="72"/>
  <c r="DI90" i="72" s="1"/>
  <c r="DI89" i="72"/>
  <c r="DE87" i="72"/>
  <c r="DC88" i="72"/>
  <c r="DE88" i="72" s="1"/>
  <c r="DA87" i="72"/>
  <c r="CY88" i="72"/>
  <c r="DA88" i="72" s="1"/>
  <c r="CM68" i="72"/>
  <c r="CO68" i="72" s="1"/>
  <c r="CM69" i="72" s="1"/>
  <c r="CO67" i="72"/>
  <c r="FL63" i="72"/>
  <c r="FT63" i="72"/>
  <c r="AE54" i="72"/>
  <c r="AG54" i="72" s="1"/>
  <c r="AE55" i="72" s="1"/>
  <c r="AG53" i="72"/>
  <c r="EV61" i="72"/>
  <c r="BO52" i="72"/>
  <c r="BQ52" i="72" s="1"/>
  <c r="BQ51" i="72"/>
  <c r="BR51" i="72" s="1"/>
  <c r="CW67" i="72"/>
  <c r="CU68" i="72"/>
  <c r="CW68" i="72" s="1"/>
  <c r="CU69" i="72" s="1"/>
  <c r="BB46" i="72"/>
  <c r="AY47" i="72"/>
  <c r="FH63" i="72"/>
  <c r="FP67" i="72"/>
  <c r="AQ56" i="72"/>
  <c r="AS56" i="72" s="1"/>
  <c r="AQ57" i="72" s="1"/>
  <c r="AS55" i="72"/>
  <c r="CS65" i="72"/>
  <c r="CQ66" i="72"/>
  <c r="CS66" i="72" s="1"/>
  <c r="CQ67" i="72" s="1"/>
  <c r="GD63" i="72"/>
  <c r="GB64" i="72"/>
  <c r="GD64" i="72" s="1"/>
  <c r="W54" i="72"/>
  <c r="Y54" i="72" s="1"/>
  <c r="W55" i="72" s="1"/>
  <c r="Y53" i="72"/>
  <c r="AI58" i="72"/>
  <c r="AK58" i="72" s="1"/>
  <c r="AI59" i="72" s="1"/>
  <c r="AK57" i="72"/>
  <c r="BW60" i="72"/>
  <c r="BY60" i="72" s="1"/>
  <c r="BW61" i="72" s="1"/>
  <c r="BY59" i="72"/>
  <c r="GJ71" i="72"/>
  <c r="EZ62" i="72"/>
  <c r="FB62" i="72" s="1"/>
  <c r="FB61" i="72"/>
  <c r="C54" i="72"/>
  <c r="E54" i="72" s="1"/>
  <c r="C55" i="72" s="1"/>
  <c r="E53" i="72"/>
  <c r="AA56" i="72"/>
  <c r="AC56" i="72" s="1"/>
  <c r="AA57" i="72" s="1"/>
  <c r="AC55" i="72"/>
  <c r="CE60" i="72"/>
  <c r="CG60" i="72" s="1"/>
  <c r="CE61" i="72" s="1"/>
  <c r="CG59" i="72"/>
  <c r="K52" i="72"/>
  <c r="M52" i="72" s="1"/>
  <c r="K53" i="72" s="1"/>
  <c r="M51" i="72"/>
  <c r="AX46" i="72"/>
  <c r="AU47" i="72"/>
  <c r="CA60" i="72"/>
  <c r="CC60" i="72" s="1"/>
  <c r="CA61" i="72" s="1"/>
  <c r="CC59" i="72"/>
  <c r="CI62" i="72"/>
  <c r="CK62" i="72" s="1"/>
  <c r="CI63" i="72" s="1"/>
  <c r="CK61" i="72"/>
  <c r="BS58" i="72"/>
  <c r="BU58" i="72" s="1"/>
  <c r="BS59" i="72" s="1"/>
  <c r="BU57" i="72"/>
  <c r="S50" i="72"/>
  <c r="U50" i="72" s="1"/>
  <c r="S51" i="72" s="1"/>
  <c r="U49" i="72"/>
  <c r="G54" i="72"/>
  <c r="I54" i="72" s="1"/>
  <c r="G55" i="72" s="1"/>
  <c r="I53" i="72"/>
  <c r="FX67" i="72"/>
  <c r="FF61" i="72"/>
  <c r="FD62" i="72"/>
  <c r="FF62" i="72" s="1"/>
  <c r="O56" i="72"/>
  <c r="Q56" i="72" s="1"/>
  <c r="O57" i="72" s="1"/>
  <c r="Q55" i="72"/>
  <c r="AM58" i="72"/>
  <c r="AO58" i="72" s="1"/>
  <c r="AM59" i="72" s="1"/>
  <c r="AO57" i="72"/>
  <c r="BG48" i="72"/>
  <c r="BI48" i="72" s="1"/>
  <c r="BI47" i="72"/>
  <c r="BJ47" i="72" s="1"/>
  <c r="GH67" i="72"/>
  <c r="GF68" i="72"/>
  <c r="GH68" i="72" s="1"/>
  <c r="AE47" i="55" l="1"/>
  <c r="AG47" i="55" s="1"/>
  <c r="AG46" i="55"/>
  <c r="AH46" i="55" s="1"/>
  <c r="S44" i="55"/>
  <c r="V43" i="55"/>
  <c r="AI50" i="55"/>
  <c r="AL49" i="55"/>
  <c r="G44" i="55"/>
  <c r="J43" i="55"/>
  <c r="G36" i="68"/>
  <c r="H36" i="68" s="1"/>
  <c r="F37" i="68"/>
  <c r="F93" i="68"/>
  <c r="G92" i="68"/>
  <c r="H92" i="68" s="1"/>
  <c r="Z45" i="55"/>
  <c r="W46" i="55"/>
  <c r="M44" i="55"/>
  <c r="N44" i="55" s="1"/>
  <c r="K45" i="55"/>
  <c r="M45" i="55" s="1"/>
  <c r="EA117" i="72"/>
  <c r="DY113" i="72"/>
  <c r="DW114" i="72"/>
  <c r="DY114" i="72" s="1"/>
  <c r="DU115" i="72"/>
  <c r="DS116" i="72"/>
  <c r="DU116" i="72" s="1"/>
  <c r="DO143" i="72"/>
  <c r="BN50" i="72"/>
  <c r="BK51" i="72"/>
  <c r="BF48" i="72"/>
  <c r="BC49" i="72"/>
  <c r="H70" i="68"/>
  <c r="Q42" i="55"/>
  <c r="R42" i="55" s="1"/>
  <c r="O43" i="55"/>
  <c r="Q43" i="55" s="1"/>
  <c r="E40" i="55"/>
  <c r="F40" i="55" s="1"/>
  <c r="AM40" i="55" s="1"/>
  <c r="AO40" i="55" s="1"/>
  <c r="C41" i="55"/>
  <c r="E41" i="55" s="1"/>
  <c r="G71" i="68"/>
  <c r="H71" i="68" s="1"/>
  <c r="F72" i="68"/>
  <c r="AC46" i="55"/>
  <c r="AD46" i="55" s="1"/>
  <c r="AA47" i="55"/>
  <c r="AC47" i="55" s="1"/>
  <c r="A27" i="48"/>
  <c r="F62" i="48"/>
  <c r="F56" i="64" s="1"/>
  <c r="A23" i="64"/>
  <c r="A13" i="65" s="1"/>
  <c r="F27" i="48"/>
  <c r="F24" i="64" s="1"/>
  <c r="I121" i="68"/>
  <c r="J121" i="68" s="1"/>
  <c r="F122" i="68"/>
  <c r="DK93" i="72"/>
  <c r="DG91" i="72"/>
  <c r="DC89" i="72"/>
  <c r="CY89" i="72"/>
  <c r="FD63" i="72"/>
  <c r="CW69" i="72"/>
  <c r="CU70" i="72"/>
  <c r="CW70" i="72" s="1"/>
  <c r="CU71" i="72" s="1"/>
  <c r="BG49" i="72"/>
  <c r="BJ48" i="72"/>
  <c r="GF69" i="72"/>
  <c r="CQ68" i="72"/>
  <c r="CS68" i="72" s="1"/>
  <c r="CQ69" i="72" s="1"/>
  <c r="CS67" i="72"/>
  <c r="BA47" i="72"/>
  <c r="BB47" i="72" s="1"/>
  <c r="AY48" i="72"/>
  <c r="BA48" i="72" s="1"/>
  <c r="AM60" i="72"/>
  <c r="AO60" i="72" s="1"/>
  <c r="AM61" i="72" s="1"/>
  <c r="AO59" i="72"/>
  <c r="FZ67" i="72"/>
  <c r="FX68" i="72"/>
  <c r="FZ68" i="72" s="1"/>
  <c r="S52" i="72"/>
  <c r="U52" i="72" s="1"/>
  <c r="S53" i="72" s="1"/>
  <c r="U51" i="72"/>
  <c r="CK63" i="72"/>
  <c r="CI64" i="72"/>
  <c r="CK64" i="72" s="1"/>
  <c r="CI65" i="72" s="1"/>
  <c r="CA62" i="72"/>
  <c r="CC62" i="72" s="1"/>
  <c r="CA63" i="72" s="1"/>
  <c r="CC61" i="72"/>
  <c r="K54" i="72"/>
  <c r="M54" i="72" s="1"/>
  <c r="K55" i="72" s="1"/>
  <c r="M53" i="72"/>
  <c r="AA58" i="72"/>
  <c r="AC58" i="72" s="1"/>
  <c r="AA59" i="72" s="1"/>
  <c r="AC57" i="72"/>
  <c r="EZ63" i="72"/>
  <c r="BW62" i="72"/>
  <c r="BY62" i="72" s="1"/>
  <c r="BW63" i="72" s="1"/>
  <c r="BY61" i="72"/>
  <c r="W56" i="72"/>
  <c r="Y56" i="72" s="1"/>
  <c r="W57" i="72" s="1"/>
  <c r="Y55" i="72"/>
  <c r="FR67" i="72"/>
  <c r="FP68" i="72"/>
  <c r="FR68" i="72" s="1"/>
  <c r="BO53" i="72"/>
  <c r="BR52" i="72"/>
  <c r="AE56" i="72"/>
  <c r="AG56" i="72" s="1"/>
  <c r="AE57" i="72" s="1"/>
  <c r="AG55" i="72"/>
  <c r="FL64" i="72"/>
  <c r="FN64" i="72" s="1"/>
  <c r="FN63" i="72"/>
  <c r="AU48" i="72"/>
  <c r="AW48" i="72" s="1"/>
  <c r="AW47" i="72"/>
  <c r="AX47" i="72" s="1"/>
  <c r="GB65" i="72"/>
  <c r="O58" i="72"/>
  <c r="Q58" i="72" s="1"/>
  <c r="O59" i="72" s="1"/>
  <c r="Q57" i="72"/>
  <c r="G56" i="72"/>
  <c r="I56" i="72" s="1"/>
  <c r="G57" i="72" s="1"/>
  <c r="I55" i="72"/>
  <c r="BS60" i="72"/>
  <c r="BU60" i="72" s="1"/>
  <c r="BS61" i="72" s="1"/>
  <c r="BU59" i="72"/>
  <c r="CE62" i="72"/>
  <c r="CG62" i="72" s="1"/>
  <c r="CE63" i="72" s="1"/>
  <c r="CG61" i="72"/>
  <c r="C56" i="72"/>
  <c r="E56" i="72" s="1"/>
  <c r="C57" i="72" s="1"/>
  <c r="E55" i="72"/>
  <c r="GJ72" i="72"/>
  <c r="GL72" i="72" s="1"/>
  <c r="GL71" i="72"/>
  <c r="AI60" i="72"/>
  <c r="AK60" i="72" s="1"/>
  <c r="AI61" i="72" s="1"/>
  <c r="AK59" i="72"/>
  <c r="AQ58" i="72"/>
  <c r="AS58" i="72" s="1"/>
  <c r="AQ59" i="72" s="1"/>
  <c r="AS57" i="72"/>
  <c r="FH64" i="72"/>
  <c r="FJ64" i="72" s="1"/>
  <c r="FJ63" i="72"/>
  <c r="EV62" i="72"/>
  <c r="EX62" i="72" s="1"/>
  <c r="EX61" i="72"/>
  <c r="FT64" i="72"/>
  <c r="FV64" i="72" s="1"/>
  <c r="FV63" i="72"/>
  <c r="CO69" i="72"/>
  <c r="CM70" i="72"/>
  <c r="CO70" i="72" s="1"/>
  <c r="CM71" i="72" s="1"/>
  <c r="AE48" i="55" l="1"/>
  <c r="AH47" i="55"/>
  <c r="U44" i="55"/>
  <c r="V44" i="55" s="1"/>
  <c r="S45" i="55"/>
  <c r="U45" i="55" s="1"/>
  <c r="N45" i="55"/>
  <c r="K46" i="55"/>
  <c r="G93" i="68"/>
  <c r="H93" i="68" s="1"/>
  <c r="F94" i="68"/>
  <c r="I44" i="55"/>
  <c r="J44" i="55" s="1"/>
  <c r="G45" i="55"/>
  <c r="I45" i="55" s="1"/>
  <c r="Y46" i="55"/>
  <c r="Z46" i="55" s="1"/>
  <c r="W47" i="55"/>
  <c r="Y47" i="55" s="1"/>
  <c r="G37" i="68"/>
  <c r="H37" i="68" s="1"/>
  <c r="F38" i="68"/>
  <c r="AK50" i="55"/>
  <c r="AL50" i="55" s="1"/>
  <c r="AI51" i="55"/>
  <c r="AK51" i="55" s="1"/>
  <c r="EA118" i="72"/>
  <c r="EC118" i="72" s="1"/>
  <c r="EC117" i="72"/>
  <c r="DW115" i="72"/>
  <c r="DS117" i="72"/>
  <c r="DO144" i="72"/>
  <c r="DQ144" i="72" s="1"/>
  <c r="DQ143" i="72"/>
  <c r="BK52" i="72"/>
  <c r="BM52" i="72" s="1"/>
  <c r="BM51" i="72"/>
  <c r="BN51" i="72" s="1"/>
  <c r="BC50" i="72"/>
  <c r="BE50" i="72" s="1"/>
  <c r="BE49" i="72"/>
  <c r="BF49" i="72" s="1"/>
  <c r="O44" i="55"/>
  <c r="R43" i="55"/>
  <c r="AA48" i="55"/>
  <c r="AD47" i="55"/>
  <c r="G72" i="68"/>
  <c r="H72" i="68" s="1"/>
  <c r="F73" i="68"/>
  <c r="G73" i="68" s="1"/>
  <c r="H73" i="68" s="1"/>
  <c r="C42" i="55"/>
  <c r="F41" i="55"/>
  <c r="AM41" i="55" s="1"/>
  <c r="AN41" i="55" s="1"/>
  <c r="A29" i="48"/>
  <c r="A24" i="64"/>
  <c r="F29" i="48"/>
  <c r="F26" i="64" s="1"/>
  <c r="I122" i="68"/>
  <c r="J122" i="68" s="1"/>
  <c r="F123" i="68"/>
  <c r="DM93" i="72"/>
  <c r="DK94" i="72"/>
  <c r="DM94" i="72" s="1"/>
  <c r="DG92" i="72"/>
  <c r="DI92" i="72" s="1"/>
  <c r="DI91" i="72"/>
  <c r="DE89" i="72"/>
  <c r="DC90" i="72"/>
  <c r="DE90" i="72" s="1"/>
  <c r="DA89" i="72"/>
  <c r="CY90" i="72"/>
  <c r="DA90" i="72" s="1"/>
  <c r="FX69" i="72"/>
  <c r="CO71" i="72"/>
  <c r="CM72" i="72"/>
  <c r="CO72" i="72" s="1"/>
  <c r="CM73" i="72" s="1"/>
  <c r="FP69" i="72"/>
  <c r="BB48" i="72"/>
  <c r="AY49" i="72"/>
  <c r="CW71" i="72"/>
  <c r="CU72" i="72"/>
  <c r="CW72" i="72" s="1"/>
  <c r="CU73" i="72" s="1"/>
  <c r="EV63" i="72"/>
  <c r="AQ60" i="72"/>
  <c r="AS60" i="72" s="1"/>
  <c r="AQ61" i="72" s="1"/>
  <c r="AS59" i="72"/>
  <c r="GJ73" i="72"/>
  <c r="CG63" i="72"/>
  <c r="CE64" i="72"/>
  <c r="CG64" i="72" s="1"/>
  <c r="CE65" i="72" s="1"/>
  <c r="BS62" i="72"/>
  <c r="BU62" i="72" s="1"/>
  <c r="BS63" i="72" s="1"/>
  <c r="BU61" i="72"/>
  <c r="O60" i="72"/>
  <c r="Q60" i="72" s="1"/>
  <c r="O61" i="72" s="1"/>
  <c r="Q59" i="72"/>
  <c r="AX48" i="72"/>
  <c r="AU49" i="72"/>
  <c r="AE58" i="72"/>
  <c r="AG58" i="72" s="1"/>
  <c r="AE59" i="72" s="1"/>
  <c r="AG57" i="72"/>
  <c r="BY63" i="72"/>
  <c r="BW64" i="72"/>
  <c r="BY64" i="72" s="1"/>
  <c r="BW65" i="72" s="1"/>
  <c r="AA60" i="72"/>
  <c r="AC60" i="72" s="1"/>
  <c r="AA61" i="72" s="1"/>
  <c r="AC59" i="72"/>
  <c r="CA64" i="72"/>
  <c r="CC64" i="72" s="1"/>
  <c r="CA65" i="72" s="1"/>
  <c r="CC63" i="72"/>
  <c r="S54" i="72"/>
  <c r="U54" i="72" s="1"/>
  <c r="S55" i="72" s="1"/>
  <c r="U53" i="72"/>
  <c r="GH69" i="72"/>
  <c r="GF70" i="72"/>
  <c r="GH70" i="72" s="1"/>
  <c r="CI66" i="72"/>
  <c r="CK66" i="72" s="1"/>
  <c r="CI67" i="72" s="1"/>
  <c r="CK65" i="72"/>
  <c r="FT65" i="72"/>
  <c r="FH65" i="72"/>
  <c r="AI62" i="72"/>
  <c r="AK62" i="72" s="1"/>
  <c r="AI63" i="72" s="1"/>
  <c r="AK61" i="72"/>
  <c r="C58" i="72"/>
  <c r="E58" i="72" s="1"/>
  <c r="C59" i="72" s="1"/>
  <c r="E57" i="72"/>
  <c r="G58" i="72"/>
  <c r="I58" i="72" s="1"/>
  <c r="G59" i="72" s="1"/>
  <c r="I57" i="72"/>
  <c r="GB66" i="72"/>
  <c r="GD66" i="72" s="1"/>
  <c r="GD65" i="72"/>
  <c r="FL65" i="72"/>
  <c r="BO54" i="72"/>
  <c r="BQ54" i="72" s="1"/>
  <c r="BQ53" i="72"/>
  <c r="BR53" i="72" s="1"/>
  <c r="W58" i="72"/>
  <c r="Y58" i="72" s="1"/>
  <c r="W59" i="72" s="1"/>
  <c r="Y57" i="72"/>
  <c r="EZ64" i="72"/>
  <c r="FB64" i="72" s="1"/>
  <c r="FB63" i="72"/>
  <c r="K56" i="72"/>
  <c r="M56" i="72" s="1"/>
  <c r="K57" i="72" s="1"/>
  <c r="M55" i="72"/>
  <c r="AM62" i="72"/>
  <c r="AO62" i="72" s="1"/>
  <c r="AM63" i="72" s="1"/>
  <c r="AO61" i="72"/>
  <c r="CS69" i="72"/>
  <c r="CQ70" i="72"/>
  <c r="CS70" i="72" s="1"/>
  <c r="CQ71" i="72" s="1"/>
  <c r="BI49" i="72"/>
  <c r="BJ49" i="72" s="1"/>
  <c r="BG50" i="72"/>
  <c r="BI50" i="72" s="1"/>
  <c r="FD64" i="72"/>
  <c r="FF64" i="72" s="1"/>
  <c r="FF63" i="72"/>
  <c r="AG48" i="55" l="1"/>
  <c r="AH48" i="55" s="1"/>
  <c r="AE49" i="55"/>
  <c r="AG49" i="55" s="1"/>
  <c r="V45" i="55"/>
  <c r="S46" i="55"/>
  <c r="AL51" i="55"/>
  <c r="AI52" i="55"/>
  <c r="W48" i="55"/>
  <c r="Z47" i="55"/>
  <c r="G38" i="68"/>
  <c r="H38" i="68" s="1"/>
  <c r="F39" i="68"/>
  <c r="G46" i="55"/>
  <c r="J45" i="55"/>
  <c r="M46" i="55"/>
  <c r="N46" i="55" s="1"/>
  <c r="K47" i="55"/>
  <c r="M47" i="55" s="1"/>
  <c r="G94" i="68"/>
  <c r="F95" i="68"/>
  <c r="EA119" i="72"/>
  <c r="DY115" i="72"/>
  <c r="DW116" i="72"/>
  <c r="DY116" i="72" s="1"/>
  <c r="DU117" i="72"/>
  <c r="DS118" i="72"/>
  <c r="DU118" i="72" s="1"/>
  <c r="DO145" i="72"/>
  <c r="BN52" i="72"/>
  <c r="BK53" i="72"/>
  <c r="BC51" i="72"/>
  <c r="BF50" i="72"/>
  <c r="H74" i="68"/>
  <c r="H75" i="68" s="1"/>
  <c r="O45" i="55"/>
  <c r="Q45" i="55" s="1"/>
  <c r="Q44" i="55"/>
  <c r="R44" i="55" s="1"/>
  <c r="AC48" i="55"/>
  <c r="AD48" i="55" s="1"/>
  <c r="AA49" i="55"/>
  <c r="AC49" i="55" s="1"/>
  <c r="C43" i="55"/>
  <c r="E43" i="55" s="1"/>
  <c r="E42" i="55"/>
  <c r="F42" i="55" s="1"/>
  <c r="AM42" i="55" s="1"/>
  <c r="AO42" i="55" s="1"/>
  <c r="G74" i="68"/>
  <c r="A26" i="64"/>
  <c r="A31" i="48"/>
  <c r="I123" i="68"/>
  <c r="J123" i="68" s="1"/>
  <c r="F124" i="68"/>
  <c r="DK95" i="72"/>
  <c r="DG93" i="72"/>
  <c r="DC91" i="72"/>
  <c r="CY91" i="72"/>
  <c r="CQ72" i="72"/>
  <c r="CS72" i="72" s="1"/>
  <c r="CQ73" i="72" s="1"/>
  <c r="CS71" i="72"/>
  <c r="BY65" i="72"/>
  <c r="BW66" i="72"/>
  <c r="BY66" i="72" s="1"/>
  <c r="BW67" i="72" s="1"/>
  <c r="AU50" i="72"/>
  <c r="AW50" i="72" s="1"/>
  <c r="AW49" i="72"/>
  <c r="AX49" i="72" s="1"/>
  <c r="AY50" i="72"/>
  <c r="BA50" i="72" s="1"/>
  <c r="BA49" i="72"/>
  <c r="BB49" i="72" s="1"/>
  <c r="CO73" i="72"/>
  <c r="CM74" i="72"/>
  <c r="CO74" i="72" s="1"/>
  <c r="CM75" i="72" s="1"/>
  <c r="FD65" i="72"/>
  <c r="K58" i="72"/>
  <c r="M58" i="72" s="1"/>
  <c r="K59" i="72" s="1"/>
  <c r="M57" i="72"/>
  <c r="W60" i="72"/>
  <c r="Y60" i="72" s="1"/>
  <c r="W61" i="72" s="1"/>
  <c r="Y59" i="72"/>
  <c r="FN65" i="72"/>
  <c r="FL66" i="72"/>
  <c r="FN66" i="72" s="1"/>
  <c r="G60" i="72"/>
  <c r="I60" i="72" s="1"/>
  <c r="G61" i="72" s="1"/>
  <c r="I59" i="72"/>
  <c r="AI64" i="72"/>
  <c r="AK64" i="72" s="1"/>
  <c r="AI65" i="72" s="1"/>
  <c r="AK63" i="72"/>
  <c r="FT66" i="72"/>
  <c r="FV66" i="72" s="1"/>
  <c r="FV65" i="72"/>
  <c r="CC65" i="72"/>
  <c r="CA66" i="72"/>
  <c r="CC66" i="72" s="1"/>
  <c r="CA67" i="72" s="1"/>
  <c r="BU63" i="72"/>
  <c r="BS64" i="72"/>
  <c r="BU64" i="72" s="1"/>
  <c r="BS65" i="72" s="1"/>
  <c r="GJ74" i="72"/>
  <c r="GL74" i="72" s="1"/>
  <c r="GL73" i="72"/>
  <c r="EX63" i="72"/>
  <c r="EV64" i="72"/>
  <c r="EX64" i="72" s="1"/>
  <c r="BG51" i="72"/>
  <c r="BJ50" i="72"/>
  <c r="GF71" i="72"/>
  <c r="CE66" i="72"/>
  <c r="CG66" i="72" s="1"/>
  <c r="CE67" i="72" s="1"/>
  <c r="CG65" i="72"/>
  <c r="CW73" i="72"/>
  <c r="CU74" i="72"/>
  <c r="CW74" i="72" s="1"/>
  <c r="CU75" i="72" s="1"/>
  <c r="AM64" i="72"/>
  <c r="AO64" i="72" s="1"/>
  <c r="AM65" i="72" s="1"/>
  <c r="AO63" i="72"/>
  <c r="EZ65" i="72"/>
  <c r="BR54" i="72"/>
  <c r="BO55" i="72"/>
  <c r="GB67" i="72"/>
  <c r="E59" i="72"/>
  <c r="C60" i="72"/>
  <c r="E60" i="72" s="1"/>
  <c r="C61" i="72" s="1"/>
  <c r="FJ65" i="72"/>
  <c r="FH66" i="72"/>
  <c r="FJ66" i="72" s="1"/>
  <c r="CI68" i="72"/>
  <c r="CK68" i="72" s="1"/>
  <c r="CI69" i="72" s="1"/>
  <c r="CK67" i="72"/>
  <c r="S56" i="72"/>
  <c r="U56" i="72" s="1"/>
  <c r="S57" i="72" s="1"/>
  <c r="U55" i="72"/>
  <c r="AA62" i="72"/>
  <c r="AC62" i="72" s="1"/>
  <c r="AA63" i="72" s="1"/>
  <c r="AC61" i="72"/>
  <c r="AE60" i="72"/>
  <c r="AG60" i="72" s="1"/>
  <c r="AE61" i="72" s="1"/>
  <c r="AG59" i="72"/>
  <c r="O62" i="72"/>
  <c r="Q62" i="72" s="1"/>
  <c r="O63" i="72" s="1"/>
  <c r="Q61" i="72"/>
  <c r="AS61" i="72"/>
  <c r="AQ62" i="72"/>
  <c r="AS62" i="72" s="1"/>
  <c r="AQ63" i="72" s="1"/>
  <c r="FR69" i="72"/>
  <c r="FP70" i="72"/>
  <c r="FR70" i="72" s="1"/>
  <c r="FX70" i="72"/>
  <c r="FZ70" i="72" s="1"/>
  <c r="FZ69" i="72"/>
  <c r="AE50" i="55" l="1"/>
  <c r="AH49" i="55"/>
  <c r="U46" i="55"/>
  <c r="V46" i="55" s="1"/>
  <c r="S47" i="55"/>
  <c r="U47" i="55" s="1"/>
  <c r="H94" i="68"/>
  <c r="G47" i="55"/>
  <c r="I47" i="55" s="1"/>
  <c r="I46" i="55"/>
  <c r="J46" i="55" s="1"/>
  <c r="Y48" i="55"/>
  <c r="Z48" i="55" s="1"/>
  <c r="W49" i="55"/>
  <c r="Y49" i="55" s="1"/>
  <c r="G95" i="68"/>
  <c r="H95" i="68" s="1"/>
  <c r="F96" i="68"/>
  <c r="G96" i="68" s="1"/>
  <c r="H96" i="68" s="1"/>
  <c r="N47" i="55"/>
  <c r="K48" i="55"/>
  <c r="G39" i="68"/>
  <c r="F40" i="68"/>
  <c r="G40" i="68" s="1"/>
  <c r="H40" i="68" s="1"/>
  <c r="AK52" i="55"/>
  <c r="AL52" i="55" s="1"/>
  <c r="AI53" i="55"/>
  <c r="AK53" i="55" s="1"/>
  <c r="EA120" i="72"/>
  <c r="EC120" i="72" s="1"/>
  <c r="EC119" i="72"/>
  <c r="DW117" i="72"/>
  <c r="DS119" i="72"/>
  <c r="DQ145" i="72"/>
  <c r="DO146" i="72"/>
  <c r="DQ146" i="72" s="1"/>
  <c r="BM53" i="72"/>
  <c r="BN53" i="72" s="1"/>
  <c r="BK54" i="72"/>
  <c r="BM54" i="72" s="1"/>
  <c r="BC52" i="72"/>
  <c r="BE52" i="72" s="1"/>
  <c r="BE51" i="72"/>
  <c r="BF51" i="72" s="1"/>
  <c r="C44" i="55"/>
  <c r="F43" i="55"/>
  <c r="AM43" i="55" s="1"/>
  <c r="AN43" i="55" s="1"/>
  <c r="O46" i="55"/>
  <c r="R45" i="55"/>
  <c r="AA50" i="55"/>
  <c r="AD49" i="55"/>
  <c r="A28" i="64"/>
  <c r="F32" i="48"/>
  <c r="F29" i="64" s="1"/>
  <c r="A32" i="48"/>
  <c r="F125" i="68"/>
  <c r="I124" i="68"/>
  <c r="J124" i="68" s="1"/>
  <c r="DM95" i="72"/>
  <c r="DK96" i="72"/>
  <c r="DM96" i="72" s="1"/>
  <c r="DG94" i="72"/>
  <c r="DI94" i="72" s="1"/>
  <c r="DI93" i="72"/>
  <c r="DE91" i="72"/>
  <c r="DC92" i="72"/>
  <c r="DE92" i="72" s="1"/>
  <c r="DA91" i="72"/>
  <c r="CY92" i="72"/>
  <c r="DA92" i="72" s="1"/>
  <c r="AC63" i="72"/>
  <c r="AA64" i="72"/>
  <c r="AC64" i="72" s="1"/>
  <c r="AA65" i="72" s="1"/>
  <c r="CI70" i="72"/>
  <c r="CK70" i="72" s="1"/>
  <c r="CI71" i="72" s="1"/>
  <c r="CK69" i="72"/>
  <c r="AO65" i="72"/>
  <c r="AM66" i="72"/>
  <c r="AO66" i="72" s="1"/>
  <c r="AM67" i="72" s="1"/>
  <c r="CG67" i="72"/>
  <c r="CE68" i="72"/>
  <c r="CG68" i="72" s="1"/>
  <c r="CE69" i="72" s="1"/>
  <c r="BG52" i="72"/>
  <c r="BI52" i="72" s="1"/>
  <c r="BI51" i="72"/>
  <c r="BJ51" i="72" s="1"/>
  <c r="GJ75" i="72"/>
  <c r="K60" i="72"/>
  <c r="M60" i="72" s="1"/>
  <c r="K61" i="72" s="1"/>
  <c r="M59" i="72"/>
  <c r="AU51" i="72"/>
  <c r="AX50" i="72"/>
  <c r="CS73" i="72"/>
  <c r="CQ74" i="72"/>
  <c r="CS74" i="72" s="1"/>
  <c r="CQ75" i="72" s="1"/>
  <c r="AS63" i="72"/>
  <c r="AQ64" i="72"/>
  <c r="AS64" i="72" s="1"/>
  <c r="AQ65" i="72" s="1"/>
  <c r="FH67" i="72"/>
  <c r="CW75" i="72"/>
  <c r="CU76" i="72"/>
  <c r="CW76" i="72" s="1"/>
  <c r="CU77" i="72" s="1"/>
  <c r="EV65" i="72"/>
  <c r="BS66" i="72"/>
  <c r="BU66" i="72" s="1"/>
  <c r="BS67" i="72" s="1"/>
  <c r="BU65" i="72"/>
  <c r="BY67" i="72"/>
  <c r="BW68" i="72"/>
  <c r="BY68" i="72" s="1"/>
  <c r="BW69" i="72" s="1"/>
  <c r="FX71" i="72"/>
  <c r="AE62" i="72"/>
  <c r="AG62" i="72" s="1"/>
  <c r="AE63" i="72" s="1"/>
  <c r="AG61" i="72"/>
  <c r="S58" i="72"/>
  <c r="U58" i="72" s="1"/>
  <c r="S59" i="72" s="1"/>
  <c r="U57" i="72"/>
  <c r="GB68" i="72"/>
  <c r="GD68" i="72" s="1"/>
  <c r="GD67" i="72"/>
  <c r="FB65" i="72"/>
  <c r="EZ66" i="72"/>
  <c r="FB66" i="72" s="1"/>
  <c r="GF72" i="72"/>
  <c r="GH72" i="72" s="1"/>
  <c r="GH71" i="72"/>
  <c r="FT67" i="72"/>
  <c r="G62" i="72"/>
  <c r="I62" i="72" s="1"/>
  <c r="G63" i="72" s="1"/>
  <c r="I61" i="72"/>
  <c r="W62" i="72"/>
  <c r="Y62" i="72" s="1"/>
  <c r="W63" i="72" s="1"/>
  <c r="Y61" i="72"/>
  <c r="FF65" i="72"/>
  <c r="FD66" i="72"/>
  <c r="FF66" i="72" s="1"/>
  <c r="AY51" i="72"/>
  <c r="BB50" i="72"/>
  <c r="FP71" i="72"/>
  <c r="E61" i="72"/>
  <c r="C62" i="72"/>
  <c r="E62" i="72" s="1"/>
  <c r="C63" i="72" s="1"/>
  <c r="BO56" i="72"/>
  <c r="BQ56" i="72" s="1"/>
  <c r="BQ55" i="72"/>
  <c r="BR55" i="72" s="1"/>
  <c r="CA68" i="72"/>
  <c r="CC68" i="72" s="1"/>
  <c r="CA69" i="72" s="1"/>
  <c r="CC67" i="72"/>
  <c r="FL67" i="72"/>
  <c r="CM76" i="72"/>
  <c r="CO76" i="72" s="1"/>
  <c r="CM77" i="72" s="1"/>
  <c r="CO75" i="72"/>
  <c r="Q63" i="72"/>
  <c r="O64" i="72"/>
  <c r="Q64" i="72" s="1"/>
  <c r="O65" i="72" s="1"/>
  <c r="AK65" i="72"/>
  <c r="AI66" i="72"/>
  <c r="AK66" i="72" s="1"/>
  <c r="AI67" i="72" s="1"/>
  <c r="AG50" i="55" l="1"/>
  <c r="AH50" i="55" s="1"/>
  <c r="AE51" i="55"/>
  <c r="AG51" i="55" s="1"/>
  <c r="S48" i="55"/>
  <c r="V47" i="55"/>
  <c r="H39" i="68"/>
  <c r="H41" i="68" s="1"/>
  <c r="H42" i="68" s="1"/>
  <c r="D46" i="68" s="1"/>
  <c r="G41" i="68"/>
  <c r="J47" i="55"/>
  <c r="G48" i="55"/>
  <c r="AL53" i="55"/>
  <c r="AI54" i="55"/>
  <c r="K49" i="55"/>
  <c r="M49" i="55" s="1"/>
  <c r="M48" i="55"/>
  <c r="N48" i="55" s="1"/>
  <c r="W50" i="55"/>
  <c r="Z49" i="55"/>
  <c r="G97" i="68"/>
  <c r="H97" i="68"/>
  <c r="H98" i="68" s="1"/>
  <c r="H43" i="48" s="1"/>
  <c r="H53" i="48" s="1"/>
  <c r="EA121" i="72"/>
  <c r="DY117" i="72"/>
  <c r="DW118" i="72"/>
  <c r="DY118" i="72" s="1"/>
  <c r="DU119" i="72"/>
  <c r="DS120" i="72"/>
  <c r="DU120" i="72" s="1"/>
  <c r="DO147" i="72"/>
  <c r="BK55" i="72"/>
  <c r="BN54" i="72"/>
  <c r="BC53" i="72"/>
  <c r="BF52" i="72"/>
  <c r="O47" i="55"/>
  <c r="Q47" i="55" s="1"/>
  <c r="Q46" i="55"/>
  <c r="R46" i="55" s="1"/>
  <c r="E44" i="55"/>
  <c r="F44" i="55" s="1"/>
  <c r="AM44" i="55" s="1"/>
  <c r="AO44" i="55" s="1"/>
  <c r="C45" i="55"/>
  <c r="E45" i="55" s="1"/>
  <c r="AA51" i="55"/>
  <c r="AC51" i="55" s="1"/>
  <c r="AC50" i="55"/>
  <c r="AD50" i="55" s="1"/>
  <c r="A29" i="64"/>
  <c r="A34" i="48"/>
  <c r="F126" i="68"/>
  <c r="I125" i="68"/>
  <c r="J125" i="68" s="1"/>
  <c r="DK97" i="72"/>
  <c r="DG95" i="72"/>
  <c r="DC93" i="72"/>
  <c r="CY93" i="72"/>
  <c r="Q65" i="72"/>
  <c r="O66" i="72"/>
  <c r="Q66" i="72" s="1"/>
  <c r="O67" i="72" s="1"/>
  <c r="FD67" i="72"/>
  <c r="BY69" i="72"/>
  <c r="BW70" i="72"/>
  <c r="BY70" i="72" s="1"/>
  <c r="BW71" i="72" s="1"/>
  <c r="CU78" i="72"/>
  <c r="CW78" i="72" s="1"/>
  <c r="CU79" i="72" s="1"/>
  <c r="CW77" i="72"/>
  <c r="AS65" i="72"/>
  <c r="AQ66" i="72"/>
  <c r="AS66" i="72" s="1"/>
  <c r="AQ67" i="72" s="1"/>
  <c r="AM68" i="72"/>
  <c r="AO68" i="72" s="1"/>
  <c r="AM69" i="72" s="1"/>
  <c r="AO67" i="72"/>
  <c r="AC65" i="72"/>
  <c r="AA66" i="72"/>
  <c r="AC66" i="72" s="1"/>
  <c r="AA67" i="72" s="1"/>
  <c r="FN67" i="72"/>
  <c r="FL68" i="72"/>
  <c r="FN68" i="72" s="1"/>
  <c r="BR56" i="72"/>
  <c r="BO57" i="72"/>
  <c r="FR71" i="72"/>
  <c r="FP72" i="72"/>
  <c r="FR72" i="72" s="1"/>
  <c r="G64" i="72"/>
  <c r="I64" i="72" s="1"/>
  <c r="G65" i="72" s="1"/>
  <c r="I63" i="72"/>
  <c r="GF73" i="72"/>
  <c r="GB69" i="72"/>
  <c r="AG63" i="72"/>
  <c r="AE64" i="72"/>
  <c r="AG64" i="72" s="1"/>
  <c r="AE65" i="72" s="1"/>
  <c r="BS68" i="72"/>
  <c r="BU68" i="72" s="1"/>
  <c r="BS69" i="72" s="1"/>
  <c r="BU67" i="72"/>
  <c r="AU52" i="72"/>
  <c r="AW52" i="72" s="1"/>
  <c r="AW51" i="72"/>
  <c r="AX51" i="72" s="1"/>
  <c r="BG53" i="72"/>
  <c r="BJ52" i="72"/>
  <c r="AK67" i="72"/>
  <c r="AI68" i="72"/>
  <c r="AK68" i="72" s="1"/>
  <c r="AI69" i="72" s="1"/>
  <c r="C64" i="72"/>
  <c r="E64" i="72" s="1"/>
  <c r="C65" i="72" s="1"/>
  <c r="E63" i="72"/>
  <c r="EZ67" i="72"/>
  <c r="CQ76" i="72"/>
  <c r="CS76" i="72" s="1"/>
  <c r="CQ77" i="72" s="1"/>
  <c r="CS75" i="72"/>
  <c r="CE70" i="72"/>
  <c r="CG70" i="72" s="1"/>
  <c r="CE71" i="72" s="1"/>
  <c r="CG69" i="72"/>
  <c r="CO77" i="72"/>
  <c r="CM78" i="72"/>
  <c r="CO78" i="72" s="1"/>
  <c r="CM79" i="72" s="1"/>
  <c r="CC69" i="72"/>
  <c r="CA70" i="72"/>
  <c r="CC70" i="72" s="1"/>
  <c r="CA71" i="72" s="1"/>
  <c r="AY52" i="72"/>
  <c r="BA52" i="72" s="1"/>
  <c r="BA51" i="72"/>
  <c r="BB51" i="72" s="1"/>
  <c r="Y63" i="72"/>
  <c r="W64" i="72"/>
  <c r="Y64" i="72" s="1"/>
  <c r="W65" i="72" s="1"/>
  <c r="FT68" i="72"/>
  <c r="FV68" i="72" s="1"/>
  <c r="FV67" i="72"/>
  <c r="S60" i="72"/>
  <c r="U60" i="72" s="1"/>
  <c r="S61" i="72" s="1"/>
  <c r="U59" i="72"/>
  <c r="FX72" i="72"/>
  <c r="FZ72" i="72" s="1"/>
  <c r="FZ71" i="72"/>
  <c r="EV66" i="72"/>
  <c r="EX66" i="72" s="1"/>
  <c r="EX65" i="72"/>
  <c r="FJ67" i="72"/>
  <c r="FH68" i="72"/>
  <c r="FJ68" i="72" s="1"/>
  <c r="M61" i="72"/>
  <c r="K62" i="72"/>
  <c r="M62" i="72" s="1"/>
  <c r="K63" i="72" s="1"/>
  <c r="GL75" i="72"/>
  <c r="GJ76" i="72"/>
  <c r="GL76" i="72" s="1"/>
  <c r="CK71" i="72"/>
  <c r="CI72" i="72"/>
  <c r="CK72" i="72" s="1"/>
  <c r="CI73" i="72" s="1"/>
  <c r="AE52" i="55" l="1"/>
  <c r="AH51" i="55"/>
  <c r="H31" i="48"/>
  <c r="H32" i="48" s="1"/>
  <c r="H69" i="48"/>
  <c r="S49" i="55"/>
  <c r="U49" i="55" s="1"/>
  <c r="U48" i="55"/>
  <c r="V48" i="55" s="1"/>
  <c r="K50" i="55"/>
  <c r="N49" i="55"/>
  <c r="I48" i="55"/>
  <c r="J48" i="55" s="1"/>
  <c r="G49" i="55"/>
  <c r="I49" i="55" s="1"/>
  <c r="AK54" i="55"/>
  <c r="AL54" i="55" s="1"/>
  <c r="AI55" i="55"/>
  <c r="AK55" i="55" s="1"/>
  <c r="Y50" i="55"/>
  <c r="Z50" i="55" s="1"/>
  <c r="W51" i="55"/>
  <c r="Y51" i="55" s="1"/>
  <c r="EA122" i="72"/>
  <c r="EC122" i="72" s="1"/>
  <c r="EC121" i="72"/>
  <c r="DW119" i="72"/>
  <c r="DS121" i="72"/>
  <c r="DQ147" i="72"/>
  <c r="DO148" i="72"/>
  <c r="DQ148" i="72" s="1"/>
  <c r="BK56" i="72"/>
  <c r="BM56" i="72" s="1"/>
  <c r="BM55" i="72"/>
  <c r="BN55" i="72" s="1"/>
  <c r="BC54" i="72"/>
  <c r="BE54" i="72" s="1"/>
  <c r="BE53" i="72"/>
  <c r="BF53" i="72" s="1"/>
  <c r="C46" i="55"/>
  <c r="F45" i="55"/>
  <c r="AM45" i="55" s="1"/>
  <c r="AN45" i="55" s="1"/>
  <c r="AA52" i="55"/>
  <c r="AD51" i="55"/>
  <c r="O48" i="55"/>
  <c r="R47" i="55"/>
  <c r="A35" i="48"/>
  <c r="F237" i="48" s="1"/>
  <c r="G72" i="54" s="1"/>
  <c r="F35" i="48"/>
  <c r="F32" i="64" s="1"/>
  <c r="A31" i="64"/>
  <c r="I126" i="68"/>
  <c r="J126" i="68" s="1"/>
  <c r="J127" i="68" s="1"/>
  <c r="F127" i="68"/>
  <c r="DM97" i="72"/>
  <c r="DK98" i="72"/>
  <c r="DM98" i="72" s="1"/>
  <c r="DI95" i="72"/>
  <c r="DG96" i="72"/>
  <c r="DI96" i="72" s="1"/>
  <c r="DE93" i="72"/>
  <c r="DC94" i="72"/>
  <c r="DE94" i="72" s="1"/>
  <c r="DA93" i="72"/>
  <c r="CY94" i="72"/>
  <c r="DA94" i="72" s="1"/>
  <c r="FP73" i="72"/>
  <c r="FL69" i="72"/>
  <c r="AS67" i="72"/>
  <c r="AQ68" i="72"/>
  <c r="AS68" i="72" s="1"/>
  <c r="AQ69" i="72" s="1"/>
  <c r="BW72" i="72"/>
  <c r="BY72" i="72" s="1"/>
  <c r="BW73" i="72" s="1"/>
  <c r="BY71" i="72"/>
  <c r="O68" i="72"/>
  <c r="Q68" i="72" s="1"/>
  <c r="O69" i="72" s="1"/>
  <c r="Q67" i="72"/>
  <c r="FX73" i="72"/>
  <c r="FT69" i="72"/>
  <c r="AY53" i="72"/>
  <c r="BB52" i="72"/>
  <c r="CQ78" i="72"/>
  <c r="CS78" i="72" s="1"/>
  <c r="CQ79" i="72" s="1"/>
  <c r="CS77" i="72"/>
  <c r="AX52" i="72"/>
  <c r="AU53" i="72"/>
  <c r="GH73" i="72"/>
  <c r="GF74" i="72"/>
  <c r="GH74" i="72" s="1"/>
  <c r="AO69" i="72"/>
  <c r="AM70" i="72"/>
  <c r="AO70" i="72" s="1"/>
  <c r="AM71" i="72" s="1"/>
  <c r="CI74" i="72"/>
  <c r="CK74" i="72" s="1"/>
  <c r="CI75" i="72" s="1"/>
  <c r="CK73" i="72"/>
  <c r="M63" i="72"/>
  <c r="K64" i="72"/>
  <c r="M64" i="72" s="1"/>
  <c r="K65" i="72" s="1"/>
  <c r="Y65" i="72"/>
  <c r="W66" i="72"/>
  <c r="Y66" i="72" s="1"/>
  <c r="W67" i="72" s="1"/>
  <c r="CA72" i="72"/>
  <c r="CC72" i="72" s="1"/>
  <c r="CA73" i="72" s="1"/>
  <c r="CC71" i="72"/>
  <c r="BQ57" i="72"/>
  <c r="BR57" i="72" s="1"/>
  <c r="BO58" i="72"/>
  <c r="BQ58" i="72" s="1"/>
  <c r="AC67" i="72"/>
  <c r="AA68" i="72"/>
  <c r="AC68" i="72" s="1"/>
  <c r="AA69" i="72" s="1"/>
  <c r="EV67" i="72"/>
  <c r="S62" i="72"/>
  <c r="U62" i="72" s="1"/>
  <c r="S63" i="72" s="1"/>
  <c r="U61" i="72"/>
  <c r="CG71" i="72"/>
  <c r="CE72" i="72"/>
  <c r="CG72" i="72" s="1"/>
  <c r="CE73" i="72" s="1"/>
  <c r="E65" i="72"/>
  <c r="C66" i="72"/>
  <c r="E66" i="72" s="1"/>
  <c r="C67" i="72" s="1"/>
  <c r="BG54" i="72"/>
  <c r="BI54" i="72" s="1"/>
  <c r="BI53" i="72"/>
  <c r="BJ53" i="72" s="1"/>
  <c r="BS70" i="72"/>
  <c r="BU70" i="72" s="1"/>
  <c r="BS71" i="72" s="1"/>
  <c r="BU69" i="72"/>
  <c r="GB70" i="72"/>
  <c r="GD70" i="72" s="1"/>
  <c r="GD69" i="72"/>
  <c r="G66" i="72"/>
  <c r="I66" i="72" s="1"/>
  <c r="G67" i="72" s="1"/>
  <c r="I65" i="72"/>
  <c r="CU80" i="72"/>
  <c r="CW80" i="72" s="1"/>
  <c r="CU81" i="72" s="1"/>
  <c r="CW79" i="72"/>
  <c r="FF67" i="72"/>
  <c r="FD68" i="72"/>
  <c r="FF68" i="72" s="1"/>
  <c r="GJ77" i="72"/>
  <c r="FH69" i="72"/>
  <c r="CM80" i="72"/>
  <c r="CO80" i="72" s="1"/>
  <c r="CM81" i="72" s="1"/>
  <c r="CO79" i="72"/>
  <c r="FB67" i="72"/>
  <c r="EZ68" i="72"/>
  <c r="FB68" i="72" s="1"/>
  <c r="AK69" i="72"/>
  <c r="AI70" i="72"/>
  <c r="AK70" i="72" s="1"/>
  <c r="AI71" i="72" s="1"/>
  <c r="AE66" i="72"/>
  <c r="AG66" i="72" s="1"/>
  <c r="AE67" i="72" s="1"/>
  <c r="AG65" i="72"/>
  <c r="AG52" i="55" l="1"/>
  <c r="AH52" i="55" s="1"/>
  <c r="AE53" i="55"/>
  <c r="AG53" i="55" s="1"/>
  <c r="H97" i="69"/>
  <c r="H100" i="69" s="1"/>
  <c r="H60" i="69"/>
  <c r="H151" i="69"/>
  <c r="H154" i="69" s="1"/>
  <c r="V49" i="55"/>
  <c r="S50" i="55"/>
  <c r="H34" i="48"/>
  <c r="H35" i="48" s="1"/>
  <c r="H256" i="48"/>
  <c r="H151" i="65"/>
  <c r="I151" i="65" s="1"/>
  <c r="I153" i="65" s="1"/>
  <c r="H89" i="48" s="1"/>
  <c r="F42" i="70"/>
  <c r="G42" i="70" s="1"/>
  <c r="F22" i="70"/>
  <c r="G22" i="70" s="1"/>
  <c r="H63" i="69"/>
  <c r="W52" i="55"/>
  <c r="Z51" i="55"/>
  <c r="G50" i="55"/>
  <c r="J49" i="55"/>
  <c r="AI56" i="55"/>
  <c r="AL55" i="55"/>
  <c r="M50" i="55"/>
  <c r="N50" i="55" s="1"/>
  <c r="K51" i="55"/>
  <c r="M51" i="55" s="1"/>
  <c r="EA123" i="72"/>
  <c r="DY119" i="72"/>
  <c r="DW120" i="72"/>
  <c r="DY120" i="72" s="1"/>
  <c r="DU121" i="72"/>
  <c r="DS122" i="72"/>
  <c r="DU122" i="72" s="1"/>
  <c r="DO149" i="72"/>
  <c r="DQ149" i="72" s="1"/>
  <c r="BK57" i="72"/>
  <c r="BN56" i="72"/>
  <c r="BC55" i="72"/>
  <c r="BF54" i="72"/>
  <c r="O49" i="55"/>
  <c r="Q49" i="55" s="1"/>
  <c r="Q48" i="55"/>
  <c r="R48" i="55" s="1"/>
  <c r="AC52" i="55"/>
  <c r="AD52" i="55" s="1"/>
  <c r="AA53" i="55"/>
  <c r="AC53" i="55" s="1"/>
  <c r="C47" i="55"/>
  <c r="E47" i="55" s="1"/>
  <c r="E46" i="55"/>
  <c r="F46" i="55" s="1"/>
  <c r="AM46" i="55" s="1"/>
  <c r="AO46" i="55" s="1"/>
  <c r="F72" i="64"/>
  <c r="A40" i="48"/>
  <c r="F150" i="48"/>
  <c r="F129" i="64" s="1"/>
  <c r="A32" i="64"/>
  <c r="H130" i="68"/>
  <c r="F130" i="68"/>
  <c r="DK99" i="72"/>
  <c r="DG97" i="72"/>
  <c r="DC95" i="72"/>
  <c r="CY95" i="72"/>
  <c r="EZ69" i="72"/>
  <c r="FD69" i="72"/>
  <c r="AC69" i="72"/>
  <c r="AA70" i="72"/>
  <c r="AC70" i="72" s="1"/>
  <c r="AA71" i="72" s="1"/>
  <c r="K66" i="72"/>
  <c r="M66" i="72" s="1"/>
  <c r="K67" i="72" s="1"/>
  <c r="M65" i="72"/>
  <c r="AM72" i="72"/>
  <c r="AO72" i="72" s="1"/>
  <c r="AM73" i="72" s="1"/>
  <c r="AO71" i="72"/>
  <c r="AW53" i="72"/>
  <c r="AX53" i="72" s="1"/>
  <c r="AU54" i="72"/>
  <c r="AW54" i="72" s="1"/>
  <c r="AE68" i="72"/>
  <c r="AG68" i="72" s="1"/>
  <c r="AE69" i="72" s="1"/>
  <c r="AG67" i="72"/>
  <c r="FJ69" i="72"/>
  <c r="FH70" i="72"/>
  <c r="FJ70" i="72" s="1"/>
  <c r="GB71" i="72"/>
  <c r="BG55" i="72"/>
  <c r="BJ54" i="72"/>
  <c r="S64" i="72"/>
  <c r="U64" i="72" s="1"/>
  <c r="S65" i="72" s="1"/>
  <c r="U63" i="72"/>
  <c r="CA74" i="72"/>
  <c r="CC74" i="72" s="1"/>
  <c r="CA75" i="72" s="1"/>
  <c r="CC73" i="72"/>
  <c r="AY54" i="72"/>
  <c r="BA54" i="72" s="1"/>
  <c r="BA53" i="72"/>
  <c r="BB53" i="72" s="1"/>
  <c r="FX74" i="72"/>
  <c r="FZ74" i="72" s="1"/>
  <c r="FZ73" i="72"/>
  <c r="BY73" i="72"/>
  <c r="BW74" i="72"/>
  <c r="BY74" i="72" s="1"/>
  <c r="BW75" i="72" s="1"/>
  <c r="FN69" i="72"/>
  <c r="FL70" i="72"/>
  <c r="FN70" i="72" s="1"/>
  <c r="AK71" i="72"/>
  <c r="AI72" i="72"/>
  <c r="AK72" i="72" s="1"/>
  <c r="AI73" i="72" s="1"/>
  <c r="E67" i="72"/>
  <c r="C68" i="72"/>
  <c r="E68" i="72" s="1"/>
  <c r="C69" i="72" s="1"/>
  <c r="CG73" i="72"/>
  <c r="CE74" i="72"/>
  <c r="CG74" i="72" s="1"/>
  <c r="CE75" i="72" s="1"/>
  <c r="BR58" i="72"/>
  <c r="BO59" i="72"/>
  <c r="W68" i="72"/>
  <c r="Y68" i="72" s="1"/>
  <c r="W69" i="72" s="1"/>
  <c r="Y67" i="72"/>
  <c r="GF75" i="72"/>
  <c r="AS69" i="72"/>
  <c r="AQ70" i="72"/>
  <c r="AS70" i="72" s="1"/>
  <c r="AQ71" i="72" s="1"/>
  <c r="CO81" i="72"/>
  <c r="CM82" i="72"/>
  <c r="CO82" i="72" s="1"/>
  <c r="CM83" i="72" s="1"/>
  <c r="GL77" i="72"/>
  <c r="GJ78" i="72"/>
  <c r="GL78" i="72" s="1"/>
  <c r="CU82" i="72"/>
  <c r="CW82" i="72" s="1"/>
  <c r="CU83" i="72" s="1"/>
  <c r="CW81" i="72"/>
  <c r="G68" i="72"/>
  <c r="I68" i="72" s="1"/>
  <c r="G69" i="72" s="1"/>
  <c r="I67" i="72"/>
  <c r="BU71" i="72"/>
  <c r="BS72" i="72"/>
  <c r="BU72" i="72" s="1"/>
  <c r="BS73" i="72" s="1"/>
  <c r="EX67" i="72"/>
  <c r="EV68" i="72"/>
  <c r="EX68" i="72" s="1"/>
  <c r="CI76" i="72"/>
  <c r="CK76" i="72" s="1"/>
  <c r="CI77" i="72" s="1"/>
  <c r="CK75" i="72"/>
  <c r="CS79" i="72"/>
  <c r="CQ80" i="72"/>
  <c r="CS80" i="72" s="1"/>
  <c r="CQ81" i="72" s="1"/>
  <c r="FT70" i="72"/>
  <c r="FV70" i="72" s="1"/>
  <c r="FV69" i="72"/>
  <c r="Q69" i="72"/>
  <c r="O70" i="72"/>
  <c r="Q70" i="72" s="1"/>
  <c r="O71" i="72" s="1"/>
  <c r="FR73" i="72"/>
  <c r="FP74" i="72"/>
  <c r="FR74" i="72" s="1"/>
  <c r="H237" i="48" l="1"/>
  <c r="AE54" i="55"/>
  <c r="AH53" i="55"/>
  <c r="H178" i="48"/>
  <c r="H180" i="48" s="1"/>
  <c r="H262" i="48" s="1"/>
  <c r="H13" i="69"/>
  <c r="E13" i="69" s="1"/>
  <c r="H77" i="48" s="1"/>
  <c r="E154" i="69"/>
  <c r="E160" i="65"/>
  <c r="F160" i="65" s="1"/>
  <c r="F163" i="65" s="1"/>
  <c r="H95" i="48" s="1"/>
  <c r="H96" i="48" s="1"/>
  <c r="H150" i="48"/>
  <c r="H151" i="48" s="1"/>
  <c r="H12" i="69"/>
  <c r="E12" i="69" s="1"/>
  <c r="H76" i="48" s="1"/>
  <c r="E100" i="69"/>
  <c r="H10" i="69"/>
  <c r="E63" i="69"/>
  <c r="U50" i="55"/>
  <c r="V50" i="55" s="1"/>
  <c r="S51" i="55"/>
  <c r="U51" i="55" s="1"/>
  <c r="K52" i="55"/>
  <c r="N51" i="55"/>
  <c r="G51" i="55"/>
  <c r="I51" i="55" s="1"/>
  <c r="I50" i="55"/>
  <c r="J50" i="55" s="1"/>
  <c r="AI57" i="55"/>
  <c r="AK57" i="55" s="1"/>
  <c r="AK56" i="55"/>
  <c r="AL56" i="55" s="1"/>
  <c r="Y52" i="55"/>
  <c r="Z52" i="55" s="1"/>
  <c r="W53" i="55"/>
  <c r="Y53" i="55" s="1"/>
  <c r="EA124" i="72"/>
  <c r="EC124" i="72" s="1"/>
  <c r="EC123" i="72"/>
  <c r="DW121" i="72"/>
  <c r="DS123" i="72"/>
  <c r="DO150" i="72"/>
  <c r="DQ150" i="72" s="1"/>
  <c r="DO151" i="72" s="1"/>
  <c r="BM57" i="72"/>
  <c r="BN57" i="72" s="1"/>
  <c r="BK58" i="72"/>
  <c r="BM58" i="72" s="1"/>
  <c r="BC56" i="72"/>
  <c r="BE56" i="72" s="1"/>
  <c r="BE55" i="72"/>
  <c r="BF55" i="72" s="1"/>
  <c r="C48" i="55"/>
  <c r="F47" i="55"/>
  <c r="AM47" i="55" s="1"/>
  <c r="AN47" i="55" s="1"/>
  <c r="O50" i="55"/>
  <c r="R49" i="55"/>
  <c r="AA54" i="55"/>
  <c r="AD53" i="55"/>
  <c r="A37" i="64"/>
  <c r="A59" i="65" s="1"/>
  <c r="A41" i="48"/>
  <c r="F213" i="64"/>
  <c r="I130" i="68"/>
  <c r="F131" i="68" s="1"/>
  <c r="H131" i="68"/>
  <c r="H132" i="68" s="1"/>
  <c r="H133" i="68" s="1"/>
  <c r="H134" i="68" s="1"/>
  <c r="H135" i="68" s="1"/>
  <c r="H136" i="68" s="1"/>
  <c r="H137" i="68" s="1"/>
  <c r="H138" i="68" s="1"/>
  <c r="H139" i="68" s="1"/>
  <c r="H140" i="68" s="1"/>
  <c r="H141" i="68" s="1"/>
  <c r="DM99" i="72"/>
  <c r="DK100" i="72"/>
  <c r="DM100" i="72" s="1"/>
  <c r="DI97" i="72"/>
  <c r="DG98" i="72"/>
  <c r="DI98" i="72" s="1"/>
  <c r="DE95" i="72"/>
  <c r="DC96" i="72"/>
  <c r="DE96" i="72" s="1"/>
  <c r="DA95" i="72"/>
  <c r="CY96" i="72"/>
  <c r="DA96" i="72" s="1"/>
  <c r="FP75" i="72"/>
  <c r="BS74" i="72"/>
  <c r="BU74" i="72" s="1"/>
  <c r="BS75" i="72" s="1"/>
  <c r="BU73" i="72"/>
  <c r="CM84" i="72"/>
  <c r="CO84" i="72" s="1"/>
  <c r="CM85" i="72" s="1"/>
  <c r="CO83" i="72"/>
  <c r="BO60" i="72"/>
  <c r="BQ60" i="72" s="1"/>
  <c r="BQ59" i="72"/>
  <c r="BR59" i="72" s="1"/>
  <c r="C70" i="72"/>
  <c r="E70" i="72" s="1"/>
  <c r="C71" i="72" s="1"/>
  <c r="E69" i="72"/>
  <c r="FL71" i="72"/>
  <c r="AC71" i="72"/>
  <c r="AA72" i="72"/>
  <c r="AC72" i="72" s="1"/>
  <c r="AA73" i="72" s="1"/>
  <c r="FT71" i="72"/>
  <c r="CK77" i="72"/>
  <c r="CI78" i="72"/>
  <c r="CK78" i="72" s="1"/>
  <c r="CI79" i="72" s="1"/>
  <c r="CW83" i="72"/>
  <c r="CU84" i="72"/>
  <c r="CW84" i="72" s="1"/>
  <c r="CU85" i="72" s="1"/>
  <c r="GH75" i="72"/>
  <c r="GF76" i="72"/>
  <c r="GH76" i="72" s="1"/>
  <c r="FX75" i="72"/>
  <c r="CA76" i="72"/>
  <c r="CC76" i="72" s="1"/>
  <c r="CA77" i="72" s="1"/>
  <c r="CC75" i="72"/>
  <c r="BG56" i="72"/>
  <c r="BI56" i="72" s="1"/>
  <c r="BI55" i="72"/>
  <c r="BJ55" i="72" s="1"/>
  <c r="AE70" i="72"/>
  <c r="AG70" i="72" s="1"/>
  <c r="AE71" i="72" s="1"/>
  <c r="AG69" i="72"/>
  <c r="AO73" i="72"/>
  <c r="AM74" i="72"/>
  <c r="AO74" i="72" s="1"/>
  <c r="AM75" i="72" s="1"/>
  <c r="FF69" i="72"/>
  <c r="FD70" i="72"/>
  <c r="FF70" i="72" s="1"/>
  <c r="Q71" i="72"/>
  <c r="O72" i="72"/>
  <c r="Q72" i="72" s="1"/>
  <c r="O73" i="72" s="1"/>
  <c r="CQ82" i="72"/>
  <c r="CS82" i="72" s="1"/>
  <c r="CQ83" i="72" s="1"/>
  <c r="CS81" i="72"/>
  <c r="EV69" i="72"/>
  <c r="GJ79" i="72"/>
  <c r="AS71" i="72"/>
  <c r="AQ72" i="72"/>
  <c r="AS72" i="72" s="1"/>
  <c r="AQ73" i="72" s="1"/>
  <c r="CG75" i="72"/>
  <c r="CE76" i="72"/>
  <c r="CG76" i="72" s="1"/>
  <c r="CE77" i="72" s="1"/>
  <c r="AK73" i="72"/>
  <c r="AI74" i="72"/>
  <c r="AK74" i="72" s="1"/>
  <c r="AI75" i="72" s="1"/>
  <c r="BW76" i="72"/>
  <c r="BY76" i="72" s="1"/>
  <c r="BW77" i="72" s="1"/>
  <c r="BY75" i="72"/>
  <c r="FH71" i="72"/>
  <c r="AX54" i="72"/>
  <c r="AU55" i="72"/>
  <c r="I69" i="72"/>
  <c r="G70" i="72"/>
  <c r="I70" i="72" s="1"/>
  <c r="G71" i="72" s="1"/>
  <c r="Y69" i="72"/>
  <c r="W70" i="72"/>
  <c r="Y70" i="72" s="1"/>
  <c r="W71" i="72" s="1"/>
  <c r="AY55" i="72"/>
  <c r="BB54" i="72"/>
  <c r="U65" i="72"/>
  <c r="S66" i="72"/>
  <c r="U66" i="72" s="1"/>
  <c r="S67" i="72" s="1"/>
  <c r="GB72" i="72"/>
  <c r="GD72" i="72" s="1"/>
  <c r="GD71" i="72"/>
  <c r="M67" i="72"/>
  <c r="K68" i="72"/>
  <c r="M68" i="72" s="1"/>
  <c r="K69" i="72" s="1"/>
  <c r="FB69" i="72"/>
  <c r="EZ70" i="72"/>
  <c r="FB70" i="72" s="1"/>
  <c r="AG54" i="55" l="1"/>
  <c r="AH54" i="55" s="1"/>
  <c r="AE55" i="55"/>
  <c r="AG55" i="55" s="1"/>
  <c r="S52" i="55"/>
  <c r="V51" i="55"/>
  <c r="I72" i="54"/>
  <c r="E10" i="69"/>
  <c r="H15" i="69"/>
  <c r="H106" i="48"/>
  <c r="H108" i="48" s="1"/>
  <c r="H260" i="48"/>
  <c r="G52" i="55"/>
  <c r="J51" i="55"/>
  <c r="W54" i="55"/>
  <c r="Z53" i="55"/>
  <c r="DQ151" i="72"/>
  <c r="DO152" i="72"/>
  <c r="DQ152" i="72" s="1"/>
  <c r="AI58" i="55"/>
  <c r="AL57" i="55"/>
  <c r="M52" i="55"/>
  <c r="N52" i="55" s="1"/>
  <c r="K53" i="55"/>
  <c r="M53" i="55" s="1"/>
  <c r="EA125" i="72"/>
  <c r="DY121" i="72"/>
  <c r="DW122" i="72"/>
  <c r="DY122" i="72" s="1"/>
  <c r="DU123" i="72"/>
  <c r="DS124" i="72"/>
  <c r="DU124" i="72" s="1"/>
  <c r="BN58" i="72"/>
  <c r="BK59" i="72"/>
  <c r="BF56" i="72"/>
  <c r="BC57" i="72"/>
  <c r="AC54" i="55"/>
  <c r="AD54" i="55" s="1"/>
  <c r="AA55" i="55"/>
  <c r="AC55" i="55" s="1"/>
  <c r="Q50" i="55"/>
  <c r="R50" i="55" s="1"/>
  <c r="O51" i="55"/>
  <c r="Q51" i="55" s="1"/>
  <c r="C49" i="55"/>
  <c r="E49" i="55" s="1"/>
  <c r="E48" i="55"/>
  <c r="F48" i="55" s="1"/>
  <c r="AM48" i="55" s="1"/>
  <c r="AO48" i="55" s="1"/>
  <c r="A42" i="48"/>
  <c r="I81" i="68"/>
  <c r="H142" i="68"/>
  <c r="H144" i="68" s="1"/>
  <c r="I131" i="68"/>
  <c r="F132" i="68" s="1"/>
  <c r="I132" i="68" s="1"/>
  <c r="F133" i="68" s="1"/>
  <c r="I133" i="68" s="1"/>
  <c r="F134" i="68" s="1"/>
  <c r="I134" i="68" s="1"/>
  <c r="F135" i="68" s="1"/>
  <c r="I135" i="68" s="1"/>
  <c r="F136" i="68" s="1"/>
  <c r="I136" i="68" s="1"/>
  <c r="F137" i="68" s="1"/>
  <c r="I137" i="68" s="1"/>
  <c r="F138" i="68" s="1"/>
  <c r="I138" i="68" s="1"/>
  <c r="F139" i="68" s="1"/>
  <c r="I139" i="68" s="1"/>
  <c r="F140" i="68" s="1"/>
  <c r="I140" i="68" s="1"/>
  <c r="F141" i="68" s="1"/>
  <c r="I141" i="68" s="1"/>
  <c r="DK101" i="72"/>
  <c r="DG99" i="72"/>
  <c r="DC97" i="72"/>
  <c r="CY97" i="72"/>
  <c r="EZ71" i="72"/>
  <c r="G72" i="72"/>
  <c r="I72" i="72" s="1"/>
  <c r="G73" i="72" s="1"/>
  <c r="I71" i="72"/>
  <c r="AU56" i="72"/>
  <c r="AW56" i="72" s="1"/>
  <c r="AW55" i="72"/>
  <c r="AX55" i="72" s="1"/>
  <c r="CE78" i="72"/>
  <c r="CG78" i="72" s="1"/>
  <c r="CE79" i="72" s="1"/>
  <c r="CG77" i="72"/>
  <c r="FD71" i="72"/>
  <c r="CU86" i="72"/>
  <c r="CW86" i="72" s="1"/>
  <c r="CU87" i="72" s="1"/>
  <c r="CW85" i="72"/>
  <c r="GB73" i="72"/>
  <c r="BA55" i="72"/>
  <c r="BB55" i="72" s="1"/>
  <c r="AY56" i="72"/>
  <c r="BA56" i="72" s="1"/>
  <c r="BW78" i="72"/>
  <c r="BY78" i="72" s="1"/>
  <c r="BW79" i="72" s="1"/>
  <c r="BY77" i="72"/>
  <c r="GJ80" i="72"/>
  <c r="GL80" i="72" s="1"/>
  <c r="GL79" i="72"/>
  <c r="CS83" i="72"/>
  <c r="CQ84" i="72"/>
  <c r="CS84" i="72" s="1"/>
  <c r="CQ85" i="72" s="1"/>
  <c r="AE72" i="72"/>
  <c r="AG72" i="72" s="1"/>
  <c r="AE73" i="72" s="1"/>
  <c r="AG71" i="72"/>
  <c r="BG57" i="72"/>
  <c r="BJ56" i="72"/>
  <c r="FZ75" i="72"/>
  <c r="FX76" i="72"/>
  <c r="FZ76" i="72" s="1"/>
  <c r="FV71" i="72"/>
  <c r="FT72" i="72"/>
  <c r="FV72" i="72" s="1"/>
  <c r="FN71" i="72"/>
  <c r="FL72" i="72"/>
  <c r="FN72" i="72" s="1"/>
  <c r="BR60" i="72"/>
  <c r="BO61" i="72"/>
  <c r="BU75" i="72"/>
  <c r="BS76" i="72"/>
  <c r="BU76" i="72" s="1"/>
  <c r="BS77" i="72" s="1"/>
  <c r="K70" i="72"/>
  <c r="M70" i="72" s="1"/>
  <c r="K71" i="72" s="1"/>
  <c r="M69" i="72"/>
  <c r="U67" i="72"/>
  <c r="S68" i="72"/>
  <c r="U68" i="72" s="1"/>
  <c r="S69" i="72" s="1"/>
  <c r="W72" i="72"/>
  <c r="Y72" i="72" s="1"/>
  <c r="W73" i="72" s="1"/>
  <c r="Y71" i="72"/>
  <c r="AI76" i="72"/>
  <c r="AK76" i="72" s="1"/>
  <c r="AI77" i="72" s="1"/>
  <c r="AK75" i="72"/>
  <c r="AS73" i="72"/>
  <c r="AQ74" i="72"/>
  <c r="AS74" i="72" s="1"/>
  <c r="AQ75" i="72" s="1"/>
  <c r="Q73" i="72"/>
  <c r="O74" i="72"/>
  <c r="Q74" i="72" s="1"/>
  <c r="O75" i="72" s="1"/>
  <c r="AM76" i="72"/>
  <c r="AO76" i="72" s="1"/>
  <c r="AM77" i="72" s="1"/>
  <c r="AO75" i="72"/>
  <c r="GF77" i="72"/>
  <c r="CK79" i="72"/>
  <c r="CI80" i="72"/>
  <c r="CK80" i="72" s="1"/>
  <c r="CI81" i="72" s="1"/>
  <c r="AC73" i="72"/>
  <c r="AA74" i="72"/>
  <c r="AC74" i="72" s="1"/>
  <c r="AA75" i="72" s="1"/>
  <c r="FJ71" i="72"/>
  <c r="FH72" i="72"/>
  <c r="FJ72" i="72" s="1"/>
  <c r="EX69" i="72"/>
  <c r="EV70" i="72"/>
  <c r="EX70" i="72" s="1"/>
  <c r="CC77" i="72"/>
  <c r="CA78" i="72"/>
  <c r="CC78" i="72" s="1"/>
  <c r="CA79" i="72" s="1"/>
  <c r="E71" i="72"/>
  <c r="C72" i="72"/>
  <c r="E72" i="72" s="1"/>
  <c r="C73" i="72" s="1"/>
  <c r="CO85" i="72"/>
  <c r="CM86" i="72"/>
  <c r="CO86" i="72" s="1"/>
  <c r="CM87" i="72" s="1"/>
  <c r="FR75" i="72"/>
  <c r="FP76" i="72"/>
  <c r="FR76" i="72" s="1"/>
  <c r="AE56" i="55" l="1"/>
  <c r="AH55" i="55"/>
  <c r="H146" i="68"/>
  <c r="G226" i="65"/>
  <c r="S53" i="55"/>
  <c r="U53" i="55" s="1"/>
  <c r="U52" i="55"/>
  <c r="V52" i="55" s="1"/>
  <c r="E15" i="69"/>
  <c r="AK58" i="55"/>
  <c r="AL58" i="55" s="1"/>
  <c r="AI59" i="55"/>
  <c r="AK59" i="55" s="1"/>
  <c r="W55" i="55"/>
  <c r="Y55" i="55" s="1"/>
  <c r="Y54" i="55"/>
  <c r="Z54" i="55" s="1"/>
  <c r="K54" i="55"/>
  <c r="N53" i="55"/>
  <c r="I52" i="55"/>
  <c r="J52" i="55" s="1"/>
  <c r="G53" i="55"/>
  <c r="I53" i="55" s="1"/>
  <c r="EA126" i="72"/>
  <c r="EC126" i="72" s="1"/>
  <c r="EC125" i="72"/>
  <c r="DW123" i="72"/>
  <c r="DS125" i="72"/>
  <c r="BM59" i="72"/>
  <c r="BN59" i="72" s="1"/>
  <c r="BK60" i="72"/>
  <c r="BM60" i="72" s="1"/>
  <c r="BE57" i="72"/>
  <c r="BF57" i="72" s="1"/>
  <c r="BC58" i="72"/>
  <c r="BE58" i="72" s="1"/>
  <c r="AA56" i="55"/>
  <c r="AD55" i="55"/>
  <c r="O52" i="55"/>
  <c r="R51" i="55"/>
  <c r="C50" i="55"/>
  <c r="F49" i="55"/>
  <c r="AM49" i="55" s="1"/>
  <c r="AN49" i="55" s="1"/>
  <c r="A38" i="64"/>
  <c r="A60" i="65" s="1"/>
  <c r="E46" i="68"/>
  <c r="I75" i="68" s="1"/>
  <c r="A43" i="48"/>
  <c r="I98" i="68"/>
  <c r="F43" i="48"/>
  <c r="DM101" i="72"/>
  <c r="DK102" i="72"/>
  <c r="DM102" i="72" s="1"/>
  <c r="DI99" i="72"/>
  <c r="DG100" i="72"/>
  <c r="DI100" i="72" s="1"/>
  <c r="DE97" i="72"/>
  <c r="DC98" i="72"/>
  <c r="DE98" i="72" s="1"/>
  <c r="DA97" i="72"/>
  <c r="CY98" i="72"/>
  <c r="DA98" i="72" s="1"/>
  <c r="FP77" i="72"/>
  <c r="E73" i="72"/>
  <c r="C74" i="72"/>
  <c r="E74" i="72" s="1"/>
  <c r="C75" i="72" s="1"/>
  <c r="EV71" i="72"/>
  <c r="CK81" i="72"/>
  <c r="CI82" i="72"/>
  <c r="CK82" i="72" s="1"/>
  <c r="CI83" i="72" s="1"/>
  <c r="O76" i="72"/>
  <c r="Q76" i="72" s="1"/>
  <c r="O77" i="72" s="1"/>
  <c r="Q75" i="72"/>
  <c r="U69" i="72"/>
  <c r="S70" i="72"/>
  <c r="U70" i="72" s="1"/>
  <c r="S71" i="72" s="1"/>
  <c r="BU77" i="72"/>
  <c r="BS78" i="72"/>
  <c r="BU78" i="72" s="1"/>
  <c r="BS79" i="72" s="1"/>
  <c r="FL73" i="72"/>
  <c r="FX77" i="72"/>
  <c r="AY57" i="72"/>
  <c r="BB56" i="72"/>
  <c r="AI78" i="72"/>
  <c r="AK78" i="72" s="1"/>
  <c r="AI79" i="72" s="1"/>
  <c r="AK77" i="72"/>
  <c r="AE74" i="72"/>
  <c r="AG74" i="72" s="1"/>
  <c r="AE75" i="72" s="1"/>
  <c r="AG73" i="72"/>
  <c r="CU88" i="72"/>
  <c r="CW88" i="72" s="1"/>
  <c r="CU89" i="72" s="1"/>
  <c r="CW87" i="72"/>
  <c r="CG79" i="72"/>
  <c r="CE80" i="72"/>
  <c r="CG80" i="72" s="1"/>
  <c r="CE81" i="72" s="1"/>
  <c r="I73" i="72"/>
  <c r="G74" i="72"/>
  <c r="I74" i="72" s="1"/>
  <c r="G75" i="72" s="1"/>
  <c r="CM88" i="72"/>
  <c r="CO88" i="72" s="1"/>
  <c r="CM89" i="72" s="1"/>
  <c r="CO87" i="72"/>
  <c r="CC79" i="72"/>
  <c r="CA80" i="72"/>
  <c r="CC80" i="72" s="1"/>
  <c r="CA81" i="72" s="1"/>
  <c r="FH73" i="72"/>
  <c r="AC75" i="72"/>
  <c r="AA76" i="72"/>
  <c r="AC76" i="72" s="1"/>
  <c r="AA77" i="72" s="1"/>
  <c r="AS75" i="72"/>
  <c r="AQ76" i="72"/>
  <c r="AS76" i="72" s="1"/>
  <c r="AQ77" i="72" s="1"/>
  <c r="BO62" i="72"/>
  <c r="BQ62" i="72" s="1"/>
  <c r="BQ61" i="72"/>
  <c r="BR61" i="72" s="1"/>
  <c r="FT73" i="72"/>
  <c r="CS85" i="72"/>
  <c r="CQ86" i="72"/>
  <c r="CS86" i="72" s="1"/>
  <c r="CQ87" i="72" s="1"/>
  <c r="GF78" i="72"/>
  <c r="GH78" i="72" s="1"/>
  <c r="GH77" i="72"/>
  <c r="AM78" i="72"/>
  <c r="AO78" i="72" s="1"/>
  <c r="AM79" i="72" s="1"/>
  <c r="AO77" i="72"/>
  <c r="Y73" i="72"/>
  <c r="W74" i="72"/>
  <c r="Y74" i="72" s="1"/>
  <c r="W75" i="72" s="1"/>
  <c r="K72" i="72"/>
  <c r="M72" i="72" s="1"/>
  <c r="K73" i="72" s="1"/>
  <c r="M71" i="72"/>
  <c r="BI57" i="72"/>
  <c r="BJ57" i="72" s="1"/>
  <c r="BG58" i="72"/>
  <c r="BI58" i="72" s="1"/>
  <c r="BW80" i="72"/>
  <c r="BY80" i="72" s="1"/>
  <c r="BW81" i="72" s="1"/>
  <c r="BY79" i="72"/>
  <c r="GB74" i="72"/>
  <c r="GD74" i="72" s="1"/>
  <c r="GD73" i="72"/>
  <c r="FF71" i="72"/>
  <c r="FD72" i="72"/>
  <c r="FF72" i="72" s="1"/>
  <c r="AU57" i="72"/>
  <c r="AX56" i="72"/>
  <c r="FB71" i="72"/>
  <c r="EZ72" i="72"/>
  <c r="FB72" i="72" s="1"/>
  <c r="AE57" i="55" l="1"/>
  <c r="AG57" i="55" s="1"/>
  <c r="AG56" i="55"/>
  <c r="AH56" i="55" s="1"/>
  <c r="I226" i="65"/>
  <c r="V53" i="55"/>
  <c r="S54" i="55"/>
  <c r="Z55" i="55"/>
  <c r="W56" i="55"/>
  <c r="AL59" i="55"/>
  <c r="AI60" i="55"/>
  <c r="G54" i="55"/>
  <c r="J53" i="55"/>
  <c r="K55" i="55"/>
  <c r="M55" i="55" s="1"/>
  <c r="M54" i="55"/>
  <c r="N54" i="55" s="1"/>
  <c r="EA127" i="72"/>
  <c r="DY123" i="72"/>
  <c r="DW124" i="72"/>
  <c r="DY124" i="72" s="1"/>
  <c r="DU125" i="72"/>
  <c r="DS126" i="72"/>
  <c r="DU126" i="72" s="1"/>
  <c r="BK61" i="72"/>
  <c r="BN60" i="72"/>
  <c r="BC59" i="72"/>
  <c r="BF58" i="72"/>
  <c r="O53" i="55"/>
  <c r="Q53" i="55" s="1"/>
  <c r="Q52" i="55"/>
  <c r="R52" i="55" s="1"/>
  <c r="C51" i="55"/>
  <c r="E51" i="55" s="1"/>
  <c r="E50" i="55"/>
  <c r="F50" i="55" s="1"/>
  <c r="AM50" i="55" s="1"/>
  <c r="AO50" i="55" s="1"/>
  <c r="AC56" i="55"/>
  <c r="AD56" i="55" s="1"/>
  <c r="AA57" i="55"/>
  <c r="AC57" i="55" s="1"/>
  <c r="A45" i="48"/>
  <c r="DK103" i="72"/>
  <c r="DG101" i="72"/>
  <c r="DC99" i="72"/>
  <c r="CY99" i="72"/>
  <c r="BG59" i="72"/>
  <c r="BJ58" i="72"/>
  <c r="W76" i="72"/>
  <c r="Y76" i="72" s="1"/>
  <c r="W77" i="72" s="1"/>
  <c r="Y75" i="72"/>
  <c r="AQ78" i="72"/>
  <c r="AS78" i="72" s="1"/>
  <c r="AQ79" i="72" s="1"/>
  <c r="AS77" i="72"/>
  <c r="CE82" i="72"/>
  <c r="CG82" i="72" s="1"/>
  <c r="CE83" i="72" s="1"/>
  <c r="CG81" i="72"/>
  <c r="BU79" i="72"/>
  <c r="BS80" i="72"/>
  <c r="BU80" i="72" s="1"/>
  <c r="BS81" i="72" s="1"/>
  <c r="E75" i="72"/>
  <c r="C76" i="72"/>
  <c r="E76" i="72" s="1"/>
  <c r="C77" i="72" s="1"/>
  <c r="AU58" i="72"/>
  <c r="AW58" i="72" s="1"/>
  <c r="AW57" i="72"/>
  <c r="AX57" i="72" s="1"/>
  <c r="GB75" i="72"/>
  <c r="FT74" i="72"/>
  <c r="FV74" i="72" s="1"/>
  <c r="FV73" i="72"/>
  <c r="FJ73" i="72"/>
  <c r="FH74" i="72"/>
  <c r="FJ74" i="72" s="1"/>
  <c r="CM90" i="72"/>
  <c r="CO90" i="72" s="1"/>
  <c r="CM91" i="72" s="1"/>
  <c r="CO89" i="72"/>
  <c r="AE76" i="72"/>
  <c r="AG76" i="72" s="1"/>
  <c r="AE77" i="72" s="1"/>
  <c r="AG75" i="72"/>
  <c r="FX78" i="72"/>
  <c r="FZ78" i="72" s="1"/>
  <c r="FZ77" i="72"/>
  <c r="Q77" i="72"/>
  <c r="O78" i="72"/>
  <c r="Q78" i="72" s="1"/>
  <c r="O79" i="72" s="1"/>
  <c r="EZ73" i="72"/>
  <c r="FD73" i="72"/>
  <c r="CS87" i="72"/>
  <c r="CQ88" i="72"/>
  <c r="CS88" i="72" s="1"/>
  <c r="CQ89" i="72" s="1"/>
  <c r="AA78" i="72"/>
  <c r="AC78" i="72" s="1"/>
  <c r="AA79" i="72" s="1"/>
  <c r="AC77" i="72"/>
  <c r="CC81" i="72"/>
  <c r="CA82" i="72"/>
  <c r="CC82" i="72" s="1"/>
  <c r="CA83" i="72" s="1"/>
  <c r="G76" i="72"/>
  <c r="I76" i="72" s="1"/>
  <c r="G77" i="72" s="1"/>
  <c r="I75" i="72"/>
  <c r="S72" i="72"/>
  <c r="U72" i="72" s="1"/>
  <c r="S73" i="72" s="1"/>
  <c r="U71" i="72"/>
  <c r="CI84" i="72"/>
  <c r="CK84" i="72" s="1"/>
  <c r="CI85" i="72" s="1"/>
  <c r="CK83" i="72"/>
  <c r="BY81" i="72"/>
  <c r="BW82" i="72"/>
  <c r="BY82" i="72" s="1"/>
  <c r="BW83" i="72" s="1"/>
  <c r="K74" i="72"/>
  <c r="M74" i="72" s="1"/>
  <c r="K75" i="72" s="1"/>
  <c r="M73" i="72"/>
  <c r="AO79" i="72"/>
  <c r="AM80" i="72"/>
  <c r="AO80" i="72" s="1"/>
  <c r="AM81" i="72" s="1"/>
  <c r="BO63" i="72"/>
  <c r="BR62" i="72"/>
  <c r="CU90" i="72"/>
  <c r="CW90" i="72" s="1"/>
  <c r="CU91" i="72" s="1"/>
  <c r="CW89" i="72"/>
  <c r="AI80" i="72"/>
  <c r="AK80" i="72" s="1"/>
  <c r="AI81" i="72" s="1"/>
  <c r="AK79" i="72"/>
  <c r="AY58" i="72"/>
  <c r="BA58" i="72" s="1"/>
  <c r="BA57" i="72"/>
  <c r="BB57" i="72" s="1"/>
  <c r="FL74" i="72"/>
  <c r="FN74" i="72" s="1"/>
  <c r="FN73" i="72"/>
  <c r="EX71" i="72"/>
  <c r="EV72" i="72"/>
  <c r="EX72" i="72" s="1"/>
  <c r="FP78" i="72"/>
  <c r="FR78" i="72" s="1"/>
  <c r="FR77" i="72"/>
  <c r="I70" i="54" l="1"/>
  <c r="I73" i="54" s="1"/>
  <c r="H238" i="48"/>
  <c r="AE58" i="55"/>
  <c r="AH57" i="55"/>
  <c r="H299" i="48"/>
  <c r="U54" i="55"/>
  <c r="V54" i="55" s="1"/>
  <c r="S55" i="55"/>
  <c r="U55" i="55" s="1"/>
  <c r="AK60" i="55"/>
  <c r="AL60" i="55" s="1"/>
  <c r="AI61" i="55"/>
  <c r="AK61" i="55" s="1"/>
  <c r="K56" i="55"/>
  <c r="N55" i="55"/>
  <c r="W57" i="55"/>
  <c r="Y57" i="55" s="1"/>
  <c r="Y56" i="55"/>
  <c r="Z56" i="55" s="1"/>
  <c r="I54" i="55"/>
  <c r="J54" i="55" s="1"/>
  <c r="G55" i="55"/>
  <c r="I55" i="55" s="1"/>
  <c r="EA128" i="72"/>
  <c r="EC128" i="72" s="1"/>
  <c r="EC127" i="72"/>
  <c r="DW125" i="72"/>
  <c r="DS127" i="72"/>
  <c r="BK62" i="72"/>
  <c r="BM62" i="72" s="1"/>
  <c r="BM61" i="72"/>
  <c r="BN61" i="72" s="1"/>
  <c r="BC60" i="72"/>
  <c r="BE60" i="72" s="1"/>
  <c r="BE59" i="72"/>
  <c r="BF59" i="72" s="1"/>
  <c r="AA58" i="55"/>
  <c r="AD57" i="55"/>
  <c r="C52" i="55"/>
  <c r="F51" i="55"/>
  <c r="AM51" i="55" s="1"/>
  <c r="AN51" i="55" s="1"/>
  <c r="O54" i="55"/>
  <c r="R53" i="55"/>
  <c r="A46" i="48"/>
  <c r="F47" i="48" s="1"/>
  <c r="F41" i="64" s="1"/>
  <c r="A39" i="64"/>
  <c r="DM103" i="72"/>
  <c r="DK104" i="72"/>
  <c r="DM104" i="72" s="1"/>
  <c r="DI101" i="72"/>
  <c r="DG102" i="72"/>
  <c r="DI102" i="72" s="1"/>
  <c r="DE99" i="72"/>
  <c r="DC100" i="72"/>
  <c r="DE100" i="72" s="1"/>
  <c r="DA99" i="72"/>
  <c r="CY100" i="72"/>
  <c r="DA100" i="72" s="1"/>
  <c r="O80" i="72"/>
  <c r="Q80" i="72" s="1"/>
  <c r="O81" i="72" s="1"/>
  <c r="Q79" i="72"/>
  <c r="FL75" i="72"/>
  <c r="AI82" i="72"/>
  <c r="AK82" i="72" s="1"/>
  <c r="AI83" i="72" s="1"/>
  <c r="AK81" i="72"/>
  <c r="BQ63" i="72"/>
  <c r="BR63" i="72" s="1"/>
  <c r="BO64" i="72"/>
  <c r="BQ64" i="72" s="1"/>
  <c r="K76" i="72"/>
  <c r="M76" i="72" s="1"/>
  <c r="K77" i="72" s="1"/>
  <c r="M75" i="72"/>
  <c r="CK85" i="72"/>
  <c r="CI86" i="72"/>
  <c r="CK86" i="72" s="1"/>
  <c r="CI87" i="72" s="1"/>
  <c r="I77" i="72"/>
  <c r="G78" i="72"/>
  <c r="AC79" i="72"/>
  <c r="AA80" i="72"/>
  <c r="AC80" i="72" s="1"/>
  <c r="AA81" i="72" s="1"/>
  <c r="FD74" i="72"/>
  <c r="FF74" i="72" s="1"/>
  <c r="FF73" i="72"/>
  <c r="CM92" i="72"/>
  <c r="CO92" i="72" s="1"/>
  <c r="CM93" i="72" s="1"/>
  <c r="CO91" i="72"/>
  <c r="FT75" i="72"/>
  <c r="AX58" i="72"/>
  <c r="AU59" i="72"/>
  <c r="CE84" i="72"/>
  <c r="CG84" i="72" s="1"/>
  <c r="CE85" i="72" s="1"/>
  <c r="CG83" i="72"/>
  <c r="W78" i="72"/>
  <c r="Y78" i="72" s="1"/>
  <c r="W79" i="72" s="1"/>
  <c r="Y77" i="72"/>
  <c r="EV73" i="72"/>
  <c r="AO81" i="72"/>
  <c r="AM82" i="72"/>
  <c r="AO82" i="72" s="1"/>
  <c r="AM83" i="72" s="1"/>
  <c r="BW84" i="72"/>
  <c r="BY84" i="72" s="1"/>
  <c r="BW85" i="72" s="1"/>
  <c r="BY83" i="72"/>
  <c r="CC83" i="72"/>
  <c r="CA84" i="72"/>
  <c r="CC84" i="72" s="1"/>
  <c r="CA85" i="72" s="1"/>
  <c r="CS89" i="72"/>
  <c r="CQ90" i="72"/>
  <c r="CS90" i="72" s="1"/>
  <c r="CQ91" i="72" s="1"/>
  <c r="FH75" i="72"/>
  <c r="C78" i="72"/>
  <c r="E78" i="72" s="1"/>
  <c r="C79" i="72" s="1"/>
  <c r="E77" i="72"/>
  <c r="BU81" i="72"/>
  <c r="BS82" i="72"/>
  <c r="BU82" i="72" s="1"/>
  <c r="BS83" i="72" s="1"/>
  <c r="BB58" i="72"/>
  <c r="AY59" i="72"/>
  <c r="CW91" i="72"/>
  <c r="CU92" i="72"/>
  <c r="CW92" i="72" s="1"/>
  <c r="CU93" i="72" s="1"/>
  <c r="U73" i="72"/>
  <c r="S74" i="72"/>
  <c r="U74" i="72" s="1"/>
  <c r="S75" i="72" s="1"/>
  <c r="FB73" i="72"/>
  <c r="EZ74" i="72"/>
  <c r="FB74" i="72" s="1"/>
  <c r="AG77" i="72"/>
  <c r="AE78" i="72"/>
  <c r="AG78" i="72" s="1"/>
  <c r="AE79" i="72" s="1"/>
  <c r="GB76" i="72"/>
  <c r="GD76" i="72" s="1"/>
  <c r="GD75" i="72"/>
  <c r="AQ80" i="72"/>
  <c r="AS80" i="72" s="1"/>
  <c r="AQ81" i="72" s="1"/>
  <c r="AS79" i="72"/>
  <c r="BI59" i="72"/>
  <c r="BJ59" i="72" s="1"/>
  <c r="BG60" i="72"/>
  <c r="BI60" i="72" s="1"/>
  <c r="AG58" i="55" l="1"/>
  <c r="AH58" i="55" s="1"/>
  <c r="AE59" i="55"/>
  <c r="AG59" i="55" s="1"/>
  <c r="I78" i="72"/>
  <c r="G79" i="72" s="1"/>
  <c r="I79" i="72" s="1"/>
  <c r="S56" i="55"/>
  <c r="V55" i="55"/>
  <c r="G56" i="55"/>
  <c r="J55" i="55"/>
  <c r="K57" i="55"/>
  <c r="M57" i="55" s="1"/>
  <c r="M56" i="55"/>
  <c r="N56" i="55" s="1"/>
  <c r="AI62" i="55"/>
  <c r="AL61" i="55"/>
  <c r="W58" i="55"/>
  <c r="Z57" i="55"/>
  <c r="EA129" i="72"/>
  <c r="DY125" i="72"/>
  <c r="DW126" i="72"/>
  <c r="DY126" i="72" s="1"/>
  <c r="DU127" i="72"/>
  <c r="DS128" i="72"/>
  <c r="DU128" i="72" s="1"/>
  <c r="BN62" i="72"/>
  <c r="BK63" i="72"/>
  <c r="BF60" i="72"/>
  <c r="BC61" i="72"/>
  <c r="Q54" i="55"/>
  <c r="R54" i="55" s="1"/>
  <c r="O55" i="55"/>
  <c r="Q55" i="55" s="1"/>
  <c r="E52" i="55"/>
  <c r="F52" i="55" s="1"/>
  <c r="AM52" i="55" s="1"/>
  <c r="AO52" i="55" s="1"/>
  <c r="C53" i="55"/>
  <c r="E53" i="55" s="1"/>
  <c r="AC58" i="55"/>
  <c r="AD58" i="55" s="1"/>
  <c r="AA59" i="55"/>
  <c r="AC59" i="55" s="1"/>
  <c r="A47" i="48"/>
  <c r="F20" i="48"/>
  <c r="F17" i="64" s="1"/>
  <c r="A40" i="64"/>
  <c r="DK105" i="72"/>
  <c r="DG103" i="72"/>
  <c r="DC101" i="72"/>
  <c r="CY101" i="72"/>
  <c r="BG61" i="72"/>
  <c r="BJ60" i="72"/>
  <c r="EZ75" i="72"/>
  <c r="CU94" i="72"/>
  <c r="CW94" i="72" s="1"/>
  <c r="CU95" i="72" s="1"/>
  <c r="CW93" i="72"/>
  <c r="BU83" i="72"/>
  <c r="BS84" i="72"/>
  <c r="BU84" i="72" s="1"/>
  <c r="BS85" i="72" s="1"/>
  <c r="CA86" i="72"/>
  <c r="CC86" i="72" s="1"/>
  <c r="CA87" i="72" s="1"/>
  <c r="CC85" i="72"/>
  <c r="AO83" i="72"/>
  <c r="AM84" i="72"/>
  <c r="AO84" i="72" s="1"/>
  <c r="AM85" i="72" s="1"/>
  <c r="AA82" i="72"/>
  <c r="AC82" i="72" s="1"/>
  <c r="AA83" i="72" s="1"/>
  <c r="AC81" i="72"/>
  <c r="CK87" i="72"/>
  <c r="CI88" i="72"/>
  <c r="CK88" i="72" s="1"/>
  <c r="CI89" i="72" s="1"/>
  <c r="BO65" i="72"/>
  <c r="BR64" i="72"/>
  <c r="GB77" i="72"/>
  <c r="FH76" i="72"/>
  <c r="FJ76" i="72" s="1"/>
  <c r="FJ75" i="72"/>
  <c r="Y79" i="72"/>
  <c r="W80" i="72"/>
  <c r="Y80" i="72" s="1"/>
  <c r="W81" i="72" s="1"/>
  <c r="FV75" i="72"/>
  <c r="FT76" i="72"/>
  <c r="FV76" i="72" s="1"/>
  <c r="FL76" i="72"/>
  <c r="FN76" i="72" s="1"/>
  <c r="FN75" i="72"/>
  <c r="AE80" i="72"/>
  <c r="AG80" i="72" s="1"/>
  <c r="AE81" i="72" s="1"/>
  <c r="AG79" i="72"/>
  <c r="S76" i="72"/>
  <c r="U76" i="72" s="1"/>
  <c r="S77" i="72" s="1"/>
  <c r="U75" i="72"/>
  <c r="AY60" i="72"/>
  <c r="BA60" i="72" s="1"/>
  <c r="BA59" i="72"/>
  <c r="BB59" i="72" s="1"/>
  <c r="CS91" i="72"/>
  <c r="CQ92" i="72"/>
  <c r="CS92" i="72" s="1"/>
  <c r="CQ93" i="72" s="1"/>
  <c r="AU60" i="72"/>
  <c r="AW60" i="72" s="1"/>
  <c r="AW59" i="72"/>
  <c r="AX59" i="72" s="1"/>
  <c r="AQ82" i="72"/>
  <c r="AS82" i="72" s="1"/>
  <c r="AQ83" i="72" s="1"/>
  <c r="AS81" i="72"/>
  <c r="E79" i="72"/>
  <c r="C80" i="72"/>
  <c r="E80" i="72" s="1"/>
  <c r="C81" i="72" s="1"/>
  <c r="BY85" i="72"/>
  <c r="BW86" i="72"/>
  <c r="BY86" i="72" s="1"/>
  <c r="BW87" i="72" s="1"/>
  <c r="EX73" i="72"/>
  <c r="EV74" i="72"/>
  <c r="EX74" i="72" s="1"/>
  <c r="CE86" i="72"/>
  <c r="CG86" i="72" s="1"/>
  <c r="CE87" i="72" s="1"/>
  <c r="CG85" i="72"/>
  <c r="CO93" i="72"/>
  <c r="CM94" i="72"/>
  <c r="CO94" i="72" s="1"/>
  <c r="CM95" i="72" s="1"/>
  <c r="FD75" i="72"/>
  <c r="M77" i="72"/>
  <c r="K78" i="72"/>
  <c r="M78" i="72" s="1"/>
  <c r="K79" i="72" s="1"/>
  <c r="AI84" i="72"/>
  <c r="AK84" i="72" s="1"/>
  <c r="AI85" i="72" s="1"/>
  <c r="AK83" i="72"/>
  <c r="Q81" i="72"/>
  <c r="O82" i="72"/>
  <c r="Q82" i="72" s="1"/>
  <c r="O83" i="72" s="1"/>
  <c r="AE60" i="55" l="1"/>
  <c r="AH59" i="55"/>
  <c r="S57" i="55"/>
  <c r="U57" i="55" s="1"/>
  <c r="U56" i="55"/>
  <c r="V56" i="55" s="1"/>
  <c r="G80" i="72"/>
  <c r="I80" i="72" s="1"/>
  <c r="G81" i="72" s="1"/>
  <c r="Y58" i="55"/>
  <c r="Z58" i="55" s="1"/>
  <c r="W59" i="55"/>
  <c r="Y59" i="55" s="1"/>
  <c r="N57" i="55"/>
  <c r="K58" i="55"/>
  <c r="AK62" i="55"/>
  <c r="AL62" i="55" s="1"/>
  <c r="AI63" i="55"/>
  <c r="AK63" i="55" s="1"/>
  <c r="G57" i="55"/>
  <c r="I57" i="55" s="1"/>
  <c r="I56" i="55"/>
  <c r="J56" i="55" s="1"/>
  <c r="EA130" i="72"/>
  <c r="EC130" i="72" s="1"/>
  <c r="EC129" i="72"/>
  <c r="DW127" i="72"/>
  <c r="DS129" i="72"/>
  <c r="BM63" i="72"/>
  <c r="BN63" i="72" s="1"/>
  <c r="BK64" i="72"/>
  <c r="BM64" i="72" s="1"/>
  <c r="BC62" i="72"/>
  <c r="BE62" i="72" s="1"/>
  <c r="BE61" i="72"/>
  <c r="BF61" i="72" s="1"/>
  <c r="AA60" i="55"/>
  <c r="AD59" i="55"/>
  <c r="O56" i="55"/>
  <c r="R55" i="55"/>
  <c r="C54" i="55"/>
  <c r="F53" i="55"/>
  <c r="AM53" i="55" s="1"/>
  <c r="AN53" i="55" s="1"/>
  <c r="A17" i="65"/>
  <c r="A61" i="65"/>
  <c r="F8" i="65"/>
  <c r="F57" i="65"/>
  <c r="A41" i="64"/>
  <c r="A48" i="48"/>
  <c r="F49" i="48" s="1"/>
  <c r="F43" i="64" s="1"/>
  <c r="DM105" i="72"/>
  <c r="DK106" i="72"/>
  <c r="DM106" i="72" s="1"/>
  <c r="DI103" i="72"/>
  <c r="DG104" i="72"/>
  <c r="DI104" i="72" s="1"/>
  <c r="DE101" i="72"/>
  <c r="DC102" i="72"/>
  <c r="DE102" i="72" s="1"/>
  <c r="DA101" i="72"/>
  <c r="CY102" i="72"/>
  <c r="DA102" i="72" s="1"/>
  <c r="O84" i="72"/>
  <c r="Q84" i="72" s="1"/>
  <c r="O85" i="72" s="1"/>
  <c r="Q83" i="72"/>
  <c r="K80" i="72"/>
  <c r="M80" i="72" s="1"/>
  <c r="K81" i="72" s="1"/>
  <c r="M79" i="72"/>
  <c r="CM96" i="72"/>
  <c r="CO96" i="72" s="1"/>
  <c r="CM97" i="72" s="1"/>
  <c r="CO95" i="72"/>
  <c r="EV75" i="72"/>
  <c r="C82" i="72"/>
  <c r="E82" i="72" s="1"/>
  <c r="C83" i="72" s="1"/>
  <c r="E81" i="72"/>
  <c r="I81" i="72"/>
  <c r="G82" i="72"/>
  <c r="I82" i="72" s="1"/>
  <c r="G83" i="72" s="1"/>
  <c r="CS93" i="72"/>
  <c r="CQ94" i="72"/>
  <c r="CS94" i="72" s="1"/>
  <c r="CQ95" i="72" s="1"/>
  <c r="W82" i="72"/>
  <c r="Y82" i="72" s="1"/>
  <c r="W83" i="72" s="1"/>
  <c r="Y81" i="72"/>
  <c r="CK89" i="72"/>
  <c r="CI90" i="72"/>
  <c r="CK90" i="72" s="1"/>
  <c r="CI91" i="72" s="1"/>
  <c r="AM86" i="72"/>
  <c r="AO86" i="72" s="1"/>
  <c r="AM87" i="72" s="1"/>
  <c r="AO85" i="72"/>
  <c r="BU85" i="72"/>
  <c r="BS86" i="72"/>
  <c r="BU86" i="72" s="1"/>
  <c r="BS87" i="72" s="1"/>
  <c r="U77" i="72"/>
  <c r="S78" i="72"/>
  <c r="U78" i="72" s="1"/>
  <c r="S79" i="72" s="1"/>
  <c r="FL77" i="72"/>
  <c r="GD77" i="72"/>
  <c r="GB78" i="72"/>
  <c r="GD78" i="72" s="1"/>
  <c r="FB75" i="72"/>
  <c r="EZ76" i="72"/>
  <c r="FB76" i="72" s="1"/>
  <c r="BW88" i="72"/>
  <c r="BY88" i="72" s="1"/>
  <c r="BW89" i="72" s="1"/>
  <c r="BY87" i="72"/>
  <c r="FT77" i="72"/>
  <c r="AK85" i="72"/>
  <c r="AI86" i="72"/>
  <c r="AK86" i="72" s="1"/>
  <c r="AI87" i="72" s="1"/>
  <c r="FF75" i="72"/>
  <c r="FD76" i="72"/>
  <c r="FF76" i="72" s="1"/>
  <c r="CE88" i="72"/>
  <c r="CG88" i="72" s="1"/>
  <c r="CE89" i="72" s="1"/>
  <c r="CG87" i="72"/>
  <c r="AS83" i="72"/>
  <c r="AQ84" i="72"/>
  <c r="AS84" i="72" s="1"/>
  <c r="AQ85" i="72" s="1"/>
  <c r="AX60" i="72"/>
  <c r="AU61" i="72"/>
  <c r="BB60" i="72"/>
  <c r="AY61" i="72"/>
  <c r="AG81" i="72"/>
  <c r="AE82" i="72"/>
  <c r="AG82" i="72" s="1"/>
  <c r="AE83" i="72" s="1"/>
  <c r="BO66" i="72"/>
  <c r="BQ66" i="72" s="1"/>
  <c r="BQ65" i="72"/>
  <c r="BR65" i="72" s="1"/>
  <c r="AA84" i="72"/>
  <c r="AC84" i="72" s="1"/>
  <c r="AA85" i="72" s="1"/>
  <c r="AC83" i="72"/>
  <c r="CC87" i="72"/>
  <c r="CA88" i="72"/>
  <c r="CC88" i="72" s="1"/>
  <c r="CA89" i="72" s="1"/>
  <c r="CW95" i="72"/>
  <c r="CU96" i="72"/>
  <c r="CW96" i="72" s="1"/>
  <c r="CU97" i="72" s="1"/>
  <c r="BG62" i="72"/>
  <c r="BI62" i="72" s="1"/>
  <c r="BI61" i="72"/>
  <c r="BJ61" i="72" s="1"/>
  <c r="AE61" i="55" l="1"/>
  <c r="AG61" i="55" s="1"/>
  <c r="AG60" i="55"/>
  <c r="AH60" i="55" s="1"/>
  <c r="S58" i="55"/>
  <c r="V57" i="55"/>
  <c r="G58" i="55"/>
  <c r="J57" i="55"/>
  <c r="AI64" i="55"/>
  <c r="AL63" i="55"/>
  <c r="W60" i="55"/>
  <c r="Z59" i="55"/>
  <c r="K59" i="55"/>
  <c r="M59" i="55" s="1"/>
  <c r="M58" i="55"/>
  <c r="N58" i="55" s="1"/>
  <c r="EA131" i="72"/>
  <c r="DY127" i="72"/>
  <c r="DW128" i="72"/>
  <c r="DY128" i="72" s="1"/>
  <c r="DU129" i="72"/>
  <c r="DS130" i="72"/>
  <c r="DU130" i="72" s="1"/>
  <c r="BN64" i="72"/>
  <c r="BK65" i="72"/>
  <c r="BC63" i="72"/>
  <c r="BF62" i="72"/>
  <c r="E54" i="55"/>
  <c r="F54" i="55" s="1"/>
  <c r="AM54" i="55" s="1"/>
  <c r="AO54" i="55" s="1"/>
  <c r="C55" i="55"/>
  <c r="E55" i="55" s="1"/>
  <c r="Q56" i="55"/>
  <c r="R56" i="55" s="1"/>
  <c r="O57" i="55"/>
  <c r="Q57" i="55" s="1"/>
  <c r="AA61" i="55"/>
  <c r="AC61" i="55" s="1"/>
  <c r="AC60" i="55"/>
  <c r="AD60" i="55" s="1"/>
  <c r="A49" i="48"/>
  <c r="A42" i="64"/>
  <c r="DK107" i="72"/>
  <c r="DG105" i="72"/>
  <c r="DC103" i="72"/>
  <c r="CY103" i="72"/>
  <c r="CU98" i="72"/>
  <c r="CW98" i="72" s="1"/>
  <c r="CU99" i="72" s="1"/>
  <c r="CW97" i="72"/>
  <c r="AY62" i="72"/>
  <c r="BA62" i="72" s="1"/>
  <c r="BA61" i="72"/>
  <c r="BB61" i="72" s="1"/>
  <c r="AQ86" i="72"/>
  <c r="AS86" i="72" s="1"/>
  <c r="AQ87" i="72" s="1"/>
  <c r="AS85" i="72"/>
  <c r="S80" i="72"/>
  <c r="U80" i="72" s="1"/>
  <c r="S81" i="72" s="1"/>
  <c r="U79" i="72"/>
  <c r="I83" i="72"/>
  <c r="G84" i="72"/>
  <c r="I84" i="72" s="1"/>
  <c r="G85" i="72" s="1"/>
  <c r="BR66" i="72"/>
  <c r="BO67" i="72"/>
  <c r="FV77" i="72"/>
  <c r="FT78" i="72"/>
  <c r="FV78" i="72" s="1"/>
  <c r="AO87" i="72"/>
  <c r="AM88" i="72"/>
  <c r="AO88" i="72" s="1"/>
  <c r="AM89" i="72" s="1"/>
  <c r="Y83" i="72"/>
  <c r="W84" i="72"/>
  <c r="Y84" i="72" s="1"/>
  <c r="W85" i="72" s="1"/>
  <c r="EV76" i="72"/>
  <c r="EX76" i="72" s="1"/>
  <c r="EX75" i="72"/>
  <c r="M81" i="72"/>
  <c r="K82" i="72"/>
  <c r="M82" i="72" s="1"/>
  <c r="K83" i="72" s="1"/>
  <c r="CA90" i="72"/>
  <c r="CC90" i="72" s="1"/>
  <c r="CA91" i="72" s="1"/>
  <c r="CC89" i="72"/>
  <c r="AE84" i="72"/>
  <c r="AG84" i="72" s="1"/>
  <c r="AE85" i="72" s="1"/>
  <c r="AG83" i="72"/>
  <c r="AU62" i="72"/>
  <c r="AW62" i="72" s="1"/>
  <c r="AW61" i="72"/>
  <c r="AX61" i="72" s="1"/>
  <c r="AI88" i="72"/>
  <c r="AK88" i="72" s="1"/>
  <c r="AI89" i="72" s="1"/>
  <c r="AK87" i="72"/>
  <c r="BS88" i="72"/>
  <c r="BU88" i="72" s="1"/>
  <c r="BS89" i="72" s="1"/>
  <c r="BU87" i="72"/>
  <c r="CK91" i="72"/>
  <c r="CI92" i="72"/>
  <c r="CK92" i="72" s="1"/>
  <c r="CI93" i="72" s="1"/>
  <c r="CS95" i="72"/>
  <c r="CQ96" i="72"/>
  <c r="CS96" i="72" s="1"/>
  <c r="CQ97" i="72" s="1"/>
  <c r="BG63" i="72"/>
  <c r="BJ62" i="72"/>
  <c r="AA86" i="72"/>
  <c r="AC86" i="72" s="1"/>
  <c r="AA87" i="72" s="1"/>
  <c r="AC85" i="72"/>
  <c r="CE90" i="72"/>
  <c r="CG90" i="72" s="1"/>
  <c r="CE91" i="72" s="1"/>
  <c r="CG89" i="72"/>
  <c r="BY89" i="72"/>
  <c r="BW90" i="72"/>
  <c r="BY90" i="72" s="1"/>
  <c r="BW91" i="72" s="1"/>
  <c r="FN77" i="72"/>
  <c r="FL78" i="72"/>
  <c r="FN78" i="72" s="1"/>
  <c r="E83" i="72"/>
  <c r="C84" i="72"/>
  <c r="E84" i="72" s="1"/>
  <c r="C85" i="72" s="1"/>
  <c r="CM98" i="72"/>
  <c r="CO98" i="72" s="1"/>
  <c r="CM99" i="72" s="1"/>
  <c r="CO97" i="72"/>
  <c r="O86" i="72"/>
  <c r="Q86" i="72" s="1"/>
  <c r="O87" i="72" s="1"/>
  <c r="Q85" i="72"/>
  <c r="AE62" i="55" l="1"/>
  <c r="AH61" i="55"/>
  <c r="U58" i="55"/>
  <c r="V58" i="55" s="1"/>
  <c r="S59" i="55"/>
  <c r="U59" i="55" s="1"/>
  <c r="K60" i="55"/>
  <c r="N59" i="55"/>
  <c r="AI65" i="55"/>
  <c r="AK65" i="55" s="1"/>
  <c r="AK64" i="55"/>
  <c r="AL64" i="55" s="1"/>
  <c r="Y60" i="55"/>
  <c r="Z60" i="55" s="1"/>
  <c r="W61" i="55"/>
  <c r="Y61" i="55" s="1"/>
  <c r="I58" i="55"/>
  <c r="J58" i="55" s="1"/>
  <c r="G59" i="55"/>
  <c r="I59" i="55" s="1"/>
  <c r="EA132" i="72"/>
  <c r="EC132" i="72" s="1"/>
  <c r="EC131" i="72"/>
  <c r="DW129" i="72"/>
  <c r="DS131" i="72"/>
  <c r="BM65" i="72"/>
  <c r="BN65" i="72" s="1"/>
  <c r="BK66" i="72"/>
  <c r="BM66" i="72" s="1"/>
  <c r="BC64" i="72"/>
  <c r="BE64" i="72" s="1"/>
  <c r="BE63" i="72"/>
  <c r="BF63" i="72" s="1"/>
  <c r="AA62" i="55"/>
  <c r="AD61" i="55"/>
  <c r="O58" i="55"/>
  <c r="R57" i="55"/>
  <c r="C56" i="55"/>
  <c r="F55" i="55"/>
  <c r="AM55" i="55" s="1"/>
  <c r="AN55" i="55" s="1"/>
  <c r="A43" i="64"/>
  <c r="A51" i="48"/>
  <c r="F53" i="48" s="1"/>
  <c r="F47" i="64" s="1"/>
  <c r="DM107" i="72"/>
  <c r="DK108" i="72"/>
  <c r="DM108" i="72" s="1"/>
  <c r="DI105" i="72"/>
  <c r="DG106" i="72"/>
  <c r="DI106" i="72" s="1"/>
  <c r="DE103" i="72"/>
  <c r="DC104" i="72"/>
  <c r="DE104" i="72" s="1"/>
  <c r="DA103" i="72"/>
  <c r="CY104" i="72"/>
  <c r="DA104" i="72" s="1"/>
  <c r="CK93" i="72"/>
  <c r="CI94" i="72"/>
  <c r="CK94" i="72" s="1"/>
  <c r="CI95" i="72" s="1"/>
  <c r="AO89" i="72"/>
  <c r="AM90" i="72"/>
  <c r="AO90" i="72" s="1"/>
  <c r="AM91" i="72" s="1"/>
  <c r="BQ67" i="72"/>
  <c r="BR67" i="72" s="1"/>
  <c r="BO68" i="72"/>
  <c r="BQ68" i="72" s="1"/>
  <c r="I85" i="72"/>
  <c r="G86" i="72"/>
  <c r="I86" i="72" s="1"/>
  <c r="G87" i="72" s="1"/>
  <c r="CM100" i="72"/>
  <c r="CO100" i="72" s="1"/>
  <c r="CM101" i="72" s="1"/>
  <c r="CO99" i="72"/>
  <c r="CE92" i="72"/>
  <c r="CG92" i="72" s="1"/>
  <c r="CE93" i="72" s="1"/>
  <c r="CG91" i="72"/>
  <c r="BG64" i="72"/>
  <c r="BI64" i="72" s="1"/>
  <c r="BI63" i="72"/>
  <c r="BJ63" i="72" s="1"/>
  <c r="AX62" i="72"/>
  <c r="AU63" i="72"/>
  <c r="CC91" i="72"/>
  <c r="CA92" i="72"/>
  <c r="CC92" i="72" s="1"/>
  <c r="CA93" i="72" s="1"/>
  <c r="AS87" i="72"/>
  <c r="AQ88" i="72"/>
  <c r="AS88" i="72" s="1"/>
  <c r="AQ89" i="72" s="1"/>
  <c r="CU100" i="72"/>
  <c r="CW100" i="72" s="1"/>
  <c r="CU101" i="72" s="1"/>
  <c r="CW99" i="72"/>
  <c r="C86" i="72"/>
  <c r="E86" i="72" s="1"/>
  <c r="C87" i="72" s="1"/>
  <c r="E85" i="72"/>
  <c r="BW92" i="72"/>
  <c r="BY92" i="72" s="1"/>
  <c r="BW93" i="72" s="1"/>
  <c r="BY91" i="72"/>
  <c r="CQ98" i="72"/>
  <c r="CS98" i="72" s="1"/>
  <c r="CQ99" i="72" s="1"/>
  <c r="CS97" i="72"/>
  <c r="K84" i="72"/>
  <c r="M84" i="72" s="1"/>
  <c r="K85" i="72" s="1"/>
  <c r="M83" i="72"/>
  <c r="Y85" i="72"/>
  <c r="W86" i="72"/>
  <c r="Y86" i="72" s="1"/>
  <c r="W87" i="72" s="1"/>
  <c r="O88" i="72"/>
  <c r="Q88" i="72" s="1"/>
  <c r="O89" i="72" s="1"/>
  <c r="Q87" i="72"/>
  <c r="AC87" i="72"/>
  <c r="AA88" i="72"/>
  <c r="AC88" i="72" s="1"/>
  <c r="AA89" i="72" s="1"/>
  <c r="BU89" i="72"/>
  <c r="BS90" i="72"/>
  <c r="BU90" i="72" s="1"/>
  <c r="BS91" i="72" s="1"/>
  <c r="AK89" i="72"/>
  <c r="AI90" i="72"/>
  <c r="AK90" i="72" s="1"/>
  <c r="AI91" i="72" s="1"/>
  <c r="AG85" i="72"/>
  <c r="AE86" i="72"/>
  <c r="AG86" i="72" s="1"/>
  <c r="AE87" i="72" s="1"/>
  <c r="U81" i="72"/>
  <c r="S82" i="72"/>
  <c r="U82" i="72" s="1"/>
  <c r="S83" i="72" s="1"/>
  <c r="BB62" i="72"/>
  <c r="AY63" i="72"/>
  <c r="AE63" i="55" l="1"/>
  <c r="AG63" i="55" s="1"/>
  <c r="AG62" i="55"/>
  <c r="AH62" i="55" s="1"/>
  <c r="S60" i="55"/>
  <c r="V59" i="55"/>
  <c r="G60" i="55"/>
  <c r="J59" i="55"/>
  <c r="Z61" i="55"/>
  <c r="W62" i="55"/>
  <c r="AI66" i="55"/>
  <c r="AL65" i="55"/>
  <c r="M60" i="55"/>
  <c r="N60" i="55" s="1"/>
  <c r="K61" i="55"/>
  <c r="M61" i="55" s="1"/>
  <c r="EA133" i="72"/>
  <c r="DY129" i="72"/>
  <c r="DW130" i="72"/>
  <c r="DY130" i="72" s="1"/>
  <c r="DU131" i="72"/>
  <c r="DS132" i="72"/>
  <c r="DU132" i="72" s="1"/>
  <c r="BK67" i="72"/>
  <c r="BN66" i="72"/>
  <c r="BF64" i="72"/>
  <c r="BC65" i="72"/>
  <c r="Q58" i="55"/>
  <c r="R58" i="55" s="1"/>
  <c r="O59" i="55"/>
  <c r="Q59" i="55" s="1"/>
  <c r="C57" i="55"/>
  <c r="E57" i="55" s="1"/>
  <c r="E56" i="55"/>
  <c r="F56" i="55" s="1"/>
  <c r="AM56" i="55" s="1"/>
  <c r="AO56" i="55" s="1"/>
  <c r="AA63" i="55"/>
  <c r="AC63" i="55" s="1"/>
  <c r="AC62" i="55"/>
  <c r="AD62" i="55" s="1"/>
  <c r="A53" i="48"/>
  <c r="A45" i="64"/>
  <c r="A42" i="65" s="1"/>
  <c r="DK109" i="72"/>
  <c r="DG107" i="72"/>
  <c r="DC105" i="72"/>
  <c r="CY105" i="72"/>
  <c r="AY64" i="72"/>
  <c r="BA64" i="72" s="1"/>
  <c r="BA63" i="72"/>
  <c r="BB63" i="72" s="1"/>
  <c r="AG87" i="72"/>
  <c r="AE88" i="72"/>
  <c r="AG88" i="72" s="1"/>
  <c r="AE89" i="72" s="1"/>
  <c r="BS92" i="72"/>
  <c r="BU92" i="72" s="1"/>
  <c r="BS93" i="72" s="1"/>
  <c r="BU91" i="72"/>
  <c r="Y87" i="72"/>
  <c r="W88" i="72"/>
  <c r="Y88" i="72" s="1"/>
  <c r="W89" i="72" s="1"/>
  <c r="AS89" i="72"/>
  <c r="AQ90" i="72"/>
  <c r="AS90" i="72" s="1"/>
  <c r="AQ91" i="72" s="1"/>
  <c r="AW63" i="72"/>
  <c r="AX63" i="72" s="1"/>
  <c r="AU64" i="72"/>
  <c r="AW64" i="72" s="1"/>
  <c r="BO69" i="72"/>
  <c r="BR68" i="72"/>
  <c r="CI96" i="72"/>
  <c r="CK96" i="72" s="1"/>
  <c r="CI97" i="72" s="1"/>
  <c r="CK95" i="72"/>
  <c r="Q89" i="72"/>
  <c r="O90" i="72"/>
  <c r="Q90" i="72" s="1"/>
  <c r="O91" i="72" s="1"/>
  <c r="CS99" i="72"/>
  <c r="CQ100" i="72"/>
  <c r="CS100" i="72" s="1"/>
  <c r="CQ101" i="72" s="1"/>
  <c r="C88" i="72"/>
  <c r="E88" i="72" s="1"/>
  <c r="C89" i="72" s="1"/>
  <c r="E87" i="72"/>
  <c r="BG65" i="72"/>
  <c r="BJ64" i="72"/>
  <c r="CM102" i="72"/>
  <c r="CO102" i="72" s="1"/>
  <c r="CM103" i="72" s="1"/>
  <c r="CO101" i="72"/>
  <c r="S84" i="72"/>
  <c r="U84" i="72" s="1"/>
  <c r="S85" i="72" s="1"/>
  <c r="U83" i="72"/>
  <c r="AI92" i="72"/>
  <c r="AK92" i="72" s="1"/>
  <c r="AI93" i="72" s="1"/>
  <c r="AK91" i="72"/>
  <c r="AA90" i="72"/>
  <c r="AC90" i="72" s="1"/>
  <c r="AA91" i="72" s="1"/>
  <c r="AC89" i="72"/>
  <c r="CC93" i="72"/>
  <c r="CA94" i="72"/>
  <c r="CC94" i="72" s="1"/>
  <c r="CA95" i="72" s="1"/>
  <c r="I87" i="72"/>
  <c r="G88" i="72"/>
  <c r="I88" i="72" s="1"/>
  <c r="G89" i="72" s="1"/>
  <c r="AO91" i="72"/>
  <c r="AM92" i="72"/>
  <c r="AO92" i="72" s="1"/>
  <c r="AM93" i="72" s="1"/>
  <c r="M85" i="72"/>
  <c r="K86" i="72"/>
  <c r="M86" i="72" s="1"/>
  <c r="K87" i="72" s="1"/>
  <c r="BW94" i="72"/>
  <c r="BY94" i="72" s="1"/>
  <c r="BW95" i="72" s="1"/>
  <c r="BY93" i="72"/>
  <c r="CW101" i="72"/>
  <c r="CU102" i="72"/>
  <c r="CW102" i="72" s="1"/>
  <c r="CU103" i="72" s="1"/>
  <c r="CE94" i="72"/>
  <c r="CG94" i="72" s="1"/>
  <c r="CE95" i="72" s="1"/>
  <c r="CG93" i="72"/>
  <c r="AE64" i="55" l="1"/>
  <c r="AH63" i="55"/>
  <c r="S61" i="55"/>
  <c r="U61" i="55" s="1"/>
  <c r="U60" i="55"/>
  <c r="V60" i="55" s="1"/>
  <c r="W63" i="55"/>
  <c r="Y63" i="55" s="1"/>
  <c r="Y62" i="55"/>
  <c r="Z62" i="55" s="1"/>
  <c r="N61" i="55"/>
  <c r="K62" i="55"/>
  <c r="AK66" i="55"/>
  <c r="AL66" i="55" s="1"/>
  <c r="AI67" i="55"/>
  <c r="AK67" i="55" s="1"/>
  <c r="G61" i="55"/>
  <c r="I61" i="55" s="1"/>
  <c r="I60" i="55"/>
  <c r="J60" i="55" s="1"/>
  <c r="EA134" i="72"/>
  <c r="EC134" i="72" s="1"/>
  <c r="EC133" i="72"/>
  <c r="DW131" i="72"/>
  <c r="DS133" i="72"/>
  <c r="BM67" i="72"/>
  <c r="BN67" i="72" s="1"/>
  <c r="BK68" i="72"/>
  <c r="BM68" i="72" s="1"/>
  <c r="BC66" i="72"/>
  <c r="BE66" i="72" s="1"/>
  <c r="BE65" i="72"/>
  <c r="BF65" i="72" s="1"/>
  <c r="C58" i="55"/>
  <c r="F57" i="55"/>
  <c r="AM57" i="55" s="1"/>
  <c r="AN57" i="55" s="1"/>
  <c r="AA64" i="55"/>
  <c r="AD63" i="55"/>
  <c r="O60" i="55"/>
  <c r="R59" i="55"/>
  <c r="A47" i="64"/>
  <c r="A57" i="48"/>
  <c r="F31" i="48"/>
  <c r="F28" i="64" s="1"/>
  <c r="DM109" i="72"/>
  <c r="DK110" i="72"/>
  <c r="DM110" i="72" s="1"/>
  <c r="DI107" i="72"/>
  <c r="DG108" i="72"/>
  <c r="DI108" i="72" s="1"/>
  <c r="DE105" i="72"/>
  <c r="DC106" i="72"/>
  <c r="DE106" i="72" s="1"/>
  <c r="DA105" i="72"/>
  <c r="CY106" i="72"/>
  <c r="DA106" i="72" s="1"/>
  <c r="AO93" i="72"/>
  <c r="AM94" i="72"/>
  <c r="AO94" i="72" s="1"/>
  <c r="AM95" i="72" s="1"/>
  <c r="O92" i="72"/>
  <c r="Q92" i="72" s="1"/>
  <c r="O93" i="72" s="1"/>
  <c r="Q91" i="72"/>
  <c r="AS91" i="72"/>
  <c r="AQ92" i="72"/>
  <c r="AS92" i="72" s="1"/>
  <c r="AQ93" i="72" s="1"/>
  <c r="CG95" i="72"/>
  <c r="CE96" i="72"/>
  <c r="CG96" i="72" s="1"/>
  <c r="CE97" i="72" s="1"/>
  <c r="BW96" i="72"/>
  <c r="BY96" i="72" s="1"/>
  <c r="BW97" i="72" s="1"/>
  <c r="BY95" i="72"/>
  <c r="AK93" i="72"/>
  <c r="AI94" i="72"/>
  <c r="AK94" i="72" s="1"/>
  <c r="AI95" i="72" s="1"/>
  <c r="CO103" i="72"/>
  <c r="CM104" i="72"/>
  <c r="CO104" i="72" s="1"/>
  <c r="CM105" i="72" s="1"/>
  <c r="C90" i="72"/>
  <c r="E90" i="72" s="1"/>
  <c r="C91" i="72" s="1"/>
  <c r="E89" i="72"/>
  <c r="BO70" i="72"/>
  <c r="BQ70" i="72" s="1"/>
  <c r="BQ69" i="72"/>
  <c r="BR69" i="72" s="1"/>
  <c r="BU93" i="72"/>
  <c r="BS94" i="72"/>
  <c r="BU94" i="72" s="1"/>
  <c r="BS95" i="72" s="1"/>
  <c r="AY65" i="72"/>
  <c r="BB64" i="72"/>
  <c r="CU104" i="72"/>
  <c r="CW104" i="72" s="1"/>
  <c r="CU105" i="72" s="1"/>
  <c r="CW103" i="72"/>
  <c r="K88" i="72"/>
  <c r="M88" i="72" s="1"/>
  <c r="K89" i="72" s="1"/>
  <c r="M87" i="72"/>
  <c r="I89" i="72"/>
  <c r="G90" i="72"/>
  <c r="I90" i="72" s="1"/>
  <c r="G91" i="72" s="1"/>
  <c r="CC95" i="72"/>
  <c r="CA96" i="72"/>
  <c r="CC96" i="72" s="1"/>
  <c r="CA97" i="72" s="1"/>
  <c r="CQ102" i="72"/>
  <c r="CS102" i="72" s="1"/>
  <c r="CQ103" i="72" s="1"/>
  <c r="CS101" i="72"/>
  <c r="AX64" i="72"/>
  <c r="AU65" i="72"/>
  <c r="Y89" i="72"/>
  <c r="W90" i="72"/>
  <c r="Y90" i="72" s="1"/>
  <c r="W91" i="72" s="1"/>
  <c r="AG89" i="72"/>
  <c r="AE90" i="72"/>
  <c r="AG90" i="72" s="1"/>
  <c r="AE91" i="72" s="1"/>
  <c r="AA92" i="72"/>
  <c r="AC92" i="72" s="1"/>
  <c r="AA93" i="72" s="1"/>
  <c r="AC91" i="72"/>
  <c r="S86" i="72"/>
  <c r="U86" i="72" s="1"/>
  <c r="S87" i="72" s="1"/>
  <c r="U85" i="72"/>
  <c r="BG66" i="72"/>
  <c r="BI66" i="72" s="1"/>
  <c r="BI65" i="72"/>
  <c r="BJ65" i="72" s="1"/>
  <c r="CK97" i="72"/>
  <c r="CI98" i="72"/>
  <c r="CK98" i="72" s="1"/>
  <c r="CI99" i="72" s="1"/>
  <c r="AE65" i="55" l="1"/>
  <c r="AG65" i="55" s="1"/>
  <c r="AG64" i="55"/>
  <c r="AH64" i="55" s="1"/>
  <c r="S62" i="55"/>
  <c r="V61" i="55"/>
  <c r="G62" i="55"/>
  <c r="J61" i="55"/>
  <c r="M62" i="55"/>
  <c r="N62" i="55" s="1"/>
  <c r="K63" i="55"/>
  <c r="M63" i="55" s="1"/>
  <c r="AI68" i="55"/>
  <c r="AL67" i="55"/>
  <c r="W64" i="55"/>
  <c r="Z63" i="55"/>
  <c r="EA135" i="72"/>
  <c r="DY131" i="72"/>
  <c r="DW132" i="72"/>
  <c r="DY132" i="72" s="1"/>
  <c r="DU133" i="72"/>
  <c r="DS134" i="72"/>
  <c r="DU134" i="72" s="1"/>
  <c r="BN68" i="72"/>
  <c r="BK69" i="72"/>
  <c r="BF66" i="72"/>
  <c r="BC67" i="72"/>
  <c r="E58" i="55"/>
  <c r="F58" i="55" s="1"/>
  <c r="AM58" i="55" s="1"/>
  <c r="AO58" i="55" s="1"/>
  <c r="C59" i="55"/>
  <c r="E59" i="55" s="1"/>
  <c r="Q60" i="55"/>
  <c r="R60" i="55" s="1"/>
  <c r="O61" i="55"/>
  <c r="Q61" i="55" s="1"/>
  <c r="AA65" i="55"/>
  <c r="AC65" i="55" s="1"/>
  <c r="AC64" i="55"/>
  <c r="AD64" i="55" s="1"/>
  <c r="A51" i="64"/>
  <c r="A59" i="48"/>
  <c r="A52" i="64"/>
  <c r="A63" i="65" s="1"/>
  <c r="DK111" i="72"/>
  <c r="DG109" i="72"/>
  <c r="DC107" i="72"/>
  <c r="CY107" i="72"/>
  <c r="CI100" i="72"/>
  <c r="CK100" i="72" s="1"/>
  <c r="CI101" i="72" s="1"/>
  <c r="CK99" i="72"/>
  <c r="AE92" i="72"/>
  <c r="AG92" i="72" s="1"/>
  <c r="AE93" i="72" s="1"/>
  <c r="AG91" i="72"/>
  <c r="AW65" i="72"/>
  <c r="AX65" i="72" s="1"/>
  <c r="AU66" i="72"/>
  <c r="AW66" i="72" s="1"/>
  <c r="CA98" i="72"/>
  <c r="CC98" i="72" s="1"/>
  <c r="CA99" i="72" s="1"/>
  <c r="CC97" i="72"/>
  <c r="CO105" i="72"/>
  <c r="CM106" i="72"/>
  <c r="CO106" i="72" s="1"/>
  <c r="CM107" i="72" s="1"/>
  <c r="AQ94" i="72"/>
  <c r="AS94" i="72" s="1"/>
  <c r="AQ95" i="72" s="1"/>
  <c r="AS93" i="72"/>
  <c r="AO95" i="72"/>
  <c r="AM96" i="72"/>
  <c r="AO96" i="72" s="1"/>
  <c r="AM97" i="72" s="1"/>
  <c r="S88" i="72"/>
  <c r="U88" i="72" s="1"/>
  <c r="S89" i="72" s="1"/>
  <c r="U87" i="72"/>
  <c r="M89" i="72"/>
  <c r="K90" i="72"/>
  <c r="M90" i="72" s="1"/>
  <c r="K91" i="72" s="1"/>
  <c r="BA65" i="72"/>
  <c r="BB65" i="72" s="1"/>
  <c r="AY66" i="72"/>
  <c r="BA66" i="72" s="1"/>
  <c r="BO71" i="72"/>
  <c r="BR70" i="72"/>
  <c r="BW98" i="72"/>
  <c r="BY98" i="72" s="1"/>
  <c r="BW99" i="72" s="1"/>
  <c r="BY97" i="72"/>
  <c r="Y91" i="72"/>
  <c r="W92" i="72"/>
  <c r="Y92" i="72" s="1"/>
  <c r="W93" i="72" s="1"/>
  <c r="I91" i="72"/>
  <c r="G92" i="72"/>
  <c r="I92" i="72" s="1"/>
  <c r="G93" i="72" s="1"/>
  <c r="BU95" i="72"/>
  <c r="BS96" i="72"/>
  <c r="BU96" i="72" s="1"/>
  <c r="BS97" i="72" s="1"/>
  <c r="AI96" i="72"/>
  <c r="AK96" i="72" s="1"/>
  <c r="AI97" i="72" s="1"/>
  <c r="AK95" i="72"/>
  <c r="CE98" i="72"/>
  <c r="CG98" i="72" s="1"/>
  <c r="CE99" i="72" s="1"/>
  <c r="CG97" i="72"/>
  <c r="BG67" i="72"/>
  <c r="BJ66" i="72"/>
  <c r="AA94" i="72"/>
  <c r="AC94" i="72" s="1"/>
  <c r="AA95" i="72" s="1"/>
  <c r="AC93" i="72"/>
  <c r="CQ104" i="72"/>
  <c r="CS104" i="72" s="1"/>
  <c r="CQ105" i="72" s="1"/>
  <c r="CS103" i="72"/>
  <c r="CW105" i="72"/>
  <c r="CU106" i="72"/>
  <c r="CW106" i="72" s="1"/>
  <c r="CU107" i="72" s="1"/>
  <c r="E91" i="72"/>
  <c r="C92" i="72"/>
  <c r="E92" i="72" s="1"/>
  <c r="Q93" i="72"/>
  <c r="O94" i="72"/>
  <c r="Q94" i="72" s="1"/>
  <c r="O95" i="72" s="1"/>
  <c r="AE66" i="55" l="1"/>
  <c r="AH65" i="55"/>
  <c r="U62" i="55"/>
  <c r="V62" i="55" s="1"/>
  <c r="S63" i="55"/>
  <c r="U63" i="55" s="1"/>
  <c r="Y64" i="55"/>
  <c r="Z64" i="55" s="1"/>
  <c r="W65" i="55"/>
  <c r="Y65" i="55" s="1"/>
  <c r="K64" i="55"/>
  <c r="N63" i="55"/>
  <c r="AI69" i="55"/>
  <c r="AK69" i="55" s="1"/>
  <c r="AK68" i="55"/>
  <c r="AL68" i="55" s="1"/>
  <c r="G63" i="55"/>
  <c r="I63" i="55" s="1"/>
  <c r="I62" i="55"/>
  <c r="J62" i="55" s="1"/>
  <c r="EA136" i="72"/>
  <c r="EC136" i="72" s="1"/>
  <c r="EC135" i="72"/>
  <c r="DW133" i="72"/>
  <c r="DS135" i="72"/>
  <c r="BM69" i="72"/>
  <c r="BN69" i="72" s="1"/>
  <c r="BK70" i="72"/>
  <c r="BM70" i="72" s="1"/>
  <c r="BC68" i="72"/>
  <c r="BE68" i="72" s="1"/>
  <c r="BE67" i="72"/>
  <c r="BF67" i="72" s="1"/>
  <c r="AA66" i="55"/>
  <c r="AD65" i="55"/>
  <c r="C60" i="55"/>
  <c r="F59" i="55"/>
  <c r="AM59" i="55" s="1"/>
  <c r="AN59" i="55" s="1"/>
  <c r="O62" i="55"/>
  <c r="R61" i="55"/>
  <c r="A53" i="64"/>
  <c r="A60" i="48"/>
  <c r="DM111" i="72"/>
  <c r="DK112" i="72"/>
  <c r="DM112" i="72" s="1"/>
  <c r="DI109" i="72"/>
  <c r="DG110" i="72"/>
  <c r="DI110" i="72" s="1"/>
  <c r="DE107" i="72"/>
  <c r="DC108" i="72"/>
  <c r="DE108" i="72" s="1"/>
  <c r="DA107" i="72"/>
  <c r="CY108" i="72"/>
  <c r="DA108" i="72" s="1"/>
  <c r="O96" i="72"/>
  <c r="Q96" i="72" s="1"/>
  <c r="O97" i="72" s="1"/>
  <c r="Q95" i="72"/>
  <c r="CW107" i="72"/>
  <c r="CU108" i="72"/>
  <c r="CW108" i="72" s="1"/>
  <c r="CU109" i="72" s="1"/>
  <c r="I93" i="72"/>
  <c r="G94" i="72"/>
  <c r="I94" i="72" s="1"/>
  <c r="M91" i="72"/>
  <c r="K92" i="72"/>
  <c r="M92" i="72" s="1"/>
  <c r="K93" i="72" s="1"/>
  <c r="AO97" i="72"/>
  <c r="AM98" i="72"/>
  <c r="AO98" i="72" s="1"/>
  <c r="AM99" i="72" s="1"/>
  <c r="CO107" i="72"/>
  <c r="CM108" i="72"/>
  <c r="CO108" i="72" s="1"/>
  <c r="CM109" i="72" s="1"/>
  <c r="AU67" i="72"/>
  <c r="AX66" i="72"/>
  <c r="AC95" i="72"/>
  <c r="AA96" i="72"/>
  <c r="AC96" i="72" s="1"/>
  <c r="AA97" i="72" s="1"/>
  <c r="AI98" i="72"/>
  <c r="AK98" i="72" s="1"/>
  <c r="AI99" i="72" s="1"/>
  <c r="AK97" i="72"/>
  <c r="BO72" i="72"/>
  <c r="BQ72" i="72" s="1"/>
  <c r="BQ71" i="72"/>
  <c r="BR71" i="72" s="1"/>
  <c r="CI102" i="72"/>
  <c r="CK102" i="72" s="1"/>
  <c r="CI103" i="72" s="1"/>
  <c r="CK101" i="72"/>
  <c r="C93" i="72"/>
  <c r="BU97" i="72"/>
  <c r="BS98" i="72"/>
  <c r="BU98" i="72" s="1"/>
  <c r="BS99" i="72" s="1"/>
  <c r="W94" i="72"/>
  <c r="Y94" i="72" s="1"/>
  <c r="W95" i="72" s="1"/>
  <c r="Y93" i="72"/>
  <c r="AY67" i="72"/>
  <c r="BB66" i="72"/>
  <c r="CQ106" i="72"/>
  <c r="CS106" i="72" s="1"/>
  <c r="CQ107" i="72" s="1"/>
  <c r="CS105" i="72"/>
  <c r="BI67" i="72"/>
  <c r="BJ67" i="72" s="1"/>
  <c r="BG68" i="72"/>
  <c r="BI68" i="72" s="1"/>
  <c r="CG99" i="72"/>
  <c r="CE100" i="72"/>
  <c r="CG100" i="72" s="1"/>
  <c r="CE101" i="72" s="1"/>
  <c r="BW100" i="72"/>
  <c r="BY100" i="72" s="1"/>
  <c r="BW101" i="72" s="1"/>
  <c r="BY99" i="72"/>
  <c r="S90" i="72"/>
  <c r="U90" i="72" s="1"/>
  <c r="S91" i="72" s="1"/>
  <c r="U89" i="72"/>
  <c r="AS95" i="72"/>
  <c r="AQ96" i="72"/>
  <c r="AS96" i="72" s="1"/>
  <c r="AQ97" i="72" s="1"/>
  <c r="CC99" i="72"/>
  <c r="CA100" i="72"/>
  <c r="CC100" i="72" s="1"/>
  <c r="CA101" i="72" s="1"/>
  <c r="AG93" i="72"/>
  <c r="AE94" i="72"/>
  <c r="AG94" i="72" s="1"/>
  <c r="AE95" i="72" s="1"/>
  <c r="AG66" i="55" l="1"/>
  <c r="AH66" i="55" s="1"/>
  <c r="AE67" i="55"/>
  <c r="AG67" i="55" s="1"/>
  <c r="S64" i="55"/>
  <c r="V63" i="55"/>
  <c r="G64" i="55"/>
  <c r="J63" i="55"/>
  <c r="M64" i="55"/>
  <c r="N64" i="55" s="1"/>
  <c r="K65" i="55"/>
  <c r="M65" i="55" s="1"/>
  <c r="Z65" i="55"/>
  <c r="W66" i="55"/>
  <c r="AI70" i="55"/>
  <c r="AL69" i="55"/>
  <c r="EA137" i="72"/>
  <c r="DY133" i="72"/>
  <c r="DW134" i="72"/>
  <c r="DY134" i="72" s="1"/>
  <c r="DU135" i="72"/>
  <c r="DS136" i="72"/>
  <c r="DU136" i="72" s="1"/>
  <c r="BK71" i="72"/>
  <c r="BN70" i="72"/>
  <c r="BF68" i="72"/>
  <c r="BC69" i="72"/>
  <c r="O63" i="55"/>
  <c r="Q63" i="55" s="1"/>
  <c r="Q62" i="55"/>
  <c r="R62" i="55" s="1"/>
  <c r="E60" i="55"/>
  <c r="F60" i="55" s="1"/>
  <c r="AM60" i="55" s="1"/>
  <c r="AO60" i="55" s="1"/>
  <c r="C61" i="55"/>
  <c r="E61" i="55" s="1"/>
  <c r="AC66" i="55"/>
  <c r="AD66" i="55" s="1"/>
  <c r="AA67" i="55"/>
  <c r="AC67" i="55" s="1"/>
  <c r="A61" i="48"/>
  <c r="A54" i="64"/>
  <c r="FP28" i="72"/>
  <c r="EY57" i="72"/>
  <c r="FD28" i="72"/>
  <c r="EY59" i="72"/>
  <c r="EV29" i="72"/>
  <c r="EZ28" i="72"/>
  <c r="FL28" i="72"/>
  <c r="EY61" i="72"/>
  <c r="EY55" i="72"/>
  <c r="DK113" i="72"/>
  <c r="DG111" i="72"/>
  <c r="DC109" i="72"/>
  <c r="CY109" i="72"/>
  <c r="BY101" i="72"/>
  <c r="BW102" i="72"/>
  <c r="BY102" i="72" s="1"/>
  <c r="BW103" i="72" s="1"/>
  <c r="BS100" i="72"/>
  <c r="BU100" i="72" s="1"/>
  <c r="BS101" i="72" s="1"/>
  <c r="BU99" i="72"/>
  <c r="AO99" i="72"/>
  <c r="AM100" i="72"/>
  <c r="AO100" i="72" s="1"/>
  <c r="AM101" i="72" s="1"/>
  <c r="G95" i="72"/>
  <c r="CA102" i="72"/>
  <c r="CC102" i="72" s="1"/>
  <c r="CA103" i="72" s="1"/>
  <c r="CC101" i="72"/>
  <c r="CG101" i="72"/>
  <c r="CE102" i="72"/>
  <c r="CG102" i="72" s="1"/>
  <c r="CE103" i="72" s="1"/>
  <c r="AY68" i="72"/>
  <c r="BA68" i="72" s="1"/>
  <c r="BA67" i="72"/>
  <c r="BB67" i="72" s="1"/>
  <c r="CI104" i="72"/>
  <c r="CK104" i="72" s="1"/>
  <c r="CI105" i="72" s="1"/>
  <c r="CK103" i="72"/>
  <c r="AU68" i="72"/>
  <c r="AW68" i="72" s="1"/>
  <c r="AW67" i="72"/>
  <c r="AX67" i="72" s="1"/>
  <c r="O98" i="72"/>
  <c r="Q98" i="72" s="1"/>
  <c r="O99" i="72" s="1"/>
  <c r="Q97" i="72"/>
  <c r="S92" i="72"/>
  <c r="U92" i="72" s="1"/>
  <c r="S93" i="72" s="1"/>
  <c r="U91" i="72"/>
  <c r="CS107" i="72"/>
  <c r="CQ108" i="72"/>
  <c r="CS108" i="72" s="1"/>
  <c r="CQ109" i="72" s="1"/>
  <c r="AA98" i="72"/>
  <c r="AC98" i="72" s="1"/>
  <c r="AA99" i="72" s="1"/>
  <c r="AC97" i="72"/>
  <c r="CM110" i="72"/>
  <c r="CO110" i="72" s="1"/>
  <c r="CM111" i="72" s="1"/>
  <c r="CO109" i="72"/>
  <c r="M93" i="72"/>
  <c r="K94" i="72"/>
  <c r="M94" i="72" s="1"/>
  <c r="CW109" i="72"/>
  <c r="CU110" i="72"/>
  <c r="CW110" i="72" s="1"/>
  <c r="CU111" i="72" s="1"/>
  <c r="AG95" i="72"/>
  <c r="AE96" i="72"/>
  <c r="AG96" i="72" s="1"/>
  <c r="AE97" i="72" s="1"/>
  <c r="AQ98" i="72"/>
  <c r="AS98" i="72" s="1"/>
  <c r="AQ99" i="72" s="1"/>
  <c r="AS97" i="72"/>
  <c r="BG69" i="72"/>
  <c r="BJ68" i="72"/>
  <c r="Y95" i="72"/>
  <c r="W96" i="72"/>
  <c r="Y96" i="72" s="1"/>
  <c r="W97" i="72" s="1"/>
  <c r="C94" i="72"/>
  <c r="E94" i="72" s="1"/>
  <c r="E93" i="72"/>
  <c r="BR72" i="72"/>
  <c r="BO73" i="72"/>
  <c r="AI100" i="72"/>
  <c r="AK100" i="72" s="1"/>
  <c r="AI101" i="72" s="1"/>
  <c r="AK99" i="72"/>
  <c r="AE68" i="55" l="1"/>
  <c r="AH67" i="55"/>
  <c r="U64" i="55"/>
  <c r="V64" i="55" s="1"/>
  <c r="S65" i="55"/>
  <c r="U65" i="55" s="1"/>
  <c r="AI71" i="55"/>
  <c r="AK71" i="55" s="1"/>
  <c r="AL71" i="55" s="1"/>
  <c r="AK70" i="55"/>
  <c r="AL70" i="55" s="1"/>
  <c r="N65" i="55"/>
  <c r="K66" i="55"/>
  <c r="Y66" i="55"/>
  <c r="Z66" i="55" s="1"/>
  <c r="W67" i="55"/>
  <c r="Y67" i="55" s="1"/>
  <c r="G65" i="55"/>
  <c r="I65" i="55" s="1"/>
  <c r="I64" i="55"/>
  <c r="J64" i="55" s="1"/>
  <c r="EA138" i="72"/>
  <c r="EC138" i="72" s="1"/>
  <c r="EC137" i="72"/>
  <c r="DW135" i="72"/>
  <c r="DS137" i="72"/>
  <c r="BM71" i="72"/>
  <c r="BN71" i="72" s="1"/>
  <c r="BK72" i="72"/>
  <c r="BM72" i="72" s="1"/>
  <c r="BE69" i="72"/>
  <c r="BF69" i="72" s="1"/>
  <c r="BC70" i="72"/>
  <c r="BE70" i="72" s="1"/>
  <c r="AA68" i="55"/>
  <c r="AD67" i="55"/>
  <c r="C62" i="55"/>
  <c r="F61" i="55"/>
  <c r="AM61" i="55" s="1"/>
  <c r="AN61" i="55" s="1"/>
  <c r="O64" i="55"/>
  <c r="R63" i="55"/>
  <c r="A62" i="48"/>
  <c r="A55" i="64"/>
  <c r="EY75" i="72"/>
  <c r="EY58" i="72"/>
  <c r="EY63" i="72"/>
  <c r="EY68" i="72"/>
  <c r="EY72" i="72"/>
  <c r="EY67" i="72"/>
  <c r="EY60" i="72"/>
  <c r="EY65" i="72"/>
  <c r="EY70" i="72"/>
  <c r="EY74" i="72"/>
  <c r="EY56" i="72"/>
  <c r="EY71" i="72"/>
  <c r="EY76" i="72"/>
  <c r="EY62" i="72"/>
  <c r="EY66" i="72"/>
  <c r="EY69" i="72"/>
  <c r="EY73" i="72"/>
  <c r="EY64" i="72"/>
  <c r="FS57" i="72"/>
  <c r="FP29" i="72"/>
  <c r="FS59" i="72"/>
  <c r="FT28" i="72"/>
  <c r="FS61" i="72"/>
  <c r="EZ29" i="72"/>
  <c r="FC61" i="72"/>
  <c r="FC55" i="72"/>
  <c r="FC57" i="72"/>
  <c r="FC59" i="72"/>
  <c r="FL29" i="72"/>
  <c r="FO61" i="72"/>
  <c r="FO57" i="72"/>
  <c r="FO59" i="72"/>
  <c r="FD29" i="72"/>
  <c r="FG59" i="72"/>
  <c r="FH28" i="72"/>
  <c r="FG61" i="72"/>
  <c r="FG57" i="72"/>
  <c r="FG55" i="72"/>
  <c r="DM113" i="72"/>
  <c r="DK114" i="72"/>
  <c r="DM114" i="72" s="1"/>
  <c r="DI111" i="72"/>
  <c r="DG112" i="72"/>
  <c r="DI112" i="72" s="1"/>
  <c r="DE109" i="72"/>
  <c r="DC110" i="72"/>
  <c r="DE110" i="72" s="1"/>
  <c r="DA109" i="72"/>
  <c r="CY110" i="72"/>
  <c r="DA110" i="72" s="1"/>
  <c r="AG97" i="72"/>
  <c r="AE98" i="72"/>
  <c r="AG98" i="72" s="1"/>
  <c r="AE99" i="72" s="1"/>
  <c r="K95" i="72"/>
  <c r="AM102" i="72"/>
  <c r="AO102" i="72" s="1"/>
  <c r="AM103" i="72" s="1"/>
  <c r="AO101" i="72"/>
  <c r="BY103" i="72"/>
  <c r="BW104" i="72"/>
  <c r="BY104" i="72" s="1"/>
  <c r="BW105" i="72" s="1"/>
  <c r="AI102" i="72"/>
  <c r="AK102" i="72" s="1"/>
  <c r="AI103" i="72" s="1"/>
  <c r="AK101" i="72"/>
  <c r="C95" i="72"/>
  <c r="BI69" i="72"/>
  <c r="BJ69" i="72" s="1"/>
  <c r="BG70" i="72"/>
  <c r="BI70" i="72" s="1"/>
  <c r="AA100" i="72"/>
  <c r="AC100" i="72" s="1"/>
  <c r="AA101" i="72" s="1"/>
  <c r="AC99" i="72"/>
  <c r="U93" i="72"/>
  <c r="S94" i="72"/>
  <c r="U94" i="72" s="1"/>
  <c r="S95" i="72" s="1"/>
  <c r="AU69" i="72"/>
  <c r="AX68" i="72"/>
  <c r="AY69" i="72"/>
  <c r="BB68" i="72"/>
  <c r="CC103" i="72"/>
  <c r="CA104" i="72"/>
  <c r="CC104" i="72" s="1"/>
  <c r="CA105" i="72" s="1"/>
  <c r="BQ73" i="72"/>
  <c r="BR73" i="72" s="1"/>
  <c r="BO74" i="72"/>
  <c r="BQ74" i="72" s="1"/>
  <c r="Y97" i="72"/>
  <c r="W98" i="72"/>
  <c r="Y98" i="72" s="1"/>
  <c r="W99" i="72" s="1"/>
  <c r="CU112" i="72"/>
  <c r="CW112" i="72" s="1"/>
  <c r="CU113" i="72" s="1"/>
  <c r="CW111" i="72"/>
  <c r="CQ110" i="72"/>
  <c r="CS110" i="72" s="1"/>
  <c r="CQ111" i="72" s="1"/>
  <c r="CS109" i="72"/>
  <c r="CE104" i="72"/>
  <c r="CG104" i="72" s="1"/>
  <c r="CE105" i="72" s="1"/>
  <c r="CG103" i="72"/>
  <c r="AQ100" i="72"/>
  <c r="AS100" i="72" s="1"/>
  <c r="AQ101" i="72" s="1"/>
  <c r="AS99" i="72"/>
  <c r="CO111" i="72"/>
  <c r="CM112" i="72"/>
  <c r="CO112" i="72" s="1"/>
  <c r="CM113" i="72" s="1"/>
  <c r="O100" i="72"/>
  <c r="Q100" i="72" s="1"/>
  <c r="Q99" i="72"/>
  <c r="CK105" i="72"/>
  <c r="CI106" i="72"/>
  <c r="CK106" i="72" s="1"/>
  <c r="CI107" i="72" s="1"/>
  <c r="I95" i="72"/>
  <c r="G96" i="72"/>
  <c r="I96" i="72" s="1"/>
  <c r="BS102" i="72"/>
  <c r="BU102" i="72" s="1"/>
  <c r="BS103" i="72" s="1"/>
  <c r="BU101" i="72"/>
  <c r="H79" i="48" l="1"/>
  <c r="AE69" i="55"/>
  <c r="AG69" i="55" s="1"/>
  <c r="AG68" i="55"/>
  <c r="AH68" i="55" s="1"/>
  <c r="V65" i="55"/>
  <c r="S66" i="55"/>
  <c r="M66" i="55"/>
  <c r="N66" i="55" s="1"/>
  <c r="K67" i="55"/>
  <c r="M67" i="55" s="1"/>
  <c r="G66" i="55"/>
  <c r="J65" i="55"/>
  <c r="Z67" i="55"/>
  <c r="W68" i="55"/>
  <c r="EA139" i="72"/>
  <c r="DY135" i="72"/>
  <c r="DW136" i="72"/>
  <c r="DY136" i="72" s="1"/>
  <c r="DU137" i="72"/>
  <c r="DS138" i="72"/>
  <c r="DU138" i="72" s="1"/>
  <c r="BN72" i="72"/>
  <c r="BK73" i="72"/>
  <c r="BC71" i="72"/>
  <c r="BF70" i="72"/>
  <c r="O65" i="55"/>
  <c r="Q65" i="55" s="1"/>
  <c r="Q64" i="55"/>
  <c r="R64" i="55" s="1"/>
  <c r="C63" i="55"/>
  <c r="E63" i="55" s="1"/>
  <c r="E62" i="55"/>
  <c r="F62" i="55" s="1"/>
  <c r="AM62" i="55" s="1"/>
  <c r="AO62" i="55" s="1"/>
  <c r="AC68" i="55"/>
  <c r="AD68" i="55" s="1"/>
  <c r="AA69" i="55"/>
  <c r="AC69" i="55" s="1"/>
  <c r="A63" i="48"/>
  <c r="A56" i="64"/>
  <c r="F63" i="48"/>
  <c r="F57" i="64" s="1"/>
  <c r="FG58" i="72"/>
  <c r="FG64" i="72"/>
  <c r="FG68" i="72"/>
  <c r="FG72" i="72"/>
  <c r="FG76" i="72"/>
  <c r="FG67" i="72"/>
  <c r="FG60" i="72"/>
  <c r="FG65" i="72"/>
  <c r="FG70" i="72"/>
  <c r="FG74" i="72"/>
  <c r="FG56" i="72"/>
  <c r="FG71" i="72"/>
  <c r="FG75" i="72"/>
  <c r="FG62" i="72"/>
  <c r="FG66" i="72"/>
  <c r="FG69" i="72"/>
  <c r="FG73" i="72"/>
  <c r="FG63" i="72"/>
  <c r="FO58" i="72"/>
  <c r="FO64" i="72"/>
  <c r="FO68" i="72"/>
  <c r="FO71" i="72"/>
  <c r="FO76" i="72"/>
  <c r="FO75" i="72"/>
  <c r="FO60" i="72"/>
  <c r="FO66" i="72"/>
  <c r="FO69" i="72"/>
  <c r="FO73" i="72"/>
  <c r="FO78" i="72"/>
  <c r="FO63" i="72"/>
  <c r="FO67" i="72"/>
  <c r="FO72" i="72"/>
  <c r="FO62" i="72"/>
  <c r="FO65" i="72"/>
  <c r="FO70" i="72"/>
  <c r="FO74" i="72"/>
  <c r="FO77" i="72"/>
  <c r="FW59" i="72"/>
  <c r="FW57" i="72"/>
  <c r="FT29" i="72"/>
  <c r="FW61" i="72"/>
  <c r="FX28" i="72"/>
  <c r="FK55" i="72"/>
  <c r="FK57" i="72"/>
  <c r="FH29" i="72"/>
  <c r="FK59" i="72"/>
  <c r="FK61" i="72"/>
  <c r="FC60" i="72"/>
  <c r="FC66" i="72"/>
  <c r="FC70" i="72"/>
  <c r="FC73" i="72"/>
  <c r="FC75" i="72"/>
  <c r="FC62" i="72"/>
  <c r="FC65" i="72"/>
  <c r="FC69" i="72"/>
  <c r="FC74" i="72"/>
  <c r="FC58" i="72"/>
  <c r="FC64" i="72"/>
  <c r="FC67" i="72"/>
  <c r="FC71" i="72"/>
  <c r="FC56" i="72"/>
  <c r="FC63" i="72"/>
  <c r="FC68" i="72"/>
  <c r="FC72" i="72"/>
  <c r="FC76" i="72"/>
  <c r="FS58" i="72"/>
  <c r="FS64" i="72"/>
  <c r="FS67" i="72"/>
  <c r="FS71" i="72"/>
  <c r="FS76" i="72"/>
  <c r="FS68" i="72"/>
  <c r="FS75" i="72"/>
  <c r="FS60" i="72"/>
  <c r="FS65" i="72"/>
  <c r="FS70" i="72"/>
  <c r="FS74" i="72"/>
  <c r="FS78" i="72"/>
  <c r="FS63" i="72"/>
  <c r="FS72" i="72"/>
  <c r="FS62" i="72"/>
  <c r="FS66" i="72"/>
  <c r="FS69" i="72"/>
  <c r="FS73" i="72"/>
  <c r="FS77" i="72"/>
  <c r="DK115" i="72"/>
  <c r="DG113" i="72"/>
  <c r="DC111" i="72"/>
  <c r="CY111" i="72"/>
  <c r="G97" i="72"/>
  <c r="Y99" i="72"/>
  <c r="W100" i="72"/>
  <c r="Y100" i="72" s="1"/>
  <c r="W101" i="72" s="1"/>
  <c r="S96" i="72"/>
  <c r="U96" i="72" s="1"/>
  <c r="U95" i="72"/>
  <c r="BG71" i="72"/>
  <c r="BJ70" i="72"/>
  <c r="AG99" i="72"/>
  <c r="AE100" i="72"/>
  <c r="AG100" i="72" s="1"/>
  <c r="AE101" i="72" s="1"/>
  <c r="BS104" i="72"/>
  <c r="BU104" i="72" s="1"/>
  <c r="BS105" i="72" s="1"/>
  <c r="BU103" i="72"/>
  <c r="O101" i="72"/>
  <c r="AS101" i="72"/>
  <c r="AQ102" i="72"/>
  <c r="AS102" i="72" s="1"/>
  <c r="AQ103" i="72" s="1"/>
  <c r="CQ112" i="72"/>
  <c r="CS112" i="72" s="1"/>
  <c r="CQ113" i="72" s="1"/>
  <c r="CS111" i="72"/>
  <c r="BA69" i="72"/>
  <c r="BB69" i="72" s="1"/>
  <c r="AY70" i="72"/>
  <c r="BA70" i="72" s="1"/>
  <c r="AK103" i="72"/>
  <c r="AI104" i="72"/>
  <c r="AK104" i="72" s="1"/>
  <c r="AI105" i="72" s="1"/>
  <c r="AM104" i="72"/>
  <c r="AO104" i="72" s="1"/>
  <c r="AM105" i="72" s="1"/>
  <c r="AO103" i="72"/>
  <c r="CI108" i="72"/>
  <c r="CK108" i="72" s="1"/>
  <c r="CI109" i="72" s="1"/>
  <c r="CK107" i="72"/>
  <c r="CO113" i="72"/>
  <c r="CM114" i="72"/>
  <c r="CO114" i="72" s="1"/>
  <c r="CM115" i="72" s="1"/>
  <c r="BR74" i="72"/>
  <c r="BO75" i="72"/>
  <c r="CA106" i="72"/>
  <c r="CC106" i="72" s="1"/>
  <c r="CA107" i="72" s="1"/>
  <c r="CC105" i="72"/>
  <c r="BW106" i="72"/>
  <c r="BY106" i="72" s="1"/>
  <c r="BW107" i="72" s="1"/>
  <c r="BY105" i="72"/>
  <c r="CG105" i="72"/>
  <c r="CE106" i="72"/>
  <c r="CG106" i="72" s="1"/>
  <c r="CE107" i="72" s="1"/>
  <c r="CW113" i="72"/>
  <c r="CU114" i="72"/>
  <c r="CW114" i="72" s="1"/>
  <c r="CU115" i="72" s="1"/>
  <c r="AU70" i="72"/>
  <c r="AW70" i="72" s="1"/>
  <c r="AW69" i="72"/>
  <c r="AX69" i="72" s="1"/>
  <c r="AC101" i="72"/>
  <c r="AA102" i="72"/>
  <c r="AC102" i="72" s="1"/>
  <c r="AA103" i="72" s="1"/>
  <c r="E95" i="72"/>
  <c r="C96" i="72"/>
  <c r="E96" i="72" s="1"/>
  <c r="K96" i="72"/>
  <c r="M96" i="72" s="1"/>
  <c r="M95" i="72"/>
  <c r="H86" i="48" l="1"/>
  <c r="AE70" i="55"/>
  <c r="AH69" i="55"/>
  <c r="S67" i="55"/>
  <c r="U67" i="55" s="1"/>
  <c r="U66" i="55"/>
  <c r="V66" i="55" s="1"/>
  <c r="G67" i="55"/>
  <c r="I67" i="55" s="1"/>
  <c r="I66" i="55"/>
  <c r="J66" i="55" s="1"/>
  <c r="Y68" i="55"/>
  <c r="Z68" i="55" s="1"/>
  <c r="W69" i="55"/>
  <c r="Y69" i="55" s="1"/>
  <c r="K68" i="55"/>
  <c r="N67" i="55"/>
  <c r="EA140" i="72"/>
  <c r="EC140" i="72" s="1"/>
  <c r="EC139" i="72"/>
  <c r="DW137" i="72"/>
  <c r="DS139" i="72"/>
  <c r="BK74" i="72"/>
  <c r="BM74" i="72" s="1"/>
  <c r="BM73" i="72"/>
  <c r="BN73" i="72" s="1"/>
  <c r="BC72" i="72"/>
  <c r="BE72" i="72" s="1"/>
  <c r="BE71" i="72"/>
  <c r="BF71" i="72" s="1"/>
  <c r="AA70" i="55"/>
  <c r="AD69" i="55"/>
  <c r="C64" i="55"/>
  <c r="F63" i="55"/>
  <c r="AM63" i="55" s="1"/>
  <c r="AN63" i="55" s="1"/>
  <c r="O66" i="55"/>
  <c r="R65" i="55"/>
  <c r="A57" i="64"/>
  <c r="A64" i="48"/>
  <c r="F65" i="48" s="1"/>
  <c r="F59" i="64" s="1"/>
  <c r="FW58" i="72"/>
  <c r="FW63" i="72"/>
  <c r="FW67" i="72"/>
  <c r="FW71" i="72"/>
  <c r="FW76" i="72"/>
  <c r="FW75" i="72"/>
  <c r="FW60" i="72"/>
  <c r="FW65" i="72"/>
  <c r="FW70" i="72"/>
  <c r="FW73" i="72"/>
  <c r="FW78" i="72"/>
  <c r="FW64" i="72"/>
  <c r="FW68" i="72"/>
  <c r="FW62" i="72"/>
  <c r="FW66" i="72"/>
  <c r="FW69" i="72"/>
  <c r="FW74" i="72"/>
  <c r="FW77" i="72"/>
  <c r="FW72" i="72"/>
  <c r="FK60" i="72"/>
  <c r="FK65" i="72"/>
  <c r="FK70" i="72"/>
  <c r="FK74" i="72"/>
  <c r="FK58" i="72"/>
  <c r="FK76" i="72"/>
  <c r="FK62" i="72"/>
  <c r="FK66" i="72"/>
  <c r="FK69" i="72"/>
  <c r="FK73" i="72"/>
  <c r="FK64" i="72"/>
  <c r="FK72" i="72"/>
  <c r="FK56" i="72"/>
  <c r="FK63" i="72"/>
  <c r="FK67" i="72"/>
  <c r="FK71" i="72"/>
  <c r="FK75" i="72"/>
  <c r="FK68" i="72"/>
  <c r="GA57" i="72"/>
  <c r="GB28" i="72"/>
  <c r="GA61" i="72"/>
  <c r="FX29" i="72"/>
  <c r="GA59" i="72"/>
  <c r="DM115" i="72"/>
  <c r="DK116" i="72"/>
  <c r="DM116" i="72" s="1"/>
  <c r="DI113" i="72"/>
  <c r="DG114" i="72"/>
  <c r="DI114" i="72" s="1"/>
  <c r="DE111" i="72"/>
  <c r="DC112" i="72"/>
  <c r="DE112" i="72" s="1"/>
  <c r="DA111" i="72"/>
  <c r="CY112" i="72"/>
  <c r="DA112" i="72" s="1"/>
  <c r="AC103" i="72"/>
  <c r="AA104" i="72"/>
  <c r="AC104" i="72" s="1"/>
  <c r="AA105" i="72" s="1"/>
  <c r="CW115" i="72"/>
  <c r="CU116" i="72"/>
  <c r="CW116" i="72" s="1"/>
  <c r="CU117" i="72" s="1"/>
  <c r="CO115" i="72"/>
  <c r="CM116" i="72"/>
  <c r="CO116" i="72" s="1"/>
  <c r="CM117" i="72" s="1"/>
  <c r="BB70" i="72"/>
  <c r="AY71" i="72"/>
  <c r="AE102" i="72"/>
  <c r="AG102" i="72" s="1"/>
  <c r="AE103" i="72" s="1"/>
  <c r="AG101" i="72"/>
  <c r="K97" i="72"/>
  <c r="CA108" i="72"/>
  <c r="CC108" i="72" s="1"/>
  <c r="CA109" i="72" s="1"/>
  <c r="CC107" i="72"/>
  <c r="AM106" i="72"/>
  <c r="AO106" i="72" s="1"/>
  <c r="AM107" i="72" s="1"/>
  <c r="AO105" i="72"/>
  <c r="CQ114" i="72"/>
  <c r="CS114" i="72" s="1"/>
  <c r="CQ115" i="72" s="1"/>
  <c r="CS113" i="72"/>
  <c r="Q101" i="72"/>
  <c r="O102" i="72"/>
  <c r="Q102" i="72" s="1"/>
  <c r="S97" i="72"/>
  <c r="I97" i="72"/>
  <c r="G98" i="72"/>
  <c r="I98" i="72" s="1"/>
  <c r="C97" i="72"/>
  <c r="CG107" i="72"/>
  <c r="CE108" i="72"/>
  <c r="CG108" i="72" s="1"/>
  <c r="CE109" i="72" s="1"/>
  <c r="BQ75" i="72"/>
  <c r="BR75" i="72" s="1"/>
  <c r="BO76" i="72"/>
  <c r="BQ76" i="72" s="1"/>
  <c r="BR76" i="72" s="1"/>
  <c r="AK105" i="72"/>
  <c r="AI106" i="72"/>
  <c r="AK106" i="72" s="1"/>
  <c r="AI107" i="72" s="1"/>
  <c r="AQ104" i="72"/>
  <c r="AS104" i="72" s="1"/>
  <c r="AQ105" i="72" s="1"/>
  <c r="AS103" i="72"/>
  <c r="W102" i="72"/>
  <c r="Y102" i="72" s="1"/>
  <c r="Y101" i="72"/>
  <c r="AU71" i="72"/>
  <c r="AX70" i="72"/>
  <c r="BY107" i="72"/>
  <c r="BW108" i="72"/>
  <c r="BY108" i="72" s="1"/>
  <c r="BW109" i="72" s="1"/>
  <c r="CI110" i="72"/>
  <c r="CK110" i="72" s="1"/>
  <c r="CI111" i="72" s="1"/>
  <c r="CK109" i="72"/>
  <c r="BU105" i="72"/>
  <c r="BS106" i="72"/>
  <c r="BU106" i="72" s="1"/>
  <c r="BS107" i="72" s="1"/>
  <c r="BG72" i="72"/>
  <c r="BI72" i="72" s="1"/>
  <c r="BI71" i="72"/>
  <c r="BJ71" i="72" s="1"/>
  <c r="AG70" i="55" l="1"/>
  <c r="AH70" i="55" s="1"/>
  <c r="AE71" i="55"/>
  <c r="AG71" i="55" s="1"/>
  <c r="AH71" i="55" s="1"/>
  <c r="S68" i="55"/>
  <c r="V67" i="55"/>
  <c r="W70" i="55"/>
  <c r="Z69" i="55"/>
  <c r="K69" i="55"/>
  <c r="M69" i="55" s="1"/>
  <c r="M68" i="55"/>
  <c r="N68" i="55" s="1"/>
  <c r="G68" i="55"/>
  <c r="J67" i="55"/>
  <c r="EA141" i="72"/>
  <c r="DY137" i="72"/>
  <c r="DW138" i="72"/>
  <c r="DY138" i="72" s="1"/>
  <c r="DU139" i="72"/>
  <c r="DS140" i="72"/>
  <c r="DU140" i="72" s="1"/>
  <c r="BK75" i="72"/>
  <c r="BN74" i="72"/>
  <c r="BC73" i="72"/>
  <c r="BF72" i="72"/>
  <c r="O67" i="55"/>
  <c r="Q67" i="55" s="1"/>
  <c r="Q66" i="55"/>
  <c r="R66" i="55" s="1"/>
  <c r="E64" i="55"/>
  <c r="F64" i="55" s="1"/>
  <c r="AM64" i="55" s="1"/>
  <c r="AO64" i="55" s="1"/>
  <c r="C65" i="55"/>
  <c r="E65" i="55" s="1"/>
  <c r="AA71" i="55"/>
  <c r="AC71" i="55" s="1"/>
  <c r="AD71" i="55" s="1"/>
  <c r="AC70" i="55"/>
  <c r="AD70" i="55" s="1"/>
  <c r="A58" i="64"/>
  <c r="A65" i="48"/>
  <c r="GA58" i="72"/>
  <c r="GA64" i="72"/>
  <c r="GA67" i="72"/>
  <c r="GA72" i="72"/>
  <c r="GA76" i="72"/>
  <c r="GA71" i="72"/>
  <c r="GA60" i="72"/>
  <c r="GA66" i="72"/>
  <c r="GA69" i="72"/>
  <c r="GA73" i="72"/>
  <c r="GA78" i="72"/>
  <c r="GA68" i="72"/>
  <c r="GA75" i="72"/>
  <c r="GA62" i="72"/>
  <c r="GA65" i="72"/>
  <c r="GA70" i="72"/>
  <c r="GA74" i="72"/>
  <c r="GA77" i="72"/>
  <c r="GA63" i="72"/>
  <c r="GF28" i="72"/>
  <c r="GE57" i="72"/>
  <c r="GE61" i="72"/>
  <c r="GE59" i="72"/>
  <c r="GB29" i="72"/>
  <c r="DK117" i="72"/>
  <c r="DG115" i="72"/>
  <c r="DC113" i="72"/>
  <c r="CY113" i="72"/>
  <c r="BW110" i="72"/>
  <c r="BY110" i="72" s="1"/>
  <c r="BW111" i="72" s="1"/>
  <c r="BY109" i="72"/>
  <c r="AK107" i="72"/>
  <c r="AI108" i="72"/>
  <c r="AK108" i="72" s="1"/>
  <c r="AI109" i="72" s="1"/>
  <c r="CG109" i="72"/>
  <c r="CE110" i="72"/>
  <c r="CG110" i="72" s="1"/>
  <c r="CE111" i="72" s="1"/>
  <c r="G99" i="72"/>
  <c r="O103" i="72"/>
  <c r="CO117" i="72"/>
  <c r="CM118" i="72"/>
  <c r="CO118" i="72" s="1"/>
  <c r="CM119" i="72" s="1"/>
  <c r="AC105" i="72"/>
  <c r="AA106" i="72"/>
  <c r="AC106" i="72" s="1"/>
  <c r="BG73" i="72"/>
  <c r="BJ72" i="72"/>
  <c r="W103" i="72"/>
  <c r="AO107" i="72"/>
  <c r="AM108" i="72"/>
  <c r="AO108" i="72" s="1"/>
  <c r="AM109" i="72" s="1"/>
  <c r="AE104" i="72"/>
  <c r="AG104" i="72" s="1"/>
  <c r="AE105" i="72" s="1"/>
  <c r="AG103" i="72"/>
  <c r="BS108" i="72"/>
  <c r="BU108" i="72" s="1"/>
  <c r="BS109" i="72" s="1"/>
  <c r="BU107" i="72"/>
  <c r="BA71" i="72"/>
  <c r="BB71" i="72" s="1"/>
  <c r="AY72" i="72"/>
  <c r="BA72" i="72" s="1"/>
  <c r="CW117" i="72"/>
  <c r="CU118" i="72"/>
  <c r="CW118" i="72" s="1"/>
  <c r="CU119" i="72" s="1"/>
  <c r="CI112" i="72"/>
  <c r="CK112" i="72" s="1"/>
  <c r="CI113" i="72" s="1"/>
  <c r="CK111" i="72"/>
  <c r="AW71" i="72"/>
  <c r="AX71" i="72" s="1"/>
  <c r="AU72" i="72"/>
  <c r="AW72" i="72" s="1"/>
  <c r="AS105" i="72"/>
  <c r="AQ106" i="72"/>
  <c r="AS106" i="72" s="1"/>
  <c r="AQ107" i="72" s="1"/>
  <c r="C98" i="72"/>
  <c r="E98" i="72" s="1"/>
  <c r="E97" i="72"/>
  <c r="U97" i="72"/>
  <c r="S98" i="72"/>
  <c r="U98" i="72" s="1"/>
  <c r="CQ116" i="72"/>
  <c r="CS116" i="72" s="1"/>
  <c r="CQ117" i="72" s="1"/>
  <c r="CS115" i="72"/>
  <c r="CA110" i="72"/>
  <c r="CC110" i="72" s="1"/>
  <c r="CA111" i="72" s="1"/>
  <c r="CC109" i="72"/>
  <c r="M97" i="72"/>
  <c r="K98" i="72"/>
  <c r="M98" i="72" s="1"/>
  <c r="U68" i="55" l="1"/>
  <c r="V68" i="55" s="1"/>
  <c r="S69" i="55"/>
  <c r="U69" i="55" s="1"/>
  <c r="K70" i="55"/>
  <c r="N69" i="55"/>
  <c r="I68" i="55"/>
  <c r="J68" i="55" s="1"/>
  <c r="G69" i="55"/>
  <c r="I69" i="55" s="1"/>
  <c r="W71" i="55"/>
  <c r="Y71" i="55" s="1"/>
  <c r="Z71" i="55" s="1"/>
  <c r="Y70" i="55"/>
  <c r="Z70" i="55" s="1"/>
  <c r="EA142" i="72"/>
  <c r="EC142" i="72" s="1"/>
  <c r="EC141" i="72"/>
  <c r="DW139" i="72"/>
  <c r="DS141" i="72"/>
  <c r="BK76" i="72"/>
  <c r="BM76" i="72" s="1"/>
  <c r="BN76" i="72" s="1"/>
  <c r="BM75" i="72"/>
  <c r="BN75" i="72" s="1"/>
  <c r="BE73" i="72"/>
  <c r="BF73" i="72" s="1"/>
  <c r="BC74" i="72"/>
  <c r="BE74" i="72" s="1"/>
  <c r="C66" i="55"/>
  <c r="F65" i="55"/>
  <c r="AM65" i="55" s="1"/>
  <c r="AN65" i="55" s="1"/>
  <c r="O68" i="55"/>
  <c r="R67" i="55"/>
  <c r="A67" i="48"/>
  <c r="A59" i="64"/>
  <c r="F67" i="48"/>
  <c r="F61" i="64" s="1"/>
  <c r="GE62" i="72"/>
  <c r="GE66" i="72"/>
  <c r="GE70" i="72"/>
  <c r="GE73" i="72"/>
  <c r="GE77" i="72"/>
  <c r="GE69" i="72"/>
  <c r="GE64" i="72"/>
  <c r="GE67" i="72"/>
  <c r="GE71" i="72"/>
  <c r="GE75" i="72"/>
  <c r="GE65" i="72"/>
  <c r="GE74" i="72"/>
  <c r="GE58" i="72"/>
  <c r="GE63" i="72"/>
  <c r="GE68" i="72"/>
  <c r="GE72" i="72"/>
  <c r="GE76" i="72"/>
  <c r="GE60" i="72"/>
  <c r="GE78" i="72"/>
  <c r="GF29" i="72"/>
  <c r="GI59" i="72"/>
  <c r="GI61" i="72"/>
  <c r="GI57" i="72"/>
  <c r="GJ28" i="72"/>
  <c r="DM117" i="72"/>
  <c r="DK118" i="72"/>
  <c r="DM118" i="72" s="1"/>
  <c r="DI115" i="72"/>
  <c r="DG116" i="72"/>
  <c r="DI116" i="72" s="1"/>
  <c r="DE113" i="72"/>
  <c r="DC114" i="72"/>
  <c r="DE114" i="72" s="1"/>
  <c r="DA113" i="72"/>
  <c r="CY114" i="72"/>
  <c r="DA114" i="72" s="1"/>
  <c r="CQ118" i="72"/>
  <c r="CS118" i="72" s="1"/>
  <c r="CQ119" i="72" s="1"/>
  <c r="CS117" i="72"/>
  <c r="C99" i="72"/>
  <c r="BU109" i="72"/>
  <c r="BS110" i="72"/>
  <c r="BU110" i="72" s="1"/>
  <c r="BS111" i="72" s="1"/>
  <c r="BG74" i="72"/>
  <c r="BI74" i="72" s="1"/>
  <c r="BI73" i="72"/>
  <c r="BJ73" i="72" s="1"/>
  <c r="CO119" i="72"/>
  <c r="CM120" i="72"/>
  <c r="CO120" i="72" s="1"/>
  <c r="CM121" i="72" s="1"/>
  <c r="AI110" i="72"/>
  <c r="AK110" i="72" s="1"/>
  <c r="AI111" i="72" s="1"/>
  <c r="AK109" i="72"/>
  <c r="S99" i="72"/>
  <c r="AS107" i="72"/>
  <c r="AQ108" i="72"/>
  <c r="AS108" i="72" s="1"/>
  <c r="AQ109" i="72" s="1"/>
  <c r="AY73" i="72"/>
  <c r="BB72" i="72"/>
  <c r="I99" i="72"/>
  <c r="G100" i="72"/>
  <c r="I100" i="72" s="1"/>
  <c r="CC111" i="72"/>
  <c r="CA112" i="72"/>
  <c r="CC112" i="72" s="1"/>
  <c r="CA113" i="72" s="1"/>
  <c r="CK113" i="72"/>
  <c r="CI114" i="72"/>
  <c r="CK114" i="72" s="1"/>
  <c r="CI115" i="72" s="1"/>
  <c r="AG105" i="72"/>
  <c r="AE106" i="72"/>
  <c r="AG106" i="72" s="1"/>
  <c r="W104" i="72"/>
  <c r="Y104" i="72" s="1"/>
  <c r="Y103" i="72"/>
  <c r="AA107" i="72"/>
  <c r="CG111" i="72"/>
  <c r="CE112" i="72"/>
  <c r="CG112" i="72" s="1"/>
  <c r="CE113" i="72" s="1"/>
  <c r="K99" i="72"/>
  <c r="AU73" i="72"/>
  <c r="AX72" i="72"/>
  <c r="CW119" i="72"/>
  <c r="CU120" i="72"/>
  <c r="CW120" i="72" s="1"/>
  <c r="CU121" i="72" s="1"/>
  <c r="AM110" i="72"/>
  <c r="AO110" i="72" s="1"/>
  <c r="AM111" i="72" s="1"/>
  <c r="AO109" i="72"/>
  <c r="Q103" i="72"/>
  <c r="O104" i="72"/>
  <c r="Q104" i="72" s="1"/>
  <c r="BY111" i="72"/>
  <c r="BW112" i="72"/>
  <c r="BY112" i="72" s="1"/>
  <c r="BW113" i="72" s="1"/>
  <c r="S70" i="55" l="1"/>
  <c r="V69" i="55"/>
  <c r="G70" i="55"/>
  <c r="J69" i="55"/>
  <c r="M70" i="55"/>
  <c r="N70" i="55" s="1"/>
  <c r="K71" i="55"/>
  <c r="M71" i="55" s="1"/>
  <c r="N71" i="55" s="1"/>
  <c r="EA143" i="72"/>
  <c r="DY139" i="72"/>
  <c r="DW140" i="72"/>
  <c r="DY140" i="72" s="1"/>
  <c r="DU141" i="72"/>
  <c r="DS142" i="72"/>
  <c r="DU142" i="72" s="1"/>
  <c r="BF74" i="72"/>
  <c r="BC75" i="72"/>
  <c r="O69" i="55"/>
  <c r="Q69" i="55" s="1"/>
  <c r="Q68" i="55"/>
  <c r="R68" i="55" s="1"/>
  <c r="C67" i="55"/>
  <c r="E67" i="55" s="1"/>
  <c r="E66" i="55"/>
  <c r="F66" i="55" s="1"/>
  <c r="AM66" i="55" s="1"/>
  <c r="AO66" i="55" s="1"/>
  <c r="A69" i="48"/>
  <c r="A61" i="64"/>
  <c r="F69" i="48"/>
  <c r="F63" i="64" s="1"/>
  <c r="GJ29" i="72"/>
  <c r="GN28" i="72"/>
  <c r="GR28" i="72" s="1"/>
  <c r="GV28" i="72" s="1"/>
  <c r="GM61" i="72"/>
  <c r="GM59" i="72"/>
  <c r="GI64" i="72"/>
  <c r="GI67" i="72"/>
  <c r="GI72" i="72"/>
  <c r="GI75" i="72"/>
  <c r="GI70" i="72"/>
  <c r="GI60" i="72"/>
  <c r="GI63" i="72"/>
  <c r="GI68" i="72"/>
  <c r="GI71" i="72"/>
  <c r="GI76" i="72"/>
  <c r="GI65" i="72"/>
  <c r="GI78" i="72"/>
  <c r="GI58" i="72"/>
  <c r="GI66" i="72"/>
  <c r="GI69" i="72"/>
  <c r="GI73" i="72"/>
  <c r="GI77" i="72"/>
  <c r="GI62" i="72"/>
  <c r="GI74" i="72"/>
  <c r="DK119" i="72"/>
  <c r="DG117" i="72"/>
  <c r="DC115" i="72"/>
  <c r="CY115" i="72"/>
  <c r="BY113" i="72"/>
  <c r="BW114" i="72"/>
  <c r="BY114" i="72" s="1"/>
  <c r="BW115" i="72" s="1"/>
  <c r="CG113" i="72"/>
  <c r="CE114" i="72"/>
  <c r="CG114" i="72" s="1"/>
  <c r="CE115" i="72" s="1"/>
  <c r="CI116" i="72"/>
  <c r="CK116" i="72" s="1"/>
  <c r="CI117" i="72" s="1"/>
  <c r="CK115" i="72"/>
  <c r="G101" i="72"/>
  <c r="AS109" i="72"/>
  <c r="AQ110" i="72"/>
  <c r="AS110" i="72" s="1"/>
  <c r="AQ111" i="72" s="1"/>
  <c r="CO121" i="72"/>
  <c r="CM122" i="72"/>
  <c r="CO122" i="72" s="1"/>
  <c r="CM123" i="72" s="1"/>
  <c r="BS112" i="72"/>
  <c r="BU112" i="72" s="1"/>
  <c r="BS113" i="72" s="1"/>
  <c r="BU111" i="72"/>
  <c r="AM112" i="72"/>
  <c r="AO112" i="72" s="1"/>
  <c r="AM113" i="72" s="1"/>
  <c r="AO111" i="72"/>
  <c r="AU74" i="72"/>
  <c r="AW74" i="72" s="1"/>
  <c r="AW73" i="72"/>
  <c r="AX73" i="72" s="1"/>
  <c r="W105" i="72"/>
  <c r="CQ120" i="72"/>
  <c r="CS120" i="72" s="1"/>
  <c r="CQ121" i="72" s="1"/>
  <c r="CS119" i="72"/>
  <c r="O105" i="72"/>
  <c r="CW121" i="72"/>
  <c r="CU122" i="72"/>
  <c r="CW122" i="72" s="1"/>
  <c r="CU123" i="72" s="1"/>
  <c r="AE107" i="72"/>
  <c r="CA114" i="72"/>
  <c r="CC114" i="72" s="1"/>
  <c r="CA115" i="72" s="1"/>
  <c r="CC113" i="72"/>
  <c r="M99" i="72"/>
  <c r="K100" i="72"/>
  <c r="M100" i="72" s="1"/>
  <c r="AC107" i="72"/>
  <c r="AA108" i="72"/>
  <c r="AC108" i="72" s="1"/>
  <c r="AY74" i="72"/>
  <c r="BA74" i="72" s="1"/>
  <c r="BA73" i="72"/>
  <c r="BB73" i="72" s="1"/>
  <c r="S100" i="72"/>
  <c r="U100" i="72" s="1"/>
  <c r="U99" i="72"/>
  <c r="AK111" i="72"/>
  <c r="AI112" i="72"/>
  <c r="AK112" i="72" s="1"/>
  <c r="BG75" i="72"/>
  <c r="BJ74" i="72"/>
  <c r="E99" i="72"/>
  <c r="C100" i="72"/>
  <c r="E100" i="72" s="1"/>
  <c r="GV29" i="72" l="1"/>
  <c r="GY65" i="72"/>
  <c r="GZ28" i="72"/>
  <c r="HD28" i="72" s="1"/>
  <c r="HD29" i="72" s="1"/>
  <c r="S71" i="55"/>
  <c r="U71" i="55" s="1"/>
  <c r="V71" i="55" s="1"/>
  <c r="U70" i="55"/>
  <c r="V70" i="55" s="1"/>
  <c r="I70" i="55"/>
  <c r="J70" i="55" s="1"/>
  <c r="G71" i="55"/>
  <c r="I71" i="55" s="1"/>
  <c r="J71" i="55" s="1"/>
  <c r="AM71" i="55" s="1"/>
  <c r="AN71" i="55" s="1"/>
  <c r="EA144" i="72"/>
  <c r="EC144" i="72" s="1"/>
  <c r="EC143" i="72"/>
  <c r="DW141" i="72"/>
  <c r="DS143" i="72"/>
  <c r="BE75" i="72"/>
  <c r="BF75" i="72" s="1"/>
  <c r="BC76" i="72"/>
  <c r="BE76" i="72" s="1"/>
  <c r="BF76" i="72" s="1"/>
  <c r="GU63" i="72"/>
  <c r="GR29" i="72"/>
  <c r="C68" i="55"/>
  <c r="F67" i="55"/>
  <c r="AM67" i="55" s="1"/>
  <c r="AN67" i="55" s="1"/>
  <c r="O70" i="55"/>
  <c r="R69" i="55"/>
  <c r="A63" i="64"/>
  <c r="F256" i="48"/>
  <c r="F225" i="64" s="1"/>
  <c r="F34" i="48"/>
  <c r="F31" i="64" s="1"/>
  <c r="GQ61" i="72"/>
  <c r="GN29" i="72"/>
  <c r="GQ62" i="72" s="1"/>
  <c r="GM64" i="72"/>
  <c r="GM68" i="72"/>
  <c r="GM72" i="72"/>
  <c r="GM75" i="72"/>
  <c r="GM80" i="72"/>
  <c r="GM76" i="72"/>
  <c r="GM62" i="72"/>
  <c r="GM66" i="72"/>
  <c r="GM69" i="72"/>
  <c r="GM73" i="72"/>
  <c r="GM77" i="72"/>
  <c r="GM70" i="72"/>
  <c r="GM78" i="72"/>
  <c r="GM65" i="72"/>
  <c r="GM71" i="72"/>
  <c r="GM63" i="72"/>
  <c r="GM67" i="72"/>
  <c r="GM74" i="72"/>
  <c r="GM60" i="72"/>
  <c r="GM79" i="72"/>
  <c r="DM119" i="72"/>
  <c r="DK120" i="72"/>
  <c r="DM120" i="72" s="1"/>
  <c r="DI117" i="72"/>
  <c r="DG118" i="72"/>
  <c r="DI118" i="72" s="1"/>
  <c r="DE115" i="72"/>
  <c r="DC116" i="72"/>
  <c r="DE116" i="72" s="1"/>
  <c r="DA115" i="72"/>
  <c r="CY116" i="72"/>
  <c r="DA116" i="72" s="1"/>
  <c r="AA109" i="72"/>
  <c r="CW123" i="72"/>
  <c r="CU124" i="72"/>
  <c r="CW124" i="72" s="1"/>
  <c r="CU125" i="72" s="1"/>
  <c r="AQ112" i="72"/>
  <c r="AS112" i="72" s="1"/>
  <c r="AQ113" i="72" s="1"/>
  <c r="AS111" i="72"/>
  <c r="BY115" i="72"/>
  <c r="BW116" i="72"/>
  <c r="BY116" i="72" s="1"/>
  <c r="BW117" i="72" s="1"/>
  <c r="BG76" i="72"/>
  <c r="BI76" i="72" s="1"/>
  <c r="BJ76" i="72" s="1"/>
  <c r="BI75" i="72"/>
  <c r="BJ75" i="72" s="1"/>
  <c r="S101" i="72"/>
  <c r="CA116" i="72"/>
  <c r="CC116" i="72" s="1"/>
  <c r="CA117" i="72" s="1"/>
  <c r="CC115" i="72"/>
  <c r="CQ122" i="72"/>
  <c r="CS122" i="72" s="1"/>
  <c r="CQ123" i="72" s="1"/>
  <c r="CS121" i="72"/>
  <c r="AU75" i="72"/>
  <c r="AX74" i="72"/>
  <c r="BS114" i="72"/>
  <c r="BU114" i="72" s="1"/>
  <c r="BS115" i="72" s="1"/>
  <c r="BU113" i="72"/>
  <c r="CI118" i="72"/>
  <c r="CK118" i="72" s="1"/>
  <c r="CI119" i="72" s="1"/>
  <c r="CK117" i="72"/>
  <c r="C101" i="72"/>
  <c r="AI113" i="72"/>
  <c r="K101" i="72"/>
  <c r="CO123" i="72"/>
  <c r="CM124" i="72"/>
  <c r="CO124" i="72" s="1"/>
  <c r="CM125" i="72" s="1"/>
  <c r="CG115" i="72"/>
  <c r="CE116" i="72"/>
  <c r="CG116" i="72" s="1"/>
  <c r="CE117" i="72" s="1"/>
  <c r="AY75" i="72"/>
  <c r="BB74" i="72"/>
  <c r="AE108" i="72"/>
  <c r="AG108" i="72" s="1"/>
  <c r="AG107" i="72"/>
  <c r="Q105" i="72"/>
  <c r="O106" i="72"/>
  <c r="Q106" i="72" s="1"/>
  <c r="W106" i="72"/>
  <c r="Y106" i="72" s="1"/>
  <c r="Y105" i="72"/>
  <c r="AM114" i="72"/>
  <c r="AO114" i="72" s="1"/>
  <c r="AO113" i="72"/>
  <c r="G102" i="72"/>
  <c r="I102" i="72" s="1"/>
  <c r="I101" i="72"/>
  <c r="HG68" i="72" l="1"/>
  <c r="HG67" i="72"/>
  <c r="HG69" i="72"/>
  <c r="HG70" i="72"/>
  <c r="HG71" i="72"/>
  <c r="HG72" i="72"/>
  <c r="HG73" i="72"/>
  <c r="HG74" i="72"/>
  <c r="HG75" i="72"/>
  <c r="HG76" i="72"/>
  <c r="HG77" i="72"/>
  <c r="HG78" i="72"/>
  <c r="HG79" i="72"/>
  <c r="HG80" i="72"/>
  <c r="HG81" i="72"/>
  <c r="HG82" i="72"/>
  <c r="HG83" i="72"/>
  <c r="HG84" i="72"/>
  <c r="HG85" i="72"/>
  <c r="HG86" i="72"/>
  <c r="HG87" i="72"/>
  <c r="HG88" i="72"/>
  <c r="GY66" i="72"/>
  <c r="GY67" i="72"/>
  <c r="GY68" i="72"/>
  <c r="GY69" i="72"/>
  <c r="GY70" i="72"/>
  <c r="GY71" i="72"/>
  <c r="GY72" i="72"/>
  <c r="GY73" i="72"/>
  <c r="GY74" i="72"/>
  <c r="GY75" i="72"/>
  <c r="GY76" i="72"/>
  <c r="GY77" i="72"/>
  <c r="GY78" i="72"/>
  <c r="GY79" i="72"/>
  <c r="GY80" i="72"/>
  <c r="GY81" i="72"/>
  <c r="GY82" i="72"/>
  <c r="GY84" i="72"/>
  <c r="GY83" i="72"/>
  <c r="GY85" i="72"/>
  <c r="GY86" i="72"/>
  <c r="HC65" i="72"/>
  <c r="GZ29" i="72"/>
  <c r="EA145" i="72"/>
  <c r="DY141" i="72"/>
  <c r="DW142" i="72"/>
  <c r="DY142" i="72" s="1"/>
  <c r="DU143" i="72"/>
  <c r="DS144" i="72"/>
  <c r="DU144" i="72" s="1"/>
  <c r="GU64" i="72"/>
  <c r="GU65" i="72"/>
  <c r="GU68" i="72"/>
  <c r="GU66" i="72"/>
  <c r="GU67" i="72"/>
  <c r="GU69" i="72"/>
  <c r="GU70" i="72"/>
  <c r="GU71" i="72"/>
  <c r="GU72" i="72"/>
  <c r="GU73" i="72"/>
  <c r="GU74" i="72"/>
  <c r="GU75" i="72"/>
  <c r="GU76" i="72"/>
  <c r="GU77" i="72"/>
  <c r="GU78" i="72"/>
  <c r="GU79" i="72"/>
  <c r="GU80" i="72"/>
  <c r="GU81" i="72"/>
  <c r="GU82" i="72"/>
  <c r="GU84" i="72"/>
  <c r="GU83" i="72"/>
  <c r="O71" i="55"/>
  <c r="Q71" i="55" s="1"/>
  <c r="R71" i="55" s="1"/>
  <c r="Q70" i="55"/>
  <c r="R70" i="55" s="1"/>
  <c r="E68" i="55"/>
  <c r="F68" i="55" s="1"/>
  <c r="AM68" i="55" s="1"/>
  <c r="AO68" i="55" s="1"/>
  <c r="C69" i="55"/>
  <c r="E69" i="55" s="1"/>
  <c r="A68" i="64"/>
  <c r="GQ70" i="72"/>
  <c r="GQ77" i="72"/>
  <c r="GQ75" i="72"/>
  <c r="GQ76" i="72"/>
  <c r="GQ73" i="72"/>
  <c r="GQ74" i="72"/>
  <c r="GQ65" i="72"/>
  <c r="HH65" i="72" s="1"/>
  <c r="GQ64" i="72"/>
  <c r="GQ63" i="72"/>
  <c r="GQ82" i="72"/>
  <c r="GQ66" i="72"/>
  <c r="GQ72" i="72"/>
  <c r="GQ80" i="72"/>
  <c r="GQ78" i="72"/>
  <c r="GQ69" i="72"/>
  <c r="GQ68" i="72"/>
  <c r="GQ67" i="72"/>
  <c r="GQ81" i="72"/>
  <c r="GQ79" i="72"/>
  <c r="GQ71" i="72"/>
  <c r="DK121" i="72"/>
  <c r="DG119" i="72"/>
  <c r="DC117" i="72"/>
  <c r="CY117" i="72"/>
  <c r="O107" i="72"/>
  <c r="CO125" i="72"/>
  <c r="CM126" i="72"/>
  <c r="CO126" i="72" s="1"/>
  <c r="CM127" i="72" s="1"/>
  <c r="AM115" i="72"/>
  <c r="AY76" i="72"/>
  <c r="BA76" i="72" s="1"/>
  <c r="BB76" i="72" s="1"/>
  <c r="BA75" i="72"/>
  <c r="BB75" i="72" s="1"/>
  <c r="AK113" i="72"/>
  <c r="AI114" i="72"/>
  <c r="AK114" i="72" s="1"/>
  <c r="CI120" i="72"/>
  <c r="CK120" i="72" s="1"/>
  <c r="CI121" i="72" s="1"/>
  <c r="CK119" i="72"/>
  <c r="AU76" i="72"/>
  <c r="AW76" i="72" s="1"/>
  <c r="AX76" i="72" s="1"/>
  <c r="AW75" i="72"/>
  <c r="AX75" i="72" s="1"/>
  <c r="CA118" i="72"/>
  <c r="CC118" i="72" s="1"/>
  <c r="CA119" i="72" s="1"/>
  <c r="CC117" i="72"/>
  <c r="AS113" i="72"/>
  <c r="AQ114" i="72"/>
  <c r="AS114" i="72" s="1"/>
  <c r="AC109" i="72"/>
  <c r="AA110" i="72"/>
  <c r="AC110" i="72" s="1"/>
  <c r="CG117" i="72"/>
  <c r="CE118" i="72"/>
  <c r="CG118" i="72" s="1"/>
  <c r="CE119" i="72" s="1"/>
  <c r="BY117" i="72"/>
  <c r="BW118" i="72"/>
  <c r="BY118" i="72" s="1"/>
  <c r="BW119" i="72" s="1"/>
  <c r="CW125" i="72"/>
  <c r="CU126" i="72"/>
  <c r="CW126" i="72" s="1"/>
  <c r="CU127" i="72" s="1"/>
  <c r="G103" i="72"/>
  <c r="W107" i="72"/>
  <c r="AE109" i="72"/>
  <c r="M101" i="72"/>
  <c r="K102" i="72"/>
  <c r="M102" i="72" s="1"/>
  <c r="E101" i="72"/>
  <c r="C102" i="72"/>
  <c r="E102" i="72" s="1"/>
  <c r="BS116" i="72"/>
  <c r="BU116" i="72" s="1"/>
  <c r="BS117" i="72" s="1"/>
  <c r="BU115" i="72"/>
  <c r="CQ124" i="72"/>
  <c r="CS124" i="72" s="1"/>
  <c r="CQ125" i="72" s="1"/>
  <c r="CS123" i="72"/>
  <c r="U101" i="72"/>
  <c r="S102" i="72"/>
  <c r="U102" i="72" s="1"/>
  <c r="HC68" i="72" l="1"/>
  <c r="HC67" i="72"/>
  <c r="HH67" i="72" s="1"/>
  <c r="HC66" i="72"/>
  <c r="HC70" i="72"/>
  <c r="HC69" i="72"/>
  <c r="HC71" i="72"/>
  <c r="HC72" i="72"/>
  <c r="HC73" i="72"/>
  <c r="HC74" i="72"/>
  <c r="HC75" i="72"/>
  <c r="HC76" i="72"/>
  <c r="HC77" i="72"/>
  <c r="HC78" i="72"/>
  <c r="HC79" i="72"/>
  <c r="HC80" i="72"/>
  <c r="HC81" i="72"/>
  <c r="HC82" i="72"/>
  <c r="HC83" i="72"/>
  <c r="HC84" i="72"/>
  <c r="HC86" i="72"/>
  <c r="HC85" i="72"/>
  <c r="EA146" i="72"/>
  <c r="EC146" i="72" s="1"/>
  <c r="EC145" i="72"/>
  <c r="DW143" i="72"/>
  <c r="DS145" i="72"/>
  <c r="C70" i="55"/>
  <c r="E70" i="55" s="1"/>
  <c r="F70" i="55" s="1"/>
  <c r="AM70" i="55" s="1"/>
  <c r="AO70" i="55" s="1"/>
  <c r="F69" i="55"/>
  <c r="AM69" i="55" s="1"/>
  <c r="AN69" i="55" s="1"/>
  <c r="A23" i="65"/>
  <c r="F73" i="64"/>
  <c r="DM121" i="72"/>
  <c r="DK122" i="72"/>
  <c r="DM122" i="72" s="1"/>
  <c r="DI119" i="72"/>
  <c r="DG120" i="72"/>
  <c r="DI120" i="72" s="1"/>
  <c r="DE117" i="72"/>
  <c r="DC118" i="72"/>
  <c r="DE118" i="72" s="1"/>
  <c r="DA117" i="72"/>
  <c r="CY118" i="72"/>
  <c r="DA118" i="72" s="1"/>
  <c r="S103" i="72"/>
  <c r="CU128" i="72"/>
  <c r="CW128" i="72" s="1"/>
  <c r="CU129" i="72" s="1"/>
  <c r="CW127" i="72"/>
  <c r="CG119" i="72"/>
  <c r="CE120" i="72"/>
  <c r="CG120" i="72" s="1"/>
  <c r="CE121" i="72" s="1"/>
  <c r="AQ115" i="72"/>
  <c r="AI115" i="72"/>
  <c r="C103" i="72"/>
  <c r="BY119" i="72"/>
  <c r="BW120" i="72"/>
  <c r="BY120" i="72" s="1"/>
  <c r="AA111" i="72"/>
  <c r="CO127" i="72"/>
  <c r="CM128" i="72"/>
  <c r="CO128" i="72" s="1"/>
  <c r="CM129" i="72" s="1"/>
  <c r="CQ126" i="72"/>
  <c r="CS126" i="72" s="1"/>
  <c r="CQ127" i="72" s="1"/>
  <c r="CS125" i="72"/>
  <c r="AE110" i="72"/>
  <c r="AG110" i="72" s="1"/>
  <c r="AG109" i="72"/>
  <c r="G104" i="72"/>
  <c r="I104" i="72" s="1"/>
  <c r="I103" i="72"/>
  <c r="CA120" i="72"/>
  <c r="CC120" i="72" s="1"/>
  <c r="CA121" i="72" s="1"/>
  <c r="CC119" i="72"/>
  <c r="CI122" i="72"/>
  <c r="CK122" i="72" s="1"/>
  <c r="CI123" i="72" s="1"/>
  <c r="CK121" i="72"/>
  <c r="K103" i="72"/>
  <c r="BS118" i="72"/>
  <c r="BU118" i="72" s="1"/>
  <c r="BU117" i="72"/>
  <c r="Y107" i="72"/>
  <c r="W108" i="72"/>
  <c r="Y108" i="72" s="1"/>
  <c r="AM116" i="72"/>
  <c r="AO116" i="72" s="1"/>
  <c r="AO115" i="72"/>
  <c r="Q107" i="72"/>
  <c r="O108" i="72"/>
  <c r="Q108" i="72" s="1"/>
  <c r="EA147" i="72" l="1"/>
  <c r="DY143" i="72"/>
  <c r="DW144" i="72"/>
  <c r="DY144" i="72" s="1"/>
  <c r="DS146" i="72"/>
  <c r="DU146" i="72" s="1"/>
  <c r="DU145" i="72"/>
  <c r="A72" i="64"/>
  <c r="DK123" i="72"/>
  <c r="DG121" i="72"/>
  <c r="DC119" i="72"/>
  <c r="CY119" i="72"/>
  <c r="AM117" i="72"/>
  <c r="BS119" i="72"/>
  <c r="CI124" i="72"/>
  <c r="CK124" i="72" s="1"/>
  <c r="CI125" i="72" s="1"/>
  <c r="CK123" i="72"/>
  <c r="G105" i="72"/>
  <c r="CS127" i="72"/>
  <c r="CQ128" i="72"/>
  <c r="CS128" i="72" s="1"/>
  <c r="CQ129" i="72" s="1"/>
  <c r="O109" i="72"/>
  <c r="W109" i="72"/>
  <c r="AC111" i="72"/>
  <c r="AA112" i="72"/>
  <c r="AC112" i="72" s="1"/>
  <c r="C104" i="72"/>
  <c r="E104" i="72" s="1"/>
  <c r="E103" i="72"/>
  <c r="AS115" i="72"/>
  <c r="AQ116" i="72"/>
  <c r="AS116" i="72" s="1"/>
  <c r="CW129" i="72"/>
  <c r="CU130" i="72"/>
  <c r="CW130" i="72" s="1"/>
  <c r="CU131" i="72" s="1"/>
  <c r="K104" i="72"/>
  <c r="M104" i="72" s="1"/>
  <c r="M103" i="72"/>
  <c r="CA122" i="72"/>
  <c r="CC122" i="72" s="1"/>
  <c r="CC121" i="72"/>
  <c r="AE111" i="72"/>
  <c r="CO129" i="72"/>
  <c r="CM130" i="72"/>
  <c r="CO130" i="72" s="1"/>
  <c r="CM131" i="72" s="1"/>
  <c r="BW121" i="72"/>
  <c r="CG121" i="72"/>
  <c r="CE122" i="72"/>
  <c r="CG122" i="72" s="1"/>
  <c r="AK115" i="72"/>
  <c r="AI116" i="72"/>
  <c r="AK116" i="72" s="1"/>
  <c r="U103" i="72"/>
  <c r="S104" i="72"/>
  <c r="U104" i="72" s="1"/>
  <c r="EA148" i="72" l="1"/>
  <c r="EC148" i="72" s="1"/>
  <c r="EC147" i="72"/>
  <c r="DW145" i="72"/>
  <c r="DS147" i="72"/>
  <c r="A148" i="65"/>
  <c r="A73" i="64"/>
  <c r="DM123" i="72"/>
  <c r="DK124" i="72"/>
  <c r="DM124" i="72" s="1"/>
  <c r="DI121" i="72"/>
  <c r="DG122" i="72"/>
  <c r="DI122" i="72" s="1"/>
  <c r="DE119" i="72"/>
  <c r="DC120" i="72"/>
  <c r="DE120" i="72" s="1"/>
  <c r="DA119" i="72"/>
  <c r="CY120" i="72"/>
  <c r="DA120" i="72" s="1"/>
  <c r="AI117" i="72"/>
  <c r="AQ117" i="72"/>
  <c r="AA113" i="72"/>
  <c r="BY121" i="72"/>
  <c r="BW122" i="72"/>
  <c r="BY122" i="72" s="1"/>
  <c r="AE112" i="72"/>
  <c r="AG112" i="72" s="1"/>
  <c r="AG111" i="72"/>
  <c r="K105" i="72"/>
  <c r="O110" i="72"/>
  <c r="Q110" i="72" s="1"/>
  <c r="Q109" i="72"/>
  <c r="G106" i="72"/>
  <c r="I106" i="72" s="1"/>
  <c r="I105" i="72"/>
  <c r="BS120" i="72"/>
  <c r="BU120" i="72" s="1"/>
  <c r="BU119" i="72"/>
  <c r="S105" i="72"/>
  <c r="CE123" i="72"/>
  <c r="CM132" i="72"/>
  <c r="CO132" i="72" s="1"/>
  <c r="CM133" i="72" s="1"/>
  <c r="CO131" i="72"/>
  <c r="CU132" i="72"/>
  <c r="CW132" i="72" s="1"/>
  <c r="CU133" i="72" s="1"/>
  <c r="CW131" i="72"/>
  <c r="CQ130" i="72"/>
  <c r="CS130" i="72" s="1"/>
  <c r="CQ131" i="72" s="1"/>
  <c r="CS129" i="72"/>
  <c r="CA123" i="72"/>
  <c r="C105" i="72"/>
  <c r="W110" i="72"/>
  <c r="Y110" i="72" s="1"/>
  <c r="Y109" i="72"/>
  <c r="CI126" i="72"/>
  <c r="CK126" i="72" s="1"/>
  <c r="CI127" i="72" s="1"/>
  <c r="CK125" i="72"/>
  <c r="AM118" i="72"/>
  <c r="AO118" i="72" s="1"/>
  <c r="AO117" i="72"/>
  <c r="EA149" i="72" l="1"/>
  <c r="DY145" i="72"/>
  <c r="DW146" i="72"/>
  <c r="DY146" i="72" s="1"/>
  <c r="DS148" i="72"/>
  <c r="DU148" i="72" s="1"/>
  <c r="DU147" i="72"/>
  <c r="DK125" i="72"/>
  <c r="DG123" i="72"/>
  <c r="DC121" i="72"/>
  <c r="CY121" i="72"/>
  <c r="BW123" i="72"/>
  <c r="CI128" i="72"/>
  <c r="CK128" i="72" s="1"/>
  <c r="CK127" i="72"/>
  <c r="E105" i="72"/>
  <c r="C106" i="72"/>
  <c r="E106" i="72" s="1"/>
  <c r="CS131" i="72"/>
  <c r="CQ132" i="72"/>
  <c r="CS132" i="72" s="1"/>
  <c r="CQ133" i="72" s="1"/>
  <c r="CO133" i="72"/>
  <c r="CM134" i="72"/>
  <c r="CO134" i="72" s="1"/>
  <c r="CM135" i="72" s="1"/>
  <c r="U105" i="72"/>
  <c r="S106" i="72"/>
  <c r="U106" i="72" s="1"/>
  <c r="G107" i="72"/>
  <c r="M105" i="72"/>
  <c r="K106" i="72"/>
  <c r="M106" i="72" s="1"/>
  <c r="AS117" i="72"/>
  <c r="AQ118" i="72"/>
  <c r="AS118" i="72" s="1"/>
  <c r="AM119" i="72"/>
  <c r="W111" i="72"/>
  <c r="CA124" i="72"/>
  <c r="CC124" i="72" s="1"/>
  <c r="CC123" i="72"/>
  <c r="CU134" i="72"/>
  <c r="CW134" i="72" s="1"/>
  <c r="CU135" i="72" s="1"/>
  <c r="CW133" i="72"/>
  <c r="CG123" i="72"/>
  <c r="CE124" i="72"/>
  <c r="CG124" i="72" s="1"/>
  <c r="BS121" i="72"/>
  <c r="O111" i="72"/>
  <c r="AE113" i="72"/>
  <c r="AC113" i="72"/>
  <c r="AA114" i="72"/>
  <c r="AC114" i="72" s="1"/>
  <c r="AK117" i="72"/>
  <c r="AI118" i="72"/>
  <c r="AK118" i="72" s="1"/>
  <c r="EA150" i="72" l="1"/>
  <c r="EC150" i="72" s="1"/>
  <c r="EC149" i="72"/>
  <c r="DW147" i="72"/>
  <c r="DS149" i="72"/>
  <c r="DM125" i="72"/>
  <c r="DK126" i="72"/>
  <c r="DM126" i="72" s="1"/>
  <c r="DI123" i="72"/>
  <c r="DG124" i="72"/>
  <c r="DI124" i="72" s="1"/>
  <c r="DE121" i="72"/>
  <c r="DC122" i="72"/>
  <c r="DE122" i="72" s="1"/>
  <c r="DA121" i="72"/>
  <c r="CY122" i="72"/>
  <c r="DA122" i="72" s="1"/>
  <c r="AA115" i="72"/>
  <c r="CE125" i="72"/>
  <c r="S107" i="72"/>
  <c r="Q111" i="72"/>
  <c r="O112" i="72"/>
  <c r="Q112" i="72" s="1"/>
  <c r="CA125" i="72"/>
  <c r="AM120" i="72"/>
  <c r="AO120" i="72" s="1"/>
  <c r="AO119" i="72"/>
  <c r="CI129" i="72"/>
  <c r="AI119" i="72"/>
  <c r="AQ119" i="72"/>
  <c r="CO135" i="72"/>
  <c r="CM136" i="72"/>
  <c r="CO136" i="72" s="1"/>
  <c r="C107" i="72"/>
  <c r="K107" i="72"/>
  <c r="CS133" i="72"/>
  <c r="CQ134" i="72"/>
  <c r="CS134" i="72" s="1"/>
  <c r="CQ135" i="72" s="1"/>
  <c r="AG113" i="72"/>
  <c r="AE114" i="72"/>
  <c r="AG114" i="72" s="1"/>
  <c r="BS122" i="72"/>
  <c r="BU122" i="72" s="1"/>
  <c r="BU121" i="72"/>
  <c r="CW135" i="72"/>
  <c r="CU136" i="72"/>
  <c r="CW136" i="72" s="1"/>
  <c r="CU137" i="72" s="1"/>
  <c r="Y111" i="72"/>
  <c r="W112" i="72"/>
  <c r="Y112" i="72" s="1"/>
  <c r="I107" i="72"/>
  <c r="G108" i="72"/>
  <c r="I108" i="72" s="1"/>
  <c r="BY123" i="72"/>
  <c r="BW124" i="72"/>
  <c r="BY124" i="72" s="1"/>
  <c r="EA151" i="72" l="1"/>
  <c r="DY147" i="72"/>
  <c r="DW148" i="72"/>
  <c r="DY148" i="72" s="1"/>
  <c r="DS150" i="72"/>
  <c r="DU150" i="72" s="1"/>
  <c r="DU149" i="72"/>
  <c r="DK127" i="72"/>
  <c r="DG125" i="72"/>
  <c r="DC123" i="72"/>
  <c r="CY123" i="72"/>
  <c r="CW137" i="72"/>
  <c r="CU138" i="72"/>
  <c r="CW138" i="72" s="1"/>
  <c r="CU139" i="72" s="1"/>
  <c r="AE115" i="72"/>
  <c r="O113" i="72"/>
  <c r="K108" i="72"/>
  <c r="M108" i="72" s="1"/>
  <c r="M107" i="72"/>
  <c r="AK119" i="72"/>
  <c r="AI120" i="72"/>
  <c r="AK120" i="72" s="1"/>
  <c r="AM121" i="72"/>
  <c r="CG125" i="72"/>
  <c r="CE126" i="72"/>
  <c r="CG126" i="72" s="1"/>
  <c r="BW125" i="72"/>
  <c r="W113" i="72"/>
  <c r="CQ136" i="72"/>
  <c r="CS136" i="72" s="1"/>
  <c r="CS135" i="72"/>
  <c r="G109" i="72"/>
  <c r="CM137" i="72"/>
  <c r="BS123" i="72"/>
  <c r="E107" i="72"/>
  <c r="C108" i="72"/>
  <c r="E108" i="72" s="1"/>
  <c r="AS119" i="72"/>
  <c r="AQ120" i="72"/>
  <c r="AS120" i="72" s="1"/>
  <c r="CK129" i="72"/>
  <c r="CI130" i="72"/>
  <c r="CK130" i="72" s="1"/>
  <c r="CA126" i="72"/>
  <c r="CC126" i="72" s="1"/>
  <c r="CC125" i="72"/>
  <c r="U107" i="72"/>
  <c r="S108" i="72"/>
  <c r="U108" i="72" s="1"/>
  <c r="AC115" i="72"/>
  <c r="AA116" i="72"/>
  <c r="AC116" i="72" s="1"/>
  <c r="EA152" i="72" l="1"/>
  <c r="EC152" i="72" s="1"/>
  <c r="EC151" i="72"/>
  <c r="DW149" i="72"/>
  <c r="DS151" i="72"/>
  <c r="DM127" i="72"/>
  <c r="DK128" i="72"/>
  <c r="DM128" i="72" s="1"/>
  <c r="DI125" i="72"/>
  <c r="DG126" i="72"/>
  <c r="DI126" i="72" s="1"/>
  <c r="DE123" i="72"/>
  <c r="DC124" i="72"/>
  <c r="DE124" i="72" s="1"/>
  <c r="DA123" i="72"/>
  <c r="CY124" i="72"/>
  <c r="DA124" i="72" s="1"/>
  <c r="BS124" i="72"/>
  <c r="BU124" i="72" s="1"/>
  <c r="BU123" i="72"/>
  <c r="CQ137" i="72"/>
  <c r="BY125" i="72"/>
  <c r="BW126" i="72"/>
  <c r="BY126" i="72" s="1"/>
  <c r="CE127" i="72"/>
  <c r="AI121" i="72"/>
  <c r="S109" i="72"/>
  <c r="CI131" i="72"/>
  <c r="C109" i="72"/>
  <c r="AE116" i="72"/>
  <c r="AG116" i="72" s="1"/>
  <c r="AG115" i="72"/>
  <c r="CO137" i="72"/>
  <c r="CM138" i="72"/>
  <c r="CO138" i="72" s="1"/>
  <c r="W114" i="72"/>
  <c r="Y114" i="72" s="1"/>
  <c r="Y113" i="72"/>
  <c r="CU140" i="72"/>
  <c r="CW140" i="72" s="1"/>
  <c r="CW139" i="72"/>
  <c r="CA127" i="72"/>
  <c r="G110" i="72"/>
  <c r="I110" i="72" s="1"/>
  <c r="I109" i="72"/>
  <c r="AA117" i="72"/>
  <c r="AQ121" i="72"/>
  <c r="AM122" i="72"/>
  <c r="AO122" i="72" s="1"/>
  <c r="AO121" i="72"/>
  <c r="K109" i="72"/>
  <c r="Q113" i="72"/>
  <c r="O114" i="72"/>
  <c r="Q114" i="72" s="1"/>
  <c r="DY149" i="72" l="1"/>
  <c r="DW150" i="72"/>
  <c r="DY150" i="72" s="1"/>
  <c r="DS152" i="72"/>
  <c r="DU152" i="72" s="1"/>
  <c r="DU151" i="72"/>
  <c r="DK129" i="72"/>
  <c r="DG127" i="72"/>
  <c r="DC125" i="72"/>
  <c r="CY125" i="72"/>
  <c r="E109" i="72"/>
  <c r="C110" i="72"/>
  <c r="E110" i="72" s="1"/>
  <c r="S110" i="72"/>
  <c r="U110" i="72" s="1"/>
  <c r="U109" i="72"/>
  <c r="CG127" i="72"/>
  <c r="CE128" i="72"/>
  <c r="CG128" i="72" s="1"/>
  <c r="CQ138" i="72"/>
  <c r="CS138" i="72" s="1"/>
  <c r="CS137" i="72"/>
  <c r="K110" i="72"/>
  <c r="M110" i="72" s="1"/>
  <c r="M109" i="72"/>
  <c r="AS121" i="72"/>
  <c r="AQ122" i="72"/>
  <c r="AS122" i="72" s="1"/>
  <c r="CA128" i="72"/>
  <c r="CC128" i="72" s="1"/>
  <c r="CC127" i="72"/>
  <c r="W115" i="72"/>
  <c r="BW127" i="72"/>
  <c r="O115" i="72"/>
  <c r="CM139" i="72"/>
  <c r="AE117" i="72"/>
  <c r="CK131" i="72"/>
  <c r="CI132" i="72"/>
  <c r="CK132" i="72" s="1"/>
  <c r="AK121" i="72"/>
  <c r="AI122" i="72"/>
  <c r="AK122" i="72" s="1"/>
  <c r="BS125" i="72"/>
  <c r="AM123" i="72"/>
  <c r="AC117" i="72"/>
  <c r="AA118" i="72"/>
  <c r="AC118" i="72" s="1"/>
  <c r="G111" i="72"/>
  <c r="CU141" i="72"/>
  <c r="DW151" i="72" l="1"/>
  <c r="DM129" i="72"/>
  <c r="DK130" i="72"/>
  <c r="DM130" i="72" s="1"/>
  <c r="DI127" i="72"/>
  <c r="DG128" i="72"/>
  <c r="DI128" i="72" s="1"/>
  <c r="DE125" i="72"/>
  <c r="DC126" i="72"/>
  <c r="DE126" i="72" s="1"/>
  <c r="DA125" i="72"/>
  <c r="CY126" i="72"/>
  <c r="DA126" i="72" s="1"/>
  <c r="G112" i="72"/>
  <c r="I112" i="72" s="1"/>
  <c r="I111" i="72"/>
  <c r="AI123" i="72"/>
  <c r="CE129" i="72"/>
  <c r="CW141" i="72"/>
  <c r="CU142" i="72"/>
  <c r="CW142" i="72" s="1"/>
  <c r="CI133" i="72"/>
  <c r="AQ123" i="72"/>
  <c r="BU125" i="72"/>
  <c r="BS126" i="72"/>
  <c r="BU126" i="72" s="1"/>
  <c r="CO139" i="72"/>
  <c r="CM140" i="72"/>
  <c r="CO140" i="72" s="1"/>
  <c r="Q115" i="72"/>
  <c r="O116" i="72"/>
  <c r="Q116" i="72" s="1"/>
  <c r="W116" i="72"/>
  <c r="Y116" i="72" s="1"/>
  <c r="Y115" i="72"/>
  <c r="CQ139" i="72"/>
  <c r="S111" i="72"/>
  <c r="AM124" i="72"/>
  <c r="AO124" i="72" s="1"/>
  <c r="AO123" i="72"/>
  <c r="C111" i="72"/>
  <c r="AA119" i="72"/>
  <c r="AE118" i="72"/>
  <c r="AG118" i="72" s="1"/>
  <c r="AG117" i="72"/>
  <c r="BY127" i="72"/>
  <c r="BW128" i="72"/>
  <c r="BY128" i="72" s="1"/>
  <c r="CA129" i="72"/>
  <c r="K111" i="72"/>
  <c r="DY151" i="72" l="1"/>
  <c r="DW152" i="72"/>
  <c r="DY152" i="72" s="1"/>
  <c r="DK131" i="72"/>
  <c r="DG129" i="72"/>
  <c r="DC127" i="72"/>
  <c r="CY127" i="72"/>
  <c r="AC119" i="72"/>
  <c r="AA120" i="72"/>
  <c r="AC120" i="72" s="1"/>
  <c r="CU143" i="72"/>
  <c r="AM125" i="72"/>
  <c r="CS139" i="72"/>
  <c r="CQ140" i="72"/>
  <c r="CS140" i="72" s="1"/>
  <c r="AK123" i="72"/>
  <c r="AI124" i="72"/>
  <c r="AK124" i="72" s="1"/>
  <c r="CA130" i="72"/>
  <c r="CC130" i="72" s="1"/>
  <c r="CC129" i="72"/>
  <c r="AE119" i="72"/>
  <c r="CM141" i="72"/>
  <c r="K112" i="72"/>
  <c r="M112" i="72" s="1"/>
  <c r="M111" i="72"/>
  <c r="O117" i="72"/>
  <c r="BS127" i="72"/>
  <c r="AS123" i="72"/>
  <c r="AQ124" i="72"/>
  <c r="AS124" i="72" s="1"/>
  <c r="BW129" i="72"/>
  <c r="C112" i="72"/>
  <c r="E112" i="72" s="1"/>
  <c r="E111" i="72"/>
  <c r="U111" i="72"/>
  <c r="S112" i="72"/>
  <c r="U112" i="72" s="1"/>
  <c r="W117" i="72"/>
  <c r="CI134" i="72"/>
  <c r="CK134" i="72" s="1"/>
  <c r="CK133" i="72"/>
  <c r="CG129" i="72"/>
  <c r="CE130" i="72"/>
  <c r="CG130" i="72" s="1"/>
  <c r="G113" i="72"/>
  <c r="DM131" i="72" l="1"/>
  <c r="DK132" i="72"/>
  <c r="DM132" i="72" s="1"/>
  <c r="DI129" i="72"/>
  <c r="DG130" i="72"/>
  <c r="DI130" i="72" s="1"/>
  <c r="DE127" i="72"/>
  <c r="DC128" i="72"/>
  <c r="DE128" i="72" s="1"/>
  <c r="DA127" i="72"/>
  <c r="CY128" i="72"/>
  <c r="DA128" i="72" s="1"/>
  <c r="C113" i="72"/>
  <c r="Q117" i="72"/>
  <c r="O118" i="72"/>
  <c r="Q118" i="72" s="1"/>
  <c r="AA121" i="72"/>
  <c r="G114" i="72"/>
  <c r="I114" i="72" s="1"/>
  <c r="I113" i="72"/>
  <c r="CI135" i="72"/>
  <c r="BW130" i="72"/>
  <c r="BY130" i="72" s="1"/>
  <c r="BY129" i="72"/>
  <c r="BS128" i="72"/>
  <c r="BU128" i="72" s="1"/>
  <c r="BU127" i="72"/>
  <c r="K113" i="72"/>
  <c r="AI125" i="72"/>
  <c r="CQ141" i="72"/>
  <c r="CE131" i="72"/>
  <c r="AQ125" i="72"/>
  <c r="AE120" i="72"/>
  <c r="AG120" i="72" s="1"/>
  <c r="AG119" i="72"/>
  <c r="CU144" i="72"/>
  <c r="CW144" i="72" s="1"/>
  <c r="CW143" i="72"/>
  <c r="W118" i="72"/>
  <c r="Y118" i="72" s="1"/>
  <c r="Y117" i="72"/>
  <c r="S113" i="72"/>
  <c r="CO141" i="72"/>
  <c r="CM142" i="72"/>
  <c r="CO142" i="72" s="1"/>
  <c r="CA131" i="72"/>
  <c r="AM126" i="72"/>
  <c r="AO126" i="72" s="1"/>
  <c r="AO125" i="72"/>
  <c r="DK133" i="72" l="1"/>
  <c r="DG131" i="72"/>
  <c r="DC129" i="72"/>
  <c r="CY129" i="72"/>
  <c r="AE121" i="72"/>
  <c r="CQ142" i="72"/>
  <c r="CS142" i="72" s="1"/>
  <c r="CS141" i="72"/>
  <c r="BW131" i="72"/>
  <c r="G115" i="72"/>
  <c r="CE132" i="72"/>
  <c r="CG132" i="72" s="1"/>
  <c r="CG131" i="72"/>
  <c r="CC131" i="72"/>
  <c r="CA132" i="72"/>
  <c r="CC132" i="72" s="1"/>
  <c r="U113" i="72"/>
  <c r="S114" i="72"/>
  <c r="U114" i="72" s="1"/>
  <c r="CU145" i="72"/>
  <c r="AK125" i="72"/>
  <c r="AI126" i="72"/>
  <c r="AK126" i="72" s="1"/>
  <c r="BS129" i="72"/>
  <c r="CI136" i="72"/>
  <c r="CK136" i="72" s="1"/>
  <c r="CK135" i="72"/>
  <c r="AM127" i="72"/>
  <c r="W119" i="72"/>
  <c r="M113" i="72"/>
  <c r="K114" i="72"/>
  <c r="M114" i="72" s="1"/>
  <c r="O119" i="72"/>
  <c r="CM143" i="72"/>
  <c r="AS125" i="72"/>
  <c r="AQ126" i="72"/>
  <c r="AS126" i="72" s="1"/>
  <c r="AC121" i="72"/>
  <c r="AA122" i="72"/>
  <c r="AC122" i="72" s="1"/>
  <c r="E113" i="72"/>
  <c r="C114" i="72"/>
  <c r="E114" i="72" s="1"/>
  <c r="DM133" i="72" l="1"/>
  <c r="DK134" i="72"/>
  <c r="DM134" i="72" s="1"/>
  <c r="DI131" i="72"/>
  <c r="DG132" i="72"/>
  <c r="DI132" i="72" s="1"/>
  <c r="DE129" i="72"/>
  <c r="DC130" i="72"/>
  <c r="DE130" i="72" s="1"/>
  <c r="DA129" i="72"/>
  <c r="CY130" i="72"/>
  <c r="DA130" i="72" s="1"/>
  <c r="AQ127" i="72"/>
  <c r="AA123" i="72"/>
  <c r="Q119" i="72"/>
  <c r="O120" i="72"/>
  <c r="Q120" i="72" s="1"/>
  <c r="W120" i="72"/>
  <c r="Y120" i="72" s="1"/>
  <c r="Y119" i="72"/>
  <c r="CI137" i="72"/>
  <c r="G116" i="72"/>
  <c r="I116" i="72" s="1"/>
  <c r="I115" i="72"/>
  <c r="CQ143" i="72"/>
  <c r="K115" i="72"/>
  <c r="CA133" i="72"/>
  <c r="CE133" i="72"/>
  <c r="C115" i="72"/>
  <c r="CO143" i="72"/>
  <c r="CM144" i="72"/>
  <c r="CO144" i="72" s="1"/>
  <c r="AM128" i="72"/>
  <c r="AO128" i="72" s="1"/>
  <c r="AO127" i="72"/>
  <c r="BU129" i="72"/>
  <c r="BS130" i="72"/>
  <c r="BU130" i="72" s="1"/>
  <c r="CW145" i="72"/>
  <c r="CU146" i="72"/>
  <c r="CW146" i="72" s="1"/>
  <c r="BY131" i="72"/>
  <c r="BW132" i="72"/>
  <c r="BY132" i="72" s="1"/>
  <c r="AE122" i="72"/>
  <c r="AG122" i="72" s="1"/>
  <c r="AG121" i="72"/>
  <c r="AI127" i="72"/>
  <c r="S115" i="72"/>
  <c r="DK135" i="72" l="1"/>
  <c r="DG133" i="72"/>
  <c r="DC131" i="72"/>
  <c r="CY131" i="72"/>
  <c r="BW133" i="72"/>
  <c r="U115" i="72"/>
  <c r="S116" i="72"/>
  <c r="U116" i="72" s="1"/>
  <c r="CU147" i="72"/>
  <c r="K116" i="72"/>
  <c r="M116" i="72" s="1"/>
  <c r="M115" i="72"/>
  <c r="AE123" i="72"/>
  <c r="AM129" i="72"/>
  <c r="E115" i="72"/>
  <c r="C116" i="72"/>
  <c r="E116" i="72" s="1"/>
  <c r="CA134" i="72"/>
  <c r="CC134" i="72" s="1"/>
  <c r="CC133" i="72"/>
  <c r="G117" i="72"/>
  <c r="W121" i="72"/>
  <c r="AC123" i="72"/>
  <c r="AA124" i="72"/>
  <c r="AC124" i="72" s="1"/>
  <c r="AK127" i="72"/>
  <c r="AI128" i="72"/>
  <c r="AK128" i="72" s="1"/>
  <c r="BS131" i="72"/>
  <c r="CM145" i="72"/>
  <c r="O121" i="72"/>
  <c r="CG133" i="72"/>
  <c r="CE134" i="72"/>
  <c r="CG134" i="72" s="1"/>
  <c r="CS143" i="72"/>
  <c r="CQ144" i="72"/>
  <c r="CS144" i="72" s="1"/>
  <c r="CI138" i="72"/>
  <c r="CK138" i="72" s="1"/>
  <c r="CK137" i="72"/>
  <c r="AS127" i="72"/>
  <c r="AQ128" i="72"/>
  <c r="AS128" i="72" s="1"/>
  <c r="DM135" i="72" l="1"/>
  <c r="DK136" i="72"/>
  <c r="DM136" i="72" s="1"/>
  <c r="DI133" i="72"/>
  <c r="DG134" i="72"/>
  <c r="DI134" i="72" s="1"/>
  <c r="DE131" i="72"/>
  <c r="DC132" i="72"/>
  <c r="DE132" i="72" s="1"/>
  <c r="DA131" i="72"/>
  <c r="CY132" i="72"/>
  <c r="DA132" i="72" s="1"/>
  <c r="C117" i="72"/>
  <c r="S117" i="72"/>
  <c r="CE135" i="72"/>
  <c r="Q121" i="72"/>
  <c r="O122" i="72"/>
  <c r="Q122" i="72" s="1"/>
  <c r="BU131" i="72"/>
  <c r="BS132" i="72"/>
  <c r="BU132" i="72" s="1"/>
  <c r="G118" i="72"/>
  <c r="I118" i="72" s="1"/>
  <c r="I117" i="72"/>
  <c r="K117" i="72"/>
  <c r="AQ129" i="72"/>
  <c r="CI139" i="72"/>
  <c r="AI129" i="72"/>
  <c r="AE124" i="72"/>
  <c r="AG124" i="72" s="1"/>
  <c r="AG123" i="72"/>
  <c r="AA125" i="72"/>
  <c r="CQ145" i="72"/>
  <c r="CO145" i="72"/>
  <c r="CM146" i="72"/>
  <c r="CO146" i="72" s="1"/>
  <c r="W122" i="72"/>
  <c r="Y122" i="72" s="1"/>
  <c r="Y121" i="72"/>
  <c r="CA135" i="72"/>
  <c r="AM130" i="72"/>
  <c r="AO130" i="72" s="1"/>
  <c r="AO129" i="72"/>
  <c r="CU148" i="72"/>
  <c r="CW148" i="72" s="1"/>
  <c r="CW147" i="72"/>
  <c r="BY133" i="72"/>
  <c r="BW134" i="72"/>
  <c r="BY134" i="72" s="1"/>
  <c r="DK137" i="72" l="1"/>
  <c r="DG135" i="72"/>
  <c r="DC133" i="72"/>
  <c r="CY133" i="72"/>
  <c r="BW135" i="72"/>
  <c r="AM131" i="72"/>
  <c r="CM147" i="72"/>
  <c r="AE125" i="72"/>
  <c r="BS133" i="72"/>
  <c r="CA136" i="72"/>
  <c r="CC136" i="72" s="1"/>
  <c r="CC135" i="72"/>
  <c r="AC125" i="72"/>
  <c r="AA126" i="72"/>
  <c r="AC126" i="72" s="1"/>
  <c r="CI140" i="72"/>
  <c r="CK140" i="72" s="1"/>
  <c r="CK139" i="72"/>
  <c r="K118" i="72"/>
  <c r="M118" i="72" s="1"/>
  <c r="M117" i="72"/>
  <c r="CG135" i="72"/>
  <c r="CE136" i="72"/>
  <c r="CG136" i="72" s="1"/>
  <c r="E117" i="72"/>
  <c r="C118" i="72"/>
  <c r="E118" i="72" s="1"/>
  <c r="AK129" i="72"/>
  <c r="AI130" i="72"/>
  <c r="AK130" i="72" s="1"/>
  <c r="O123" i="72"/>
  <c r="W123" i="72"/>
  <c r="CQ146" i="72"/>
  <c r="CS146" i="72" s="1"/>
  <c r="CS145" i="72"/>
  <c r="AS129" i="72"/>
  <c r="AQ130" i="72"/>
  <c r="AS130" i="72" s="1"/>
  <c r="G119" i="72"/>
  <c r="U117" i="72"/>
  <c r="S118" i="72"/>
  <c r="U118" i="72" s="1"/>
  <c r="DM137" i="72" l="1"/>
  <c r="DK138" i="72"/>
  <c r="DM138" i="72" s="1"/>
  <c r="DI135" i="72"/>
  <c r="DG136" i="72"/>
  <c r="DI136" i="72" s="1"/>
  <c r="DE133" i="72"/>
  <c r="DC134" i="72"/>
  <c r="DE134" i="72" s="1"/>
  <c r="DA133" i="72"/>
  <c r="CY134" i="72"/>
  <c r="DA134" i="72" s="1"/>
  <c r="AI131" i="72"/>
  <c r="CE137" i="72"/>
  <c r="AO131" i="72"/>
  <c r="AM132" i="72"/>
  <c r="AO132" i="72" s="1"/>
  <c r="W124" i="72"/>
  <c r="Y124" i="72" s="1"/>
  <c r="Y123" i="72"/>
  <c r="BS134" i="72"/>
  <c r="BU134" i="72" s="1"/>
  <c r="BU133" i="72"/>
  <c r="CO147" i="72"/>
  <c r="CM148" i="72"/>
  <c r="CO148" i="72" s="1"/>
  <c r="C119" i="72"/>
  <c r="AA127" i="72"/>
  <c r="CA137" i="72"/>
  <c r="AQ131" i="72"/>
  <c r="S119" i="72"/>
  <c r="G120" i="72"/>
  <c r="I120" i="72" s="1"/>
  <c r="I119" i="72"/>
  <c r="CQ147" i="72"/>
  <c r="Q123" i="72"/>
  <c r="O124" i="72"/>
  <c r="Q124" i="72" s="1"/>
  <c r="K119" i="72"/>
  <c r="AG125" i="72"/>
  <c r="AE126" i="72"/>
  <c r="AG126" i="72" s="1"/>
  <c r="BY135" i="72"/>
  <c r="BW136" i="72"/>
  <c r="BY136" i="72" s="1"/>
  <c r="DK139" i="72" l="1"/>
  <c r="DG137" i="72"/>
  <c r="DC135" i="72"/>
  <c r="CY135" i="72"/>
  <c r="BW137" i="72"/>
  <c r="K120" i="72"/>
  <c r="M120" i="72" s="1"/>
  <c r="M119" i="72"/>
  <c r="CS147" i="72"/>
  <c r="CQ148" i="72"/>
  <c r="CS148" i="72" s="1"/>
  <c r="U119" i="72"/>
  <c r="S120" i="72"/>
  <c r="U120" i="72" s="1"/>
  <c r="CA138" i="72"/>
  <c r="CC138" i="72" s="1"/>
  <c r="CC137" i="72"/>
  <c r="E119" i="72"/>
  <c r="C120" i="72"/>
  <c r="E120" i="72" s="1"/>
  <c r="W125" i="72"/>
  <c r="AE127" i="72"/>
  <c r="O125" i="72"/>
  <c r="AM133" i="72"/>
  <c r="CG137" i="72"/>
  <c r="CE138" i="72"/>
  <c r="CG138" i="72" s="1"/>
  <c r="G121" i="72"/>
  <c r="AS131" i="72"/>
  <c r="AQ132" i="72"/>
  <c r="AS132" i="72" s="1"/>
  <c r="AC127" i="72"/>
  <c r="AA128" i="72"/>
  <c r="AC128" i="72" s="1"/>
  <c r="BS135" i="72"/>
  <c r="AK131" i="72"/>
  <c r="AI132" i="72"/>
  <c r="AK132" i="72" s="1"/>
  <c r="DM139" i="72" l="1"/>
  <c r="DK140" i="72"/>
  <c r="DM140" i="72" s="1"/>
  <c r="DI137" i="72"/>
  <c r="DG138" i="72"/>
  <c r="DI138" i="72" s="1"/>
  <c r="DE135" i="72"/>
  <c r="DC136" i="72"/>
  <c r="DE136" i="72" s="1"/>
  <c r="DA135" i="72"/>
  <c r="CY136" i="72"/>
  <c r="DA136" i="72" s="1"/>
  <c r="AE128" i="72"/>
  <c r="AG128" i="72" s="1"/>
  <c r="AG127" i="72"/>
  <c r="C121" i="72"/>
  <c r="S121" i="72"/>
  <c r="AA129" i="72"/>
  <c r="K121" i="72"/>
  <c r="G122" i="72"/>
  <c r="I122" i="72" s="1"/>
  <c r="I121" i="72"/>
  <c r="Q125" i="72"/>
  <c r="O126" i="72"/>
  <c r="Q126" i="72" s="1"/>
  <c r="W126" i="72"/>
  <c r="Y126" i="72" s="1"/>
  <c r="Y125" i="72"/>
  <c r="AI133" i="72"/>
  <c r="BU135" i="72"/>
  <c r="BS136" i="72"/>
  <c r="BU136" i="72" s="1"/>
  <c r="AQ133" i="72"/>
  <c r="AO133" i="72"/>
  <c r="AM134" i="72"/>
  <c r="AO134" i="72" s="1"/>
  <c r="BY137" i="72"/>
  <c r="BW138" i="72"/>
  <c r="BY138" i="72" s="1"/>
  <c r="DK141" i="72" l="1"/>
  <c r="DG139" i="72"/>
  <c r="DC137" i="72"/>
  <c r="CY137" i="72"/>
  <c r="W127" i="72"/>
  <c r="O127" i="72"/>
  <c r="AQ134" i="72"/>
  <c r="AS134" i="72" s="1"/>
  <c r="AQ135" i="72" s="1"/>
  <c r="AS133" i="72"/>
  <c r="AK133" i="72"/>
  <c r="AI134" i="72"/>
  <c r="AK134" i="72" s="1"/>
  <c r="K122" i="72"/>
  <c r="M122" i="72" s="1"/>
  <c r="M121" i="72"/>
  <c r="AC129" i="72"/>
  <c r="AA130" i="72"/>
  <c r="AC130" i="72" s="1"/>
  <c r="E121" i="72"/>
  <c r="C122" i="72"/>
  <c r="E122" i="72" s="1"/>
  <c r="AM135" i="72"/>
  <c r="G123" i="72"/>
  <c r="U121" i="72"/>
  <c r="S122" i="72"/>
  <c r="U122" i="72" s="1"/>
  <c r="AE129" i="72"/>
  <c r="DM141" i="72" l="1"/>
  <c r="DK142" i="72"/>
  <c r="DM142" i="72" s="1"/>
  <c r="DI139" i="72"/>
  <c r="DG140" i="72"/>
  <c r="DI140" i="72" s="1"/>
  <c r="DE137" i="72"/>
  <c r="DC138" i="72"/>
  <c r="DE138" i="72" s="1"/>
  <c r="DA137" i="72"/>
  <c r="CY138" i="72"/>
  <c r="DA138" i="72" s="1"/>
  <c r="S123" i="72"/>
  <c r="K123" i="72"/>
  <c r="AA131" i="72"/>
  <c r="W128" i="72"/>
  <c r="Y128" i="72" s="1"/>
  <c r="Y127" i="72"/>
  <c r="AM136" i="72"/>
  <c r="AO136" i="72" s="1"/>
  <c r="AO135" i="72"/>
  <c r="AI135" i="72"/>
  <c r="AE130" i="72"/>
  <c r="AG130" i="72" s="1"/>
  <c r="AG129" i="72"/>
  <c r="G124" i="72"/>
  <c r="I124" i="72" s="1"/>
  <c r="I123" i="72"/>
  <c r="C123" i="72"/>
  <c r="Q127" i="72"/>
  <c r="O128" i="72"/>
  <c r="Q128" i="72" s="1"/>
  <c r="DK143" i="72" l="1"/>
  <c r="DG141" i="72"/>
  <c r="DC139" i="72"/>
  <c r="CY139" i="72"/>
  <c r="G125" i="72"/>
  <c r="AS135" i="72"/>
  <c r="AQ136" i="72"/>
  <c r="AS136" i="72" s="1"/>
  <c r="K124" i="72"/>
  <c r="M124" i="72" s="1"/>
  <c r="M123" i="72"/>
  <c r="O129" i="72"/>
  <c r="AI136" i="72"/>
  <c r="AK136" i="72" s="1"/>
  <c r="AK135" i="72"/>
  <c r="E123" i="72"/>
  <c r="C124" i="72"/>
  <c r="E124" i="72" s="1"/>
  <c r="AE131" i="72"/>
  <c r="W129" i="72"/>
  <c r="AC131" i="72"/>
  <c r="AA132" i="72"/>
  <c r="AC132" i="72" s="1"/>
  <c r="U123" i="72"/>
  <c r="S124" i="72"/>
  <c r="U124" i="72" s="1"/>
  <c r="DM143" i="72" l="1"/>
  <c r="DK144" i="72"/>
  <c r="DM144" i="72" s="1"/>
  <c r="DI141" i="72"/>
  <c r="DG142" i="72"/>
  <c r="DI142" i="72" s="1"/>
  <c r="DE139" i="72"/>
  <c r="DC140" i="72"/>
  <c r="DE140" i="72" s="1"/>
  <c r="DA139" i="72"/>
  <c r="CY140" i="72"/>
  <c r="DA140" i="72" s="1"/>
  <c r="W130" i="72"/>
  <c r="Y130" i="72" s="1"/>
  <c r="Y129" i="72"/>
  <c r="AA133" i="72"/>
  <c r="AE132" i="72"/>
  <c r="AG132" i="72" s="1"/>
  <c r="AG131" i="72"/>
  <c r="K125" i="72"/>
  <c r="G126" i="72"/>
  <c r="I126" i="72" s="1"/>
  <c r="I125" i="72"/>
  <c r="S125" i="72"/>
  <c r="C125" i="72"/>
  <c r="Q129" i="72"/>
  <c r="O130" i="72"/>
  <c r="Q130" i="72" s="1"/>
  <c r="DK145" i="72" l="1"/>
  <c r="DG143" i="72"/>
  <c r="DC141" i="72"/>
  <c r="CY141" i="72"/>
  <c r="W131" i="72"/>
  <c r="U125" i="72"/>
  <c r="S126" i="72"/>
  <c r="U126" i="72" s="1"/>
  <c r="K126" i="72"/>
  <c r="M126" i="72" s="1"/>
  <c r="M125" i="72"/>
  <c r="AA134" i="72"/>
  <c r="AC134" i="72" s="1"/>
  <c r="AC133" i="72"/>
  <c r="O131" i="72"/>
  <c r="E125" i="72"/>
  <c r="C126" i="72"/>
  <c r="E126" i="72" s="1"/>
  <c r="G127" i="72"/>
  <c r="AE133" i="72"/>
  <c r="DM145" i="72" l="1"/>
  <c r="DK146" i="72"/>
  <c r="DM146" i="72" s="1"/>
  <c r="DI143" i="72"/>
  <c r="DG144" i="72"/>
  <c r="DI144" i="72" s="1"/>
  <c r="DE141" i="72"/>
  <c r="DC142" i="72"/>
  <c r="DE142" i="72" s="1"/>
  <c r="DA141" i="72"/>
  <c r="CY142" i="72"/>
  <c r="DA142" i="72" s="1"/>
  <c r="AE134" i="72"/>
  <c r="AG134" i="72" s="1"/>
  <c r="AG133" i="72"/>
  <c r="S127" i="72"/>
  <c r="I127" i="72"/>
  <c r="G128" i="72"/>
  <c r="I128" i="72" s="1"/>
  <c r="Q131" i="72"/>
  <c r="O132" i="72"/>
  <c r="Q132" i="72" s="1"/>
  <c r="C127" i="72"/>
  <c r="K127" i="72"/>
  <c r="Y131" i="72"/>
  <c r="W132" i="72"/>
  <c r="Y132" i="72" s="1"/>
  <c r="DK147" i="72" l="1"/>
  <c r="DG145" i="72"/>
  <c r="DC143" i="72"/>
  <c r="CY143" i="72"/>
  <c r="K128" i="72"/>
  <c r="M128" i="72" s="1"/>
  <c r="M127" i="72"/>
  <c r="W133" i="72"/>
  <c r="G129" i="72"/>
  <c r="C128" i="72"/>
  <c r="E128" i="72" s="1"/>
  <c r="E127" i="72"/>
  <c r="U127" i="72"/>
  <c r="S128" i="72"/>
  <c r="U128" i="72" s="1"/>
  <c r="O133" i="72"/>
  <c r="DM147" i="72" l="1"/>
  <c r="DK148" i="72"/>
  <c r="DM148" i="72" s="1"/>
  <c r="DI145" i="72"/>
  <c r="DG146" i="72"/>
  <c r="DI146" i="72" s="1"/>
  <c r="DE143" i="72"/>
  <c r="DC144" i="72"/>
  <c r="DE144" i="72" s="1"/>
  <c r="DA143" i="72"/>
  <c r="CY144" i="72"/>
  <c r="DA144" i="72" s="1"/>
  <c r="Q133" i="72"/>
  <c r="O134" i="72"/>
  <c r="Q134" i="72" s="1"/>
  <c r="K129" i="72"/>
  <c r="S129" i="72"/>
  <c r="C129" i="72"/>
  <c r="W134" i="72"/>
  <c r="Y134" i="72" s="1"/>
  <c r="Y133" i="72"/>
  <c r="G130" i="72"/>
  <c r="I130" i="72" s="1"/>
  <c r="I129" i="72"/>
  <c r="L129" i="72"/>
  <c r="L130" i="72" s="1"/>
  <c r="DK149" i="72" l="1"/>
  <c r="DG147" i="72"/>
  <c r="DC145" i="72"/>
  <c r="CY145" i="72"/>
  <c r="E129" i="72"/>
  <c r="C130" i="72"/>
  <c r="E130" i="72" s="1"/>
  <c r="M129" i="72"/>
  <c r="K130" i="72"/>
  <c r="M130" i="72" s="1"/>
  <c r="G131" i="72"/>
  <c r="U129" i="72"/>
  <c r="S130" i="72"/>
  <c r="U130" i="72" s="1"/>
  <c r="DM149" i="72" l="1"/>
  <c r="DK150" i="72"/>
  <c r="DM150" i="72" s="1"/>
  <c r="DI147" i="72"/>
  <c r="DG148" i="72"/>
  <c r="DI148" i="72" s="1"/>
  <c r="DE145" i="72"/>
  <c r="DC146" i="72"/>
  <c r="DE146" i="72" s="1"/>
  <c r="DA145" i="72"/>
  <c r="CY146" i="72"/>
  <c r="DA146" i="72" s="1"/>
  <c r="I131" i="72"/>
  <c r="G132" i="72"/>
  <c r="I132" i="72" s="1"/>
  <c r="C131" i="72"/>
  <c r="S131" i="72"/>
  <c r="DG149" i="72" l="1"/>
  <c r="DC147" i="72"/>
  <c r="CY147" i="72"/>
  <c r="U131" i="72"/>
  <c r="S132" i="72"/>
  <c r="U132" i="72" s="1"/>
  <c r="E131" i="72"/>
  <c r="C132" i="72"/>
  <c r="E132" i="72" s="1"/>
  <c r="DI149" i="72" l="1"/>
  <c r="DG150" i="72"/>
  <c r="DI150" i="72" s="1"/>
  <c r="DE147" i="72"/>
  <c r="DC148" i="72"/>
  <c r="DE148" i="72" s="1"/>
  <c r="DA147" i="72"/>
  <c r="CY148" i="72"/>
  <c r="DA148" i="72" s="1"/>
  <c r="DC149" i="72" l="1"/>
  <c r="CY149" i="72"/>
  <c r="DE149" i="72" l="1"/>
  <c r="DC150" i="72"/>
  <c r="DE150" i="72" s="1"/>
  <c r="DA149" i="72"/>
  <c r="CY150" i="72"/>
  <c r="DA150" i="72" s="1"/>
  <c r="H117" i="48" l="1"/>
  <c r="H257" i="48"/>
  <c r="H222" i="48" l="1"/>
  <c r="H249" i="48" s="1"/>
  <c r="I16" i="54"/>
  <c r="I57" i="54" s="1"/>
  <c r="I84" i="54" s="1"/>
  <c r="I86" i="54" s="1"/>
  <c r="H258" i="48"/>
  <c r="I9" i="54" l="1"/>
  <c r="H292" i="48" s="1"/>
  <c r="F198" i="65"/>
  <c r="G198" i="65" s="1"/>
  <c r="H198" i="65" s="1"/>
  <c r="H251" i="48"/>
  <c r="H263" i="48"/>
  <c r="H264" i="48" l="1"/>
  <c r="H266" i="48" l="1"/>
  <c r="F197" i="65"/>
  <c r="H273" i="48" l="1"/>
  <c r="G197" i="65"/>
  <c r="H197" i="65" s="1"/>
  <c r="F199" i="65"/>
  <c r="G199" i="65" s="1"/>
  <c r="HM28" i="72" l="1"/>
  <c r="H199" i="65"/>
  <c r="H274" i="48"/>
  <c r="H280" i="48" s="1"/>
  <c r="HP61" i="72" l="1"/>
  <c r="HM29" i="72"/>
  <c r="HP62" i="72" s="1"/>
  <c r="H298" i="48" l="1"/>
  <c r="H291" i="48"/>
  <c r="H283" i="48"/>
  <c r="H286" i="48" l="1"/>
  <c r="H285" i="48"/>
  <c r="H287" i="48"/>
  <c r="H293" i="48"/>
  <c r="H295" i="48" l="1"/>
  <c r="H296" i="48"/>
  <c r="L17" i="72"/>
  <c r="L11" i="72"/>
  <c r="C28" i="72" s="1"/>
  <c r="L12" i="72" l="1"/>
  <c r="F63" i="72"/>
  <c r="F89" i="72"/>
  <c r="F47" i="72"/>
  <c r="F69" i="72"/>
  <c r="F61" i="72"/>
  <c r="F87" i="72"/>
  <c r="F95" i="72"/>
  <c r="F103" i="72"/>
  <c r="F111" i="72"/>
  <c r="F119" i="72"/>
  <c r="F127" i="72"/>
  <c r="F91" i="72"/>
  <c r="F55" i="72"/>
  <c r="F65" i="72"/>
  <c r="F57" i="72"/>
  <c r="F73" i="72"/>
  <c r="F67" i="72"/>
  <c r="G28" i="72"/>
  <c r="F97" i="72"/>
  <c r="F105" i="72"/>
  <c r="F113" i="72"/>
  <c r="F121" i="72"/>
  <c r="F129" i="72"/>
  <c r="F59" i="72"/>
  <c r="F51" i="72"/>
  <c r="F43" i="72"/>
  <c r="F79" i="72"/>
  <c r="F81" i="72"/>
  <c r="F77" i="72"/>
  <c r="F83" i="72"/>
  <c r="F99" i="72"/>
  <c r="F107" i="72"/>
  <c r="F115" i="72"/>
  <c r="F123" i="72"/>
  <c r="F131" i="72"/>
  <c r="F49" i="72"/>
  <c r="F53" i="72"/>
  <c r="F45" i="72"/>
  <c r="F85" i="72"/>
  <c r="F71" i="72"/>
  <c r="F75" i="72"/>
  <c r="F93" i="72"/>
  <c r="F101" i="72"/>
  <c r="F109" i="72"/>
  <c r="F117" i="72"/>
  <c r="F125" i="72"/>
  <c r="C29" i="72" l="1"/>
  <c r="L13" i="72"/>
  <c r="J91" i="72"/>
  <c r="J67" i="72"/>
  <c r="J89" i="72"/>
  <c r="J47" i="72"/>
  <c r="J83" i="72"/>
  <c r="J63" i="72"/>
  <c r="J69" i="72"/>
  <c r="J97" i="72"/>
  <c r="J105" i="72"/>
  <c r="J113" i="72"/>
  <c r="J121" i="72"/>
  <c r="J129" i="72"/>
  <c r="J93" i="72"/>
  <c r="J51" i="72"/>
  <c r="J55" i="72"/>
  <c r="J77" i="72"/>
  <c r="J59" i="72"/>
  <c r="J87" i="72"/>
  <c r="J49" i="72"/>
  <c r="J99" i="72"/>
  <c r="J107" i="72"/>
  <c r="J115" i="72"/>
  <c r="J123" i="72"/>
  <c r="J131" i="72"/>
  <c r="J71" i="72"/>
  <c r="J79" i="72"/>
  <c r="J85" i="72"/>
  <c r="J45" i="72"/>
  <c r="K28" i="72"/>
  <c r="J75" i="72"/>
  <c r="J43" i="72"/>
  <c r="J101" i="72"/>
  <c r="J109" i="72"/>
  <c r="J117" i="72"/>
  <c r="J125" i="72"/>
  <c r="J73" i="72"/>
  <c r="J65" i="72"/>
  <c r="J57" i="72"/>
  <c r="J81" i="72"/>
  <c r="J53" i="72"/>
  <c r="J61" i="72"/>
  <c r="J95" i="72"/>
  <c r="J103" i="72"/>
  <c r="J111" i="72"/>
  <c r="J119" i="72"/>
  <c r="J127" i="72"/>
  <c r="N71" i="72" l="1"/>
  <c r="N91" i="72"/>
  <c r="N93" i="72"/>
  <c r="N77" i="72"/>
  <c r="N41" i="72"/>
  <c r="EQ41" i="72" s="1"/>
  <c r="ES41" i="72" s="1"/>
  <c r="N45" i="72"/>
  <c r="N65" i="72"/>
  <c r="N99" i="72"/>
  <c r="N107" i="72"/>
  <c r="N115" i="72"/>
  <c r="N123" i="72"/>
  <c r="N75" i="72"/>
  <c r="N81" i="72"/>
  <c r="N43" i="72"/>
  <c r="N67" i="72"/>
  <c r="N53" i="72"/>
  <c r="N63" i="72"/>
  <c r="N87" i="72"/>
  <c r="N101" i="72"/>
  <c r="N109" i="72"/>
  <c r="N117" i="72"/>
  <c r="N125" i="72"/>
  <c r="N85" i="72"/>
  <c r="O28" i="72"/>
  <c r="N59" i="72"/>
  <c r="N69" i="72"/>
  <c r="N79" i="72"/>
  <c r="N57" i="72"/>
  <c r="N49" i="72"/>
  <c r="N95" i="72"/>
  <c r="N103" i="72"/>
  <c r="N111" i="72"/>
  <c r="N119" i="72"/>
  <c r="N127" i="72"/>
  <c r="N73" i="72"/>
  <c r="N83" i="72"/>
  <c r="N55" i="72"/>
  <c r="N47" i="72"/>
  <c r="N61" i="72"/>
  <c r="N51" i="72"/>
  <c r="N89" i="72"/>
  <c r="N97" i="72"/>
  <c r="N105" i="72"/>
  <c r="N113" i="72"/>
  <c r="N121" i="72"/>
  <c r="N129" i="72"/>
  <c r="F64" i="72"/>
  <c r="F76" i="72"/>
  <c r="F58" i="72"/>
  <c r="G29" i="72"/>
  <c r="F66" i="72"/>
  <c r="F80" i="72"/>
  <c r="F94" i="72"/>
  <c r="F98" i="72"/>
  <c r="F106" i="72"/>
  <c r="F114" i="72"/>
  <c r="F122" i="72"/>
  <c r="F130" i="72"/>
  <c r="F54" i="72"/>
  <c r="F56" i="72"/>
  <c r="F72" i="72"/>
  <c r="F84" i="72"/>
  <c r="F74" i="72"/>
  <c r="F62" i="72"/>
  <c r="F90" i="72"/>
  <c r="F100" i="72"/>
  <c r="F108" i="72"/>
  <c r="F116" i="72"/>
  <c r="F124" i="72"/>
  <c r="F132" i="72"/>
  <c r="F86" i="72"/>
  <c r="F82" i="72"/>
  <c r="F44" i="72"/>
  <c r="F48" i="72"/>
  <c r="F60" i="72"/>
  <c r="F68" i="72"/>
  <c r="F50" i="72"/>
  <c r="F102" i="72"/>
  <c r="F110" i="72"/>
  <c r="F118" i="72"/>
  <c r="F126" i="72"/>
  <c r="F88" i="72"/>
  <c r="F46" i="72"/>
  <c r="F78" i="72"/>
  <c r="F92" i="72"/>
  <c r="F96" i="72"/>
  <c r="F128" i="72"/>
  <c r="F104" i="72"/>
  <c r="F70" i="72"/>
  <c r="F112" i="72"/>
  <c r="F52" i="72"/>
  <c r="F120" i="72"/>
  <c r="R97" i="72" l="1"/>
  <c r="R49" i="72"/>
  <c r="R99" i="72"/>
  <c r="R83" i="72"/>
  <c r="R79" i="72"/>
  <c r="R67" i="72"/>
  <c r="R73" i="72"/>
  <c r="R71" i="72"/>
  <c r="R107" i="72"/>
  <c r="R115" i="72"/>
  <c r="R123" i="72"/>
  <c r="R131" i="72"/>
  <c r="R81" i="72"/>
  <c r="R87" i="72"/>
  <c r="R89" i="72"/>
  <c r="R77" i="72"/>
  <c r="R69" i="72"/>
  <c r="R59" i="72"/>
  <c r="R63" i="72"/>
  <c r="R101" i="72"/>
  <c r="R109" i="72"/>
  <c r="R117" i="72"/>
  <c r="R125" i="72"/>
  <c r="R133" i="72"/>
  <c r="R47" i="72"/>
  <c r="R45" i="72"/>
  <c r="R75" i="72"/>
  <c r="R61" i="72"/>
  <c r="R95" i="72"/>
  <c r="R55" i="72"/>
  <c r="R57" i="72"/>
  <c r="R103" i="72"/>
  <c r="R111" i="72"/>
  <c r="R119" i="72"/>
  <c r="R127" i="72"/>
  <c r="S28" i="72"/>
  <c r="R93" i="72"/>
  <c r="R53" i="72"/>
  <c r="R51" i="72"/>
  <c r="R65" i="72"/>
  <c r="R85" i="72"/>
  <c r="R91" i="72"/>
  <c r="R105" i="72"/>
  <c r="R113" i="72"/>
  <c r="R121" i="72"/>
  <c r="R129" i="72"/>
  <c r="J60" i="72"/>
  <c r="J82" i="72"/>
  <c r="J68" i="72"/>
  <c r="J80" i="72"/>
  <c r="J54" i="72"/>
  <c r="J78" i="72"/>
  <c r="J94" i="72"/>
  <c r="J102" i="72"/>
  <c r="J110" i="72"/>
  <c r="J118" i="72"/>
  <c r="J126" i="72"/>
  <c r="J70" i="72"/>
  <c r="J56" i="72"/>
  <c r="J72" i="72"/>
  <c r="J92" i="72"/>
  <c r="J58" i="72"/>
  <c r="J46" i="72"/>
  <c r="J86" i="72"/>
  <c r="J104" i="72"/>
  <c r="J112" i="72"/>
  <c r="J120" i="72"/>
  <c r="J128" i="72"/>
  <c r="J84" i="72"/>
  <c r="J62" i="72"/>
  <c r="J48" i="72"/>
  <c r="J74" i="72"/>
  <c r="J96" i="72"/>
  <c r="J76" i="72"/>
  <c r="J88" i="72"/>
  <c r="J98" i="72"/>
  <c r="J106" i="72"/>
  <c r="J114" i="72"/>
  <c r="J122" i="72"/>
  <c r="J130" i="72"/>
  <c r="J44" i="72"/>
  <c r="J66" i="72"/>
  <c r="J64" i="72"/>
  <c r="J90" i="72"/>
  <c r="K29" i="72"/>
  <c r="J52" i="72"/>
  <c r="J50" i="72"/>
  <c r="J100" i="72"/>
  <c r="J108" i="72"/>
  <c r="J116" i="72"/>
  <c r="J124" i="72"/>
  <c r="J132" i="72"/>
  <c r="V87" i="72" l="1"/>
  <c r="V49" i="72"/>
  <c r="V69" i="72"/>
  <c r="V79" i="72"/>
  <c r="V81" i="72"/>
  <c r="V95" i="72"/>
  <c r="V71" i="72"/>
  <c r="V101" i="72"/>
  <c r="V109" i="72"/>
  <c r="V117" i="72"/>
  <c r="V125" i="72"/>
  <c r="V57" i="72"/>
  <c r="V47" i="72"/>
  <c r="V67" i="72"/>
  <c r="V51" i="72"/>
  <c r="V91" i="72"/>
  <c r="V53" i="72"/>
  <c r="V85" i="72"/>
  <c r="V103" i="72"/>
  <c r="V111" i="72"/>
  <c r="V119" i="72"/>
  <c r="V127" i="72"/>
  <c r="V93" i="72"/>
  <c r="V73" i="72"/>
  <c r="V43" i="72"/>
  <c r="EQ43" i="72" s="1"/>
  <c r="ES43" i="72" s="1"/>
  <c r="V65" i="72"/>
  <c r="V55" i="72"/>
  <c r="V75" i="72"/>
  <c r="V63" i="72"/>
  <c r="V97" i="72"/>
  <c r="V105" i="72"/>
  <c r="V113" i="72"/>
  <c r="V121" i="72"/>
  <c r="V129" i="72"/>
  <c r="V45" i="72"/>
  <c r="W28" i="72"/>
  <c r="V59" i="72"/>
  <c r="V83" i="72"/>
  <c r="V89" i="72"/>
  <c r="V77" i="72"/>
  <c r="V61" i="72"/>
  <c r="V99" i="72"/>
  <c r="V107" i="72"/>
  <c r="V115" i="72"/>
  <c r="V123" i="72"/>
  <c r="V131" i="72"/>
  <c r="N82" i="72"/>
  <c r="N68" i="72"/>
  <c r="N78" i="72"/>
  <c r="N76" i="72"/>
  <c r="O29" i="72"/>
  <c r="N88" i="72"/>
  <c r="N56" i="72"/>
  <c r="N70" i="72"/>
  <c r="N104" i="72"/>
  <c r="N112" i="72"/>
  <c r="N120" i="72"/>
  <c r="N128" i="72"/>
  <c r="N52" i="72"/>
  <c r="N58" i="72"/>
  <c r="N64" i="72"/>
  <c r="N42" i="72"/>
  <c r="EQ42" i="72" s="1"/>
  <c r="ER42" i="72" s="1"/>
  <c r="N90" i="72"/>
  <c r="N86" i="72"/>
  <c r="N54" i="72"/>
  <c r="N98" i="72"/>
  <c r="N106" i="72"/>
  <c r="N114" i="72"/>
  <c r="N122" i="72"/>
  <c r="N130" i="72"/>
  <c r="N92" i="72"/>
  <c r="N50" i="72"/>
  <c r="N74" i="72"/>
  <c r="N60" i="72"/>
  <c r="N84" i="72"/>
  <c r="N66" i="72"/>
  <c r="N72" i="72"/>
  <c r="N100" i="72"/>
  <c r="N108" i="72"/>
  <c r="N116" i="72"/>
  <c r="N124" i="72"/>
  <c r="N48" i="72"/>
  <c r="N96" i="72"/>
  <c r="N62" i="72"/>
  <c r="N44" i="72"/>
  <c r="N46" i="72"/>
  <c r="N80" i="72"/>
  <c r="N94" i="72"/>
  <c r="N102" i="72"/>
  <c r="N110" i="72"/>
  <c r="N118" i="72"/>
  <c r="N126" i="72"/>
  <c r="Z81" i="72" l="1"/>
  <c r="Z71" i="72"/>
  <c r="Z63" i="72"/>
  <c r="Z65" i="72"/>
  <c r="Z73" i="72"/>
  <c r="Z51" i="72"/>
  <c r="Z77" i="72"/>
  <c r="AA28" i="72"/>
  <c r="Z107" i="72"/>
  <c r="Z115" i="72"/>
  <c r="Z123" i="72"/>
  <c r="Z131" i="72"/>
  <c r="Z55" i="72"/>
  <c r="Z83" i="72"/>
  <c r="Z49" i="72"/>
  <c r="Z75" i="72"/>
  <c r="Z47" i="72"/>
  <c r="Z87" i="72"/>
  <c r="Z93" i="72"/>
  <c r="Z89" i="72"/>
  <c r="Z109" i="72"/>
  <c r="Z117" i="72"/>
  <c r="Z125" i="72"/>
  <c r="Z133" i="72"/>
  <c r="Z69" i="72"/>
  <c r="Z91" i="72"/>
  <c r="Z59" i="72"/>
  <c r="Z57" i="72"/>
  <c r="Z97" i="72"/>
  <c r="Z79" i="72"/>
  <c r="Z45" i="72"/>
  <c r="Z103" i="72"/>
  <c r="Z111" i="72"/>
  <c r="Z119" i="72"/>
  <c r="Z127" i="72"/>
  <c r="Z53" i="72"/>
  <c r="Z101" i="72"/>
  <c r="Z61" i="72"/>
  <c r="Z67" i="72"/>
  <c r="Z99" i="72"/>
  <c r="Z95" i="72"/>
  <c r="Z85" i="72"/>
  <c r="Z105" i="72"/>
  <c r="Z113" i="72"/>
  <c r="Z121" i="72"/>
  <c r="Z129" i="72"/>
  <c r="R60" i="72"/>
  <c r="R80" i="72"/>
  <c r="R62" i="72"/>
  <c r="R70" i="72"/>
  <c r="R102" i="72"/>
  <c r="R86" i="72"/>
  <c r="R98" i="72"/>
  <c r="R104" i="72"/>
  <c r="R112" i="72"/>
  <c r="R120" i="72"/>
  <c r="R128" i="72"/>
  <c r="R78" i="72"/>
  <c r="R96" i="72"/>
  <c r="R94" i="72"/>
  <c r="R76" i="72"/>
  <c r="R56" i="72"/>
  <c r="R68" i="72"/>
  <c r="R46" i="72"/>
  <c r="R106" i="72"/>
  <c r="R114" i="72"/>
  <c r="R122" i="72"/>
  <c r="R130" i="72"/>
  <c r="R52" i="72"/>
  <c r="R82" i="72"/>
  <c r="R50" i="72"/>
  <c r="R48" i="72"/>
  <c r="R90" i="72"/>
  <c r="R84" i="72"/>
  <c r="R92" i="72"/>
  <c r="R58" i="72"/>
  <c r="R108" i="72"/>
  <c r="R116" i="72"/>
  <c r="R124" i="72"/>
  <c r="R132" i="72"/>
  <c r="R54" i="72"/>
  <c r="R88" i="72"/>
  <c r="R74" i="72"/>
  <c r="R64" i="72"/>
  <c r="R100" i="72"/>
  <c r="R66" i="72"/>
  <c r="R72" i="72"/>
  <c r="S29" i="72"/>
  <c r="R110" i="72"/>
  <c r="R118" i="72"/>
  <c r="R126" i="72"/>
  <c r="R134" i="72"/>
  <c r="V82" i="72" l="1"/>
  <c r="V88" i="72"/>
  <c r="V90" i="72"/>
  <c r="V80" i="72"/>
  <c r="V66" i="72"/>
  <c r="V56" i="72"/>
  <c r="V52" i="72"/>
  <c r="V102" i="72"/>
  <c r="V110" i="72"/>
  <c r="V118" i="72"/>
  <c r="V126" i="72"/>
  <c r="V58" i="72"/>
  <c r="V94" i="72"/>
  <c r="V50" i="72"/>
  <c r="V70" i="72"/>
  <c r="V54" i="72"/>
  <c r="V78" i="72"/>
  <c r="V48" i="72"/>
  <c r="V104" i="72"/>
  <c r="V112" i="72"/>
  <c r="V120" i="72"/>
  <c r="V128" i="72"/>
  <c r="V62" i="72"/>
  <c r="V64" i="72"/>
  <c r="V44" i="72"/>
  <c r="EQ44" i="72" s="1"/>
  <c r="ER44" i="72" s="1"/>
  <c r="V92" i="72"/>
  <c r="V72" i="72"/>
  <c r="W29" i="72"/>
  <c r="V68" i="72"/>
  <c r="V96" i="72"/>
  <c r="V106" i="72"/>
  <c r="V114" i="72"/>
  <c r="V122" i="72"/>
  <c r="V130" i="72"/>
  <c r="V74" i="72"/>
  <c r="V60" i="72"/>
  <c r="V46" i="72"/>
  <c r="V84" i="72"/>
  <c r="V98" i="72"/>
  <c r="V86" i="72"/>
  <c r="V76" i="72"/>
  <c r="V100" i="72"/>
  <c r="V108" i="72"/>
  <c r="V116" i="72"/>
  <c r="V124" i="72"/>
  <c r="V132" i="72"/>
  <c r="AD103" i="72"/>
  <c r="AD83" i="72"/>
  <c r="AD85" i="72"/>
  <c r="AD81" i="72"/>
  <c r="AD75" i="72"/>
  <c r="AD101" i="72"/>
  <c r="AD67" i="72"/>
  <c r="AD79" i="72"/>
  <c r="AD107" i="72"/>
  <c r="AD115" i="72"/>
  <c r="AD123" i="72"/>
  <c r="AD131" i="72"/>
  <c r="AD77" i="72"/>
  <c r="AD63" i="72"/>
  <c r="AD99" i="72"/>
  <c r="AE28" i="72"/>
  <c r="AD71" i="72"/>
  <c r="AD45" i="72"/>
  <c r="AD57" i="72"/>
  <c r="AD69" i="72"/>
  <c r="AD109" i="72"/>
  <c r="AD117" i="72"/>
  <c r="AD125" i="72"/>
  <c r="AD133" i="72"/>
  <c r="AD93" i="72"/>
  <c r="AD95" i="72"/>
  <c r="AD51" i="72"/>
  <c r="AD97" i="72"/>
  <c r="AD65" i="72"/>
  <c r="AD89" i="72"/>
  <c r="AD91" i="72"/>
  <c r="AD55" i="72"/>
  <c r="AD111" i="72"/>
  <c r="AD119" i="72"/>
  <c r="AD127" i="72"/>
  <c r="AD47" i="72"/>
  <c r="AD87" i="72"/>
  <c r="AD73" i="72"/>
  <c r="AD59" i="72"/>
  <c r="AD53" i="72"/>
  <c r="AD105" i="72"/>
  <c r="AD49" i="72"/>
  <c r="AD61" i="72"/>
  <c r="AD113" i="72"/>
  <c r="AD121" i="72"/>
  <c r="AD129" i="72"/>
  <c r="AH49" i="72" l="1"/>
  <c r="AH61" i="72"/>
  <c r="AH55" i="72"/>
  <c r="AH57" i="72"/>
  <c r="AH93" i="72"/>
  <c r="AH91" i="72"/>
  <c r="AH83" i="72"/>
  <c r="AH75" i="72"/>
  <c r="AH111" i="72"/>
  <c r="AH119" i="72"/>
  <c r="AH127" i="72"/>
  <c r="AH87" i="72"/>
  <c r="AH101" i="72"/>
  <c r="AH59" i="72"/>
  <c r="AH81" i="72"/>
  <c r="AH47" i="72"/>
  <c r="AH105" i="72"/>
  <c r="AH65" i="72"/>
  <c r="AH89" i="72"/>
  <c r="AH113" i="72"/>
  <c r="AH121" i="72"/>
  <c r="AH129" i="72"/>
  <c r="AH51" i="72"/>
  <c r="AH53" i="72"/>
  <c r="AH103" i="72"/>
  <c r="AH95" i="72"/>
  <c r="AH99" i="72"/>
  <c r="AH77" i="72"/>
  <c r="AH67" i="72"/>
  <c r="AH71" i="72"/>
  <c r="AH107" i="72"/>
  <c r="AH115" i="72"/>
  <c r="AH123" i="72"/>
  <c r="AH131" i="72"/>
  <c r="AH79" i="72"/>
  <c r="AH97" i="72"/>
  <c r="AH63" i="72"/>
  <c r="AH73" i="72"/>
  <c r="AI28" i="72"/>
  <c r="AH69" i="72"/>
  <c r="AH45" i="72"/>
  <c r="EQ45" i="72" s="1"/>
  <c r="ES45" i="72" s="1"/>
  <c r="AH85" i="72"/>
  <c r="AH109" i="72"/>
  <c r="AH117" i="72"/>
  <c r="AH125" i="72"/>
  <c r="AH133" i="72"/>
  <c r="Z78" i="72"/>
  <c r="Z52" i="72"/>
  <c r="Z74" i="72"/>
  <c r="Z86" i="72"/>
  <c r="AA29" i="72"/>
  <c r="Z54" i="72"/>
  <c r="Z92" i="72"/>
  <c r="Z102" i="72"/>
  <c r="Z108" i="72"/>
  <c r="Z116" i="72"/>
  <c r="Z124" i="72"/>
  <c r="Z132" i="72"/>
  <c r="Z96" i="72"/>
  <c r="Z68" i="72"/>
  <c r="Z58" i="72"/>
  <c r="Z66" i="72"/>
  <c r="Z76" i="72"/>
  <c r="Z82" i="72"/>
  <c r="Z88" i="72"/>
  <c r="Z48" i="72"/>
  <c r="Z110" i="72"/>
  <c r="Z118" i="72"/>
  <c r="Z126" i="72"/>
  <c r="Z134" i="72"/>
  <c r="Z100" i="72"/>
  <c r="Z64" i="72"/>
  <c r="Z60" i="72"/>
  <c r="Z56" i="72"/>
  <c r="Z70" i="72"/>
  <c r="Z72" i="72"/>
  <c r="Z46" i="72"/>
  <c r="Z104" i="72"/>
  <c r="Z112" i="72"/>
  <c r="Z120" i="72"/>
  <c r="Z128" i="72"/>
  <c r="Z50" i="72"/>
  <c r="Z80" i="72"/>
  <c r="Z62" i="72"/>
  <c r="Z98" i="72"/>
  <c r="Z84" i="72"/>
  <c r="Z94" i="72"/>
  <c r="Z90" i="72"/>
  <c r="Z106" i="72"/>
  <c r="Z114" i="72"/>
  <c r="Z122" i="72"/>
  <c r="Z130" i="72"/>
  <c r="AL91" i="72" l="1"/>
  <c r="AL89" i="72"/>
  <c r="AL81" i="72"/>
  <c r="AL83" i="72"/>
  <c r="AL55" i="72"/>
  <c r="AL49" i="72"/>
  <c r="AM28" i="72"/>
  <c r="AL57" i="72"/>
  <c r="AL113" i="72"/>
  <c r="AL121" i="72"/>
  <c r="AL129" i="72"/>
  <c r="AL67" i="72"/>
  <c r="AL47" i="72"/>
  <c r="AL61" i="72"/>
  <c r="AL69" i="72"/>
  <c r="AL71" i="72"/>
  <c r="AL99" i="72"/>
  <c r="AL79" i="72"/>
  <c r="AL65" i="72"/>
  <c r="AL115" i="72"/>
  <c r="AL123" i="72"/>
  <c r="AL131" i="72"/>
  <c r="AL109" i="72"/>
  <c r="AL101" i="72"/>
  <c r="AL93" i="72"/>
  <c r="AL111" i="72"/>
  <c r="AL77" i="72"/>
  <c r="AL105" i="72"/>
  <c r="AL75" i="72"/>
  <c r="AL85" i="72"/>
  <c r="AL51" i="72"/>
  <c r="AL117" i="72"/>
  <c r="AL125" i="72"/>
  <c r="AL133" i="72"/>
  <c r="AL97" i="72"/>
  <c r="AL87" i="72"/>
  <c r="AL95" i="72"/>
  <c r="AL59" i="72"/>
  <c r="AL73" i="72"/>
  <c r="AL53" i="72"/>
  <c r="AL63" i="72"/>
  <c r="AL103" i="72"/>
  <c r="AL107" i="72"/>
  <c r="AL119" i="72"/>
  <c r="AL127" i="72"/>
  <c r="AL135" i="72"/>
  <c r="AD54" i="72"/>
  <c r="AD100" i="72"/>
  <c r="AD94" i="72"/>
  <c r="AD76" i="72"/>
  <c r="AD58" i="72"/>
  <c r="AD74" i="72"/>
  <c r="AD106" i="72"/>
  <c r="AD68" i="72"/>
  <c r="AD64" i="72"/>
  <c r="AD116" i="72"/>
  <c r="AD124" i="72"/>
  <c r="AD132" i="72"/>
  <c r="AD78" i="72"/>
  <c r="AD80" i="72"/>
  <c r="AE29" i="72"/>
  <c r="AD66" i="72"/>
  <c r="AD86" i="72"/>
  <c r="AD70" i="72"/>
  <c r="AD48" i="72"/>
  <c r="AD96" i="72"/>
  <c r="AD110" i="72"/>
  <c r="AD118" i="72"/>
  <c r="AD126" i="72"/>
  <c r="AD134" i="72"/>
  <c r="AD60" i="72"/>
  <c r="AD102" i="72"/>
  <c r="AD92" i="72"/>
  <c r="AD90" i="72"/>
  <c r="AD104" i="72"/>
  <c r="AD88" i="72"/>
  <c r="AD72" i="72"/>
  <c r="AD82" i="72"/>
  <c r="AD112" i="72"/>
  <c r="AD120" i="72"/>
  <c r="AD128" i="72"/>
  <c r="AD84" i="72"/>
  <c r="AD52" i="72"/>
  <c r="AD50" i="72"/>
  <c r="AD62" i="72"/>
  <c r="AD108" i="72"/>
  <c r="AD98" i="72"/>
  <c r="AD56" i="72"/>
  <c r="AD46" i="72"/>
  <c r="AD114" i="72"/>
  <c r="AD122" i="72"/>
  <c r="AD130" i="72"/>
  <c r="AH46" i="72" l="1"/>
  <c r="EQ46" i="72" s="1"/>
  <c r="ER46" i="72" s="1"/>
  <c r="AH66" i="72"/>
  <c r="AH88" i="72"/>
  <c r="AH64" i="72"/>
  <c r="AH108" i="72"/>
  <c r="AH48" i="72"/>
  <c r="AH58" i="72"/>
  <c r="AH54" i="72"/>
  <c r="AH112" i="72"/>
  <c r="AH120" i="72"/>
  <c r="AH128" i="72"/>
  <c r="AH62" i="72"/>
  <c r="AH106" i="72"/>
  <c r="AH100" i="72"/>
  <c r="AH70" i="72"/>
  <c r="AH76" i="72"/>
  <c r="AH90" i="72"/>
  <c r="AH60" i="72"/>
  <c r="AH104" i="72"/>
  <c r="AH114" i="72"/>
  <c r="AH122" i="72"/>
  <c r="AH130" i="72"/>
  <c r="AH94" i="72"/>
  <c r="AI29" i="72"/>
  <c r="AH56" i="72"/>
  <c r="AH72" i="72"/>
  <c r="AH86" i="72"/>
  <c r="AH102" i="72"/>
  <c r="AH98" i="72"/>
  <c r="AH68" i="72"/>
  <c r="AH84" i="72"/>
  <c r="AH116" i="72"/>
  <c r="AH124" i="72"/>
  <c r="AH132" i="72"/>
  <c r="AH96" i="72"/>
  <c r="AH80" i="72"/>
  <c r="AH74" i="72"/>
  <c r="AH52" i="72"/>
  <c r="AH92" i="72"/>
  <c r="AH78" i="72"/>
  <c r="AH82" i="72"/>
  <c r="AH50" i="72"/>
  <c r="AH110" i="72"/>
  <c r="AH118" i="72"/>
  <c r="AH126" i="72"/>
  <c r="AH134" i="72"/>
  <c r="AP111" i="72"/>
  <c r="AP95" i="72"/>
  <c r="AQ28" i="72"/>
  <c r="AP51" i="72"/>
  <c r="AP77" i="72"/>
  <c r="AP85" i="72"/>
  <c r="AP71" i="72"/>
  <c r="AP99" i="72"/>
  <c r="AP61" i="72"/>
  <c r="AP117" i="72"/>
  <c r="AP125" i="72"/>
  <c r="AP133" i="72"/>
  <c r="AP113" i="72"/>
  <c r="AP83" i="72"/>
  <c r="AP59" i="72"/>
  <c r="AP57" i="72"/>
  <c r="AP73" i="72"/>
  <c r="AP87" i="72"/>
  <c r="AP81" i="72"/>
  <c r="AP105" i="72"/>
  <c r="AP75" i="72"/>
  <c r="AP119" i="72"/>
  <c r="AP127" i="72"/>
  <c r="AP135" i="72"/>
  <c r="AP93" i="72"/>
  <c r="AP103" i="72"/>
  <c r="AP109" i="72"/>
  <c r="AP97" i="72"/>
  <c r="AP55" i="72"/>
  <c r="AP107" i="72"/>
  <c r="AP79" i="72"/>
  <c r="AP69" i="72"/>
  <c r="AP49" i="72"/>
  <c r="AP121" i="72"/>
  <c r="AP129" i="72"/>
  <c r="AP101" i="72"/>
  <c r="AP53" i="72"/>
  <c r="AP91" i="72"/>
  <c r="AP67" i="72"/>
  <c r="AP63" i="72"/>
  <c r="AP65" i="72"/>
  <c r="AP47" i="72"/>
  <c r="AP89" i="72"/>
  <c r="AP115" i="72"/>
  <c r="AP123" i="72"/>
  <c r="AP131" i="72"/>
  <c r="AT83" i="72" l="1"/>
  <c r="AT93" i="72"/>
  <c r="AT109" i="72"/>
  <c r="AT85" i="72"/>
  <c r="AT103" i="72"/>
  <c r="AT67" i="72"/>
  <c r="AT73" i="72"/>
  <c r="AT79" i="72"/>
  <c r="AT105" i="72"/>
  <c r="AT117" i="72"/>
  <c r="AT125" i="72"/>
  <c r="AT133" i="72"/>
  <c r="AT71" i="72"/>
  <c r="AT95" i="72"/>
  <c r="AT69" i="72"/>
  <c r="AT55" i="72"/>
  <c r="AT65" i="72"/>
  <c r="AT107" i="72"/>
  <c r="AT47" i="72"/>
  <c r="BS28" i="72"/>
  <c r="AT81" i="72"/>
  <c r="AT119" i="72"/>
  <c r="AT127" i="72"/>
  <c r="AT135" i="72"/>
  <c r="AT101" i="72"/>
  <c r="AT75" i="72"/>
  <c r="AT89" i="72"/>
  <c r="AT113" i="72"/>
  <c r="AT59" i="72"/>
  <c r="AT97" i="72"/>
  <c r="AT61" i="72"/>
  <c r="AT99" i="72"/>
  <c r="AT53" i="72"/>
  <c r="AT121" i="72"/>
  <c r="AT129" i="72"/>
  <c r="AT57" i="72"/>
  <c r="AT77" i="72"/>
  <c r="AT63" i="72"/>
  <c r="AT49" i="72"/>
  <c r="AT87" i="72"/>
  <c r="AT111" i="72"/>
  <c r="AT51" i="72"/>
  <c r="AT91" i="72"/>
  <c r="AT115" i="72"/>
  <c r="AT123" i="72"/>
  <c r="AT131" i="72"/>
  <c r="AL70" i="72"/>
  <c r="AL88" i="72"/>
  <c r="AL92" i="72"/>
  <c r="AL78" i="72"/>
  <c r="AL62" i="72"/>
  <c r="AL106" i="72"/>
  <c r="AL58" i="72"/>
  <c r="AL48" i="72"/>
  <c r="AM29" i="72"/>
  <c r="AL122" i="72"/>
  <c r="AL130" i="72"/>
  <c r="AL72" i="72"/>
  <c r="AL110" i="72"/>
  <c r="AL90" i="72"/>
  <c r="AL50" i="72"/>
  <c r="AL96" i="72"/>
  <c r="AL56" i="72"/>
  <c r="AL108" i="72"/>
  <c r="AL104" i="72"/>
  <c r="AL116" i="72"/>
  <c r="AL124" i="72"/>
  <c r="AL132" i="72"/>
  <c r="AL84" i="72"/>
  <c r="AL100" i="72"/>
  <c r="AL114" i="72"/>
  <c r="AL112" i="72"/>
  <c r="AL60" i="72"/>
  <c r="AL98" i="72"/>
  <c r="AL52" i="72"/>
  <c r="AL80" i="72"/>
  <c r="AL102" i="72"/>
  <c r="AL118" i="72"/>
  <c r="AL126" i="72"/>
  <c r="AL134" i="72"/>
  <c r="AL82" i="72"/>
  <c r="AL66" i="72"/>
  <c r="AL86" i="72"/>
  <c r="AL64" i="72"/>
  <c r="AL94" i="72"/>
  <c r="AL68" i="72"/>
  <c r="AL74" i="72"/>
  <c r="AL76" i="72"/>
  <c r="AL54" i="72"/>
  <c r="AL120" i="72"/>
  <c r="AL128" i="72"/>
  <c r="AL136" i="72"/>
  <c r="AP92" i="72" l="1"/>
  <c r="AP80" i="72"/>
  <c r="AP86" i="72"/>
  <c r="AP110" i="72"/>
  <c r="AP102" i="72"/>
  <c r="AP76" i="72"/>
  <c r="AP66" i="72"/>
  <c r="AP52" i="72"/>
  <c r="AP62" i="72"/>
  <c r="AP122" i="72"/>
  <c r="AP130" i="72"/>
  <c r="AP70" i="72"/>
  <c r="AP88" i="72"/>
  <c r="AP50" i="72"/>
  <c r="AP82" i="72"/>
  <c r="AP78" i="72"/>
  <c r="AP56" i="72"/>
  <c r="AP72" i="72"/>
  <c r="AP100" i="72"/>
  <c r="AP108" i="72"/>
  <c r="AP124" i="72"/>
  <c r="AP132" i="72"/>
  <c r="AP112" i="72"/>
  <c r="AP98" i="72"/>
  <c r="AP114" i="72"/>
  <c r="AP60" i="72"/>
  <c r="AP64" i="72"/>
  <c r="AP116" i="72"/>
  <c r="AP54" i="72"/>
  <c r="AP104" i="72"/>
  <c r="AP106" i="72"/>
  <c r="AP118" i="72"/>
  <c r="AP126" i="72"/>
  <c r="AP134" i="72"/>
  <c r="AP68" i="72"/>
  <c r="AP84" i="72"/>
  <c r="AP58" i="72"/>
  <c r="AQ29" i="72"/>
  <c r="AP96" i="72"/>
  <c r="AP90" i="72"/>
  <c r="AP94" i="72"/>
  <c r="AP74" i="72"/>
  <c r="AP48" i="72"/>
  <c r="AP120" i="72"/>
  <c r="AP128" i="72"/>
  <c r="AP136" i="72"/>
  <c r="BV115" i="72"/>
  <c r="BV91" i="72"/>
  <c r="BV97" i="72"/>
  <c r="BV75" i="72"/>
  <c r="BV99" i="72"/>
  <c r="BV79" i="72"/>
  <c r="BV57" i="72"/>
  <c r="BV69" i="72"/>
  <c r="BV85" i="72"/>
  <c r="BV51" i="72"/>
  <c r="BV125" i="72"/>
  <c r="BV133" i="72"/>
  <c r="BW28" i="72"/>
  <c r="BV53" i="72"/>
  <c r="BV105" i="72"/>
  <c r="BV113" i="72"/>
  <c r="BV101" i="72"/>
  <c r="BV81" i="72"/>
  <c r="BV59" i="72"/>
  <c r="BV103" i="72"/>
  <c r="BV111" i="72"/>
  <c r="BV119" i="72"/>
  <c r="BV127" i="72"/>
  <c r="BV135" i="72"/>
  <c r="BV49" i="72"/>
  <c r="BV65" i="72"/>
  <c r="BV93" i="72"/>
  <c r="BV117" i="72"/>
  <c r="BV55" i="72"/>
  <c r="BV95" i="72"/>
  <c r="BV73" i="72"/>
  <c r="BV61" i="72"/>
  <c r="BV63" i="72"/>
  <c r="BV121" i="72"/>
  <c r="BV129" i="72"/>
  <c r="BV89" i="72"/>
  <c r="BV107" i="72"/>
  <c r="BV77" i="72"/>
  <c r="BV87" i="72"/>
  <c r="BV83" i="72"/>
  <c r="BV71" i="72"/>
  <c r="BV47" i="72"/>
  <c r="EQ47" i="72" s="1"/>
  <c r="ES47" i="72" s="1"/>
  <c r="BV109" i="72"/>
  <c r="BV67" i="72"/>
  <c r="BV123" i="72"/>
  <c r="BV131" i="72"/>
  <c r="BZ115" i="72" l="1"/>
  <c r="BZ55" i="72"/>
  <c r="BZ83" i="72"/>
  <c r="BZ73" i="72"/>
  <c r="BZ91" i="72"/>
  <c r="BZ85" i="72"/>
  <c r="BZ79" i="72"/>
  <c r="CA28" i="72"/>
  <c r="BZ113" i="72"/>
  <c r="BZ71" i="72"/>
  <c r="BZ125" i="72"/>
  <c r="BZ133" i="72"/>
  <c r="BZ89" i="72"/>
  <c r="BZ67" i="72"/>
  <c r="BZ97" i="72"/>
  <c r="BZ103" i="72"/>
  <c r="BZ69" i="72"/>
  <c r="BZ77" i="72"/>
  <c r="BZ117" i="72"/>
  <c r="BZ59" i="72"/>
  <c r="BZ51" i="72"/>
  <c r="BZ105" i="72"/>
  <c r="BZ127" i="72"/>
  <c r="BZ135" i="72"/>
  <c r="BZ109" i="72"/>
  <c r="BZ95" i="72"/>
  <c r="BZ61" i="72"/>
  <c r="BZ99" i="72"/>
  <c r="BZ63" i="72"/>
  <c r="BZ101" i="72"/>
  <c r="BZ119" i="72"/>
  <c r="BZ65" i="72"/>
  <c r="BZ49" i="72"/>
  <c r="BZ121" i="72"/>
  <c r="BZ129" i="72"/>
  <c r="BZ137" i="72"/>
  <c r="BW29" i="72"/>
  <c r="BZ81" i="72"/>
  <c r="BZ53" i="72"/>
  <c r="BZ93" i="72"/>
  <c r="BZ75" i="72"/>
  <c r="BZ87" i="72"/>
  <c r="BZ111" i="72"/>
  <c r="BZ107" i="72"/>
  <c r="BZ57" i="72"/>
  <c r="BZ123" i="72"/>
  <c r="BZ131" i="72"/>
  <c r="AT96" i="72"/>
  <c r="AT72" i="72"/>
  <c r="AT94" i="72"/>
  <c r="AT66" i="72"/>
  <c r="AT88" i="72"/>
  <c r="AT106" i="72"/>
  <c r="AT54" i="72"/>
  <c r="AT82" i="72"/>
  <c r="AT92" i="72"/>
  <c r="AT122" i="72"/>
  <c r="AT130" i="72"/>
  <c r="BS29" i="72"/>
  <c r="AT98" i="72"/>
  <c r="AT60" i="72"/>
  <c r="AT76" i="72"/>
  <c r="AT114" i="72"/>
  <c r="AT102" i="72"/>
  <c r="AT68" i="72"/>
  <c r="AT108" i="72"/>
  <c r="AT116" i="72"/>
  <c r="AT124" i="72"/>
  <c r="AT132" i="72"/>
  <c r="AT104" i="72"/>
  <c r="AT62" i="72"/>
  <c r="AT100" i="72"/>
  <c r="AT58" i="72"/>
  <c r="AT112" i="72"/>
  <c r="AT56" i="72"/>
  <c r="AT70" i="72"/>
  <c r="AT90" i="72"/>
  <c r="AT48" i="72"/>
  <c r="AT118" i="72"/>
  <c r="AT126" i="72"/>
  <c r="AT134" i="72"/>
  <c r="AT50" i="72"/>
  <c r="AT110" i="72"/>
  <c r="AT52" i="72"/>
  <c r="AT64" i="72"/>
  <c r="AT78" i="72"/>
  <c r="AT80" i="72"/>
  <c r="AT84" i="72"/>
  <c r="AT74" i="72"/>
  <c r="AT86" i="72"/>
  <c r="AT120" i="72"/>
  <c r="AT128" i="72"/>
  <c r="AT136" i="72"/>
  <c r="BV70" i="72" l="1"/>
  <c r="BV50" i="72"/>
  <c r="BV92" i="72"/>
  <c r="BV88" i="72"/>
  <c r="BV114" i="72"/>
  <c r="BV86" i="72"/>
  <c r="BV82" i="72"/>
  <c r="BV90" i="72"/>
  <c r="CE29" i="72"/>
  <c r="BV122" i="72"/>
  <c r="BV130" i="72"/>
  <c r="BV66" i="72"/>
  <c r="BV56" i="72"/>
  <c r="BV108" i="72"/>
  <c r="BV100" i="72"/>
  <c r="BV68" i="72"/>
  <c r="BV96" i="72"/>
  <c r="BV80" i="72"/>
  <c r="BV48" i="72"/>
  <c r="EQ48" i="72" s="1"/>
  <c r="ER48" i="72" s="1"/>
  <c r="CA29" i="72"/>
  <c r="BV98" i="72"/>
  <c r="BV124" i="72"/>
  <c r="BV132" i="72"/>
  <c r="BV106" i="72"/>
  <c r="BV84" i="72"/>
  <c r="BV118" i="72"/>
  <c r="BV60" i="72"/>
  <c r="BV110" i="72"/>
  <c r="BV102" i="72"/>
  <c r="BV52" i="72"/>
  <c r="BV112" i="72"/>
  <c r="BV116" i="72"/>
  <c r="BV72" i="72"/>
  <c r="BV126" i="72"/>
  <c r="BV134" i="72"/>
  <c r="BV58" i="72"/>
  <c r="BV62" i="72"/>
  <c r="BV94" i="72"/>
  <c r="BV104" i="72"/>
  <c r="BV74" i="72"/>
  <c r="BV64" i="72"/>
  <c r="BV76" i="72"/>
  <c r="BV54" i="72"/>
  <c r="BV120" i="72"/>
  <c r="BV78" i="72"/>
  <c r="BV128" i="72"/>
  <c r="BV136" i="72"/>
  <c r="BZ110" i="72"/>
  <c r="BZ96" i="72"/>
  <c r="BZ120" i="72"/>
  <c r="BZ60" i="72"/>
  <c r="BZ112" i="72"/>
  <c r="BZ116" i="72"/>
  <c r="BZ50" i="72"/>
  <c r="BZ102" i="72"/>
  <c r="BZ66" i="72"/>
  <c r="BZ90" i="72"/>
  <c r="BZ130" i="72"/>
  <c r="BZ138" i="72"/>
  <c r="BZ84" i="72"/>
  <c r="BZ94" i="72"/>
  <c r="BZ68" i="72"/>
  <c r="BZ104" i="72"/>
  <c r="BZ52" i="72"/>
  <c r="BZ98" i="72"/>
  <c r="BZ92" i="72"/>
  <c r="BZ106" i="72"/>
  <c r="BZ122" i="72"/>
  <c r="BZ124" i="72"/>
  <c r="BZ132" i="72"/>
  <c r="BZ78" i="72"/>
  <c r="BZ100" i="72"/>
  <c r="BZ64" i="72"/>
  <c r="BZ82" i="72"/>
  <c r="BZ80" i="72"/>
  <c r="BZ108" i="72"/>
  <c r="BZ76" i="72"/>
  <c r="BZ88" i="72"/>
  <c r="BZ118" i="72"/>
  <c r="BZ126" i="72"/>
  <c r="BZ134" i="72"/>
  <c r="BZ56" i="72"/>
  <c r="BZ58" i="72"/>
  <c r="BZ74" i="72"/>
  <c r="BZ86" i="72"/>
  <c r="BZ62" i="72"/>
  <c r="BZ72" i="72"/>
  <c r="BZ54" i="72"/>
  <c r="BZ70" i="72"/>
  <c r="BZ114" i="72"/>
  <c r="BZ128" i="72"/>
  <c r="BZ136" i="72"/>
  <c r="CD103" i="72"/>
  <c r="CD117" i="72"/>
  <c r="CD107" i="72"/>
  <c r="CE28" i="72"/>
  <c r="CD111" i="72"/>
  <c r="CD119" i="72"/>
  <c r="CD65" i="72"/>
  <c r="CD69" i="72"/>
  <c r="CD81" i="72"/>
  <c r="CD123" i="72"/>
  <c r="CD131" i="72"/>
  <c r="CD85" i="72"/>
  <c r="CD49" i="72"/>
  <c r="CD97" i="72"/>
  <c r="CD115" i="72"/>
  <c r="CD105" i="72"/>
  <c r="CD99" i="72"/>
  <c r="CD71" i="72"/>
  <c r="CD77" i="72"/>
  <c r="CD61" i="72"/>
  <c r="CD125" i="72"/>
  <c r="CD133" i="72"/>
  <c r="CD121" i="72"/>
  <c r="CD101" i="72"/>
  <c r="CD83" i="72"/>
  <c r="CD109" i="72"/>
  <c r="CD73" i="72"/>
  <c r="CD53" i="72"/>
  <c r="CD91" i="72"/>
  <c r="CD59" i="72"/>
  <c r="CD89" i="72"/>
  <c r="CD87" i="72"/>
  <c r="CD127" i="72"/>
  <c r="CD135" i="72"/>
  <c r="CD95" i="72"/>
  <c r="CD93" i="72"/>
  <c r="CD51" i="72"/>
  <c r="CD75" i="72"/>
  <c r="CD67" i="72"/>
  <c r="CD57" i="72"/>
  <c r="CD113" i="72"/>
  <c r="CD63" i="72"/>
  <c r="CD79" i="72"/>
  <c r="CD55" i="72"/>
  <c r="CD129" i="72"/>
  <c r="CD137" i="72"/>
  <c r="CH86" i="72" l="1"/>
  <c r="CH88" i="72"/>
  <c r="CH96" i="72"/>
  <c r="CH122" i="72"/>
  <c r="CH72" i="72"/>
  <c r="CH118" i="72"/>
  <c r="CH108" i="72"/>
  <c r="CH52" i="72"/>
  <c r="CH114" i="72"/>
  <c r="CH110" i="72"/>
  <c r="CH130" i="72"/>
  <c r="CH138" i="72"/>
  <c r="CH74" i="72"/>
  <c r="CH116" i="72"/>
  <c r="CH104" i="72"/>
  <c r="CH62" i="72"/>
  <c r="CH82" i="72"/>
  <c r="CH54" i="72"/>
  <c r="CH124" i="72"/>
  <c r="CH102" i="72"/>
  <c r="CH90" i="72"/>
  <c r="CH78" i="72"/>
  <c r="CH132" i="72"/>
  <c r="CH68" i="72"/>
  <c r="CH70" i="72"/>
  <c r="CH92" i="72"/>
  <c r="CH66" i="72"/>
  <c r="CH106" i="72"/>
  <c r="CH76" i="72"/>
  <c r="CH84" i="72"/>
  <c r="CH98" i="72"/>
  <c r="CH120" i="72"/>
  <c r="CH126" i="72"/>
  <c r="CH134" i="72"/>
  <c r="CH100" i="72"/>
  <c r="CH50" i="72"/>
  <c r="CH64" i="72"/>
  <c r="CH56" i="72"/>
  <c r="CH60" i="72"/>
  <c r="CH58" i="72"/>
  <c r="CH80" i="72"/>
  <c r="CH112" i="72"/>
  <c r="CH94" i="72"/>
  <c r="CH128" i="72"/>
  <c r="CH136" i="72"/>
  <c r="CH59" i="72"/>
  <c r="CH111" i="72"/>
  <c r="CH69" i="72"/>
  <c r="CH87" i="72"/>
  <c r="CI28" i="72"/>
  <c r="CH115" i="72"/>
  <c r="CH49" i="72"/>
  <c r="EQ49" i="72" s="1"/>
  <c r="ES49" i="72" s="1"/>
  <c r="CH103" i="72"/>
  <c r="CH89" i="72"/>
  <c r="CH67" i="72"/>
  <c r="CH131" i="72"/>
  <c r="CH81" i="72"/>
  <c r="CH91" i="72"/>
  <c r="CH53" i="72"/>
  <c r="CH85" i="72"/>
  <c r="CH109" i="72"/>
  <c r="CH71" i="72"/>
  <c r="CH117" i="72"/>
  <c r="CH55" i="72"/>
  <c r="CH121" i="72"/>
  <c r="CH125" i="72"/>
  <c r="CH133" i="72"/>
  <c r="CH113" i="72"/>
  <c r="CH83" i="72"/>
  <c r="CH101" i="72"/>
  <c r="CH97" i="72"/>
  <c r="CH57" i="72"/>
  <c r="CH105" i="72"/>
  <c r="CH77" i="72"/>
  <c r="CH73" i="72"/>
  <c r="CH107" i="72"/>
  <c r="CH79" i="72"/>
  <c r="CH127" i="72"/>
  <c r="CH135" i="72"/>
  <c r="CH93" i="72"/>
  <c r="CH63" i="72"/>
  <c r="CH123" i="72"/>
  <c r="CH119" i="72"/>
  <c r="CH65" i="72"/>
  <c r="CH61" i="72"/>
  <c r="CH75" i="72"/>
  <c r="CH95" i="72"/>
  <c r="CH99" i="72"/>
  <c r="CH51" i="72"/>
  <c r="CH129" i="72"/>
  <c r="CH137" i="72"/>
  <c r="CD108" i="72"/>
  <c r="CD68" i="72"/>
  <c r="CD104" i="72"/>
  <c r="CD62" i="72"/>
  <c r="CD58" i="72"/>
  <c r="CD114" i="72"/>
  <c r="CD52" i="72"/>
  <c r="CD50" i="72"/>
  <c r="CD112" i="72"/>
  <c r="CD128" i="72"/>
  <c r="CD136" i="72"/>
  <c r="CD102" i="72"/>
  <c r="CD98" i="72"/>
  <c r="CD66" i="72"/>
  <c r="CD92" i="72"/>
  <c r="CD90" i="72"/>
  <c r="CD76" i="72"/>
  <c r="CD78" i="72"/>
  <c r="CD120" i="72"/>
  <c r="CD60" i="72"/>
  <c r="CD54" i="72"/>
  <c r="CD130" i="72"/>
  <c r="CD138" i="72"/>
  <c r="CD100" i="72"/>
  <c r="CD84" i="72"/>
  <c r="CD122" i="72"/>
  <c r="CD80" i="72"/>
  <c r="CD74" i="72"/>
  <c r="CD124" i="72"/>
  <c r="CD106" i="72"/>
  <c r="CD116" i="72"/>
  <c r="CD86" i="72"/>
  <c r="CD82" i="72"/>
  <c r="CD132" i="72"/>
  <c r="CD96" i="72"/>
  <c r="CD70" i="72"/>
  <c r="CD118" i="72"/>
  <c r="CD94" i="72"/>
  <c r="CD56" i="72"/>
  <c r="CD88" i="72"/>
  <c r="CD72" i="72"/>
  <c r="CD64" i="72"/>
  <c r="CD110" i="72"/>
  <c r="CD126" i="72"/>
  <c r="CD134" i="72"/>
  <c r="EQ50" i="72" l="1"/>
  <c r="ER50" i="72" s="1"/>
  <c r="CL81" i="72"/>
  <c r="CL79" i="72"/>
  <c r="CL119" i="72"/>
  <c r="CL55" i="72"/>
  <c r="EQ55" i="72" s="1"/>
  <c r="ES55" i="72" s="1"/>
  <c r="CL61" i="72"/>
  <c r="CL77" i="72"/>
  <c r="CL75" i="72"/>
  <c r="CL93" i="72"/>
  <c r="CL113" i="72"/>
  <c r="CI29" i="72"/>
  <c r="CL103" i="72"/>
  <c r="CL135" i="72"/>
  <c r="CL69" i="72"/>
  <c r="CM28" i="72"/>
  <c r="CL89" i="72"/>
  <c r="CL121" i="72"/>
  <c r="CL51" i="72"/>
  <c r="EQ51" i="72" s="1"/>
  <c r="ES51" i="72" s="1"/>
  <c r="CL117" i="72"/>
  <c r="CL83" i="72"/>
  <c r="CL95" i="72"/>
  <c r="CL91" i="72"/>
  <c r="CL123" i="72"/>
  <c r="CL129" i="72"/>
  <c r="CL137" i="72"/>
  <c r="CL115" i="72"/>
  <c r="CL85" i="72"/>
  <c r="CL125" i="72"/>
  <c r="CL97" i="72"/>
  <c r="CL111" i="72"/>
  <c r="CL73" i="72"/>
  <c r="CL109" i="72"/>
  <c r="CL87" i="72"/>
  <c r="CL101" i="72"/>
  <c r="CL99" i="72"/>
  <c r="CL131" i="72"/>
  <c r="CL139" i="72"/>
  <c r="CL127" i="72"/>
  <c r="CL52" i="72"/>
  <c r="EQ52" i="72" s="1"/>
  <c r="ER52" i="72" s="1"/>
  <c r="CL53" i="72"/>
  <c r="EQ53" i="72" s="1"/>
  <c r="ES53" i="72" s="1"/>
  <c r="CL65" i="72"/>
  <c r="CL105" i="72"/>
  <c r="CL59" i="72"/>
  <c r="CL67" i="72"/>
  <c r="CL63" i="72"/>
  <c r="CL57" i="72"/>
  <c r="EQ57" i="72" s="1"/>
  <c r="ES57" i="72" s="1"/>
  <c r="CL107" i="72"/>
  <c r="CL71" i="72"/>
  <c r="CL133" i="72"/>
  <c r="CP77" i="72" l="1"/>
  <c r="CP127" i="72"/>
  <c r="CP67" i="72"/>
  <c r="CP71" i="72"/>
  <c r="CP59" i="72"/>
  <c r="CP99" i="72"/>
  <c r="CP111" i="72"/>
  <c r="CP129" i="72"/>
  <c r="CP87" i="72"/>
  <c r="CP123" i="72"/>
  <c r="CP139" i="72"/>
  <c r="CP147" i="72"/>
  <c r="CP75" i="72"/>
  <c r="CP101" i="72"/>
  <c r="CP93" i="72"/>
  <c r="CM29" i="72"/>
  <c r="CP105" i="72"/>
  <c r="CP125" i="72"/>
  <c r="CP97" i="72"/>
  <c r="CP69" i="72"/>
  <c r="CP85" i="72"/>
  <c r="CP107" i="72"/>
  <c r="CP141" i="72"/>
  <c r="CP113" i="72"/>
  <c r="CP79" i="72"/>
  <c r="CP89" i="72"/>
  <c r="CP131" i="72"/>
  <c r="CQ28" i="72"/>
  <c r="CP109" i="72"/>
  <c r="CP61" i="72"/>
  <c r="CP103" i="72"/>
  <c r="CP95" i="72"/>
  <c r="CP63" i="72"/>
  <c r="CP135" i="72"/>
  <c r="CP143" i="72"/>
  <c r="CP91" i="72"/>
  <c r="CP83" i="72"/>
  <c r="CP133" i="72"/>
  <c r="CP81" i="72"/>
  <c r="CP119" i="72"/>
  <c r="CP121" i="72"/>
  <c r="CP115" i="72"/>
  <c r="CP117" i="72"/>
  <c r="CP73" i="72"/>
  <c r="CP65" i="72"/>
  <c r="CP137" i="72"/>
  <c r="CP145" i="72"/>
  <c r="CL72" i="72"/>
  <c r="CL110" i="72"/>
  <c r="CL124" i="72"/>
  <c r="CL88" i="72"/>
  <c r="CL74" i="72"/>
  <c r="CL114" i="72"/>
  <c r="CL128" i="72"/>
  <c r="CL82" i="72"/>
  <c r="CL120" i="72"/>
  <c r="CL132" i="72"/>
  <c r="CL140" i="72"/>
  <c r="CL70" i="72"/>
  <c r="CL118" i="72"/>
  <c r="CL92" i="72"/>
  <c r="CL80" i="72"/>
  <c r="CL54" i="72"/>
  <c r="EQ54" i="72" s="1"/>
  <c r="ER54" i="72" s="1"/>
  <c r="CL64" i="72"/>
  <c r="CL126" i="72"/>
  <c r="CL116" i="72"/>
  <c r="CL122" i="72"/>
  <c r="CL84" i="72"/>
  <c r="CL134" i="72"/>
  <c r="CL108" i="72"/>
  <c r="CL98" i="72"/>
  <c r="CL130" i="72"/>
  <c r="CL100" i="72"/>
  <c r="CL86" i="72"/>
  <c r="CL90" i="72"/>
  <c r="CL58" i="72"/>
  <c r="EQ58" i="72" s="1"/>
  <c r="ER58" i="72" s="1"/>
  <c r="CL60" i="72"/>
  <c r="CL66" i="72"/>
  <c r="CL104" i="72"/>
  <c r="CL136" i="72"/>
  <c r="CL106" i="72"/>
  <c r="CL78" i="72"/>
  <c r="CL112" i="72"/>
  <c r="CL56" i="72"/>
  <c r="EQ56" i="72" s="1"/>
  <c r="ER56" i="72" s="1"/>
  <c r="CL96" i="72"/>
  <c r="CL62" i="72"/>
  <c r="CL76" i="72"/>
  <c r="CL102" i="72"/>
  <c r="CL68" i="72"/>
  <c r="CL94" i="72"/>
  <c r="CL138" i="72"/>
  <c r="CT59" i="72" l="1"/>
  <c r="CT65" i="72"/>
  <c r="CT135" i="72"/>
  <c r="CT133" i="72"/>
  <c r="CT121" i="72"/>
  <c r="CT111" i="72"/>
  <c r="CT71" i="72"/>
  <c r="CT73" i="72"/>
  <c r="CT125" i="72"/>
  <c r="CT131" i="72"/>
  <c r="CT139" i="72"/>
  <c r="CT147" i="72"/>
  <c r="CT81" i="72"/>
  <c r="CT83" i="72"/>
  <c r="CU28" i="72"/>
  <c r="CT105" i="72"/>
  <c r="CT123" i="72"/>
  <c r="CT95" i="72"/>
  <c r="CT119" i="72"/>
  <c r="CT113" i="72"/>
  <c r="CT63" i="72"/>
  <c r="CT61" i="72"/>
  <c r="CT141" i="72"/>
  <c r="CT77" i="72"/>
  <c r="CT107" i="72"/>
  <c r="CT69" i="72"/>
  <c r="CT117" i="72"/>
  <c r="CT129" i="72"/>
  <c r="CT115" i="72"/>
  <c r="CT109" i="72"/>
  <c r="CT91" i="72"/>
  <c r="CT93" i="72"/>
  <c r="CQ29" i="72"/>
  <c r="CT97" i="72"/>
  <c r="CT143" i="72"/>
  <c r="CT89" i="72"/>
  <c r="CT79" i="72"/>
  <c r="CT75" i="72"/>
  <c r="CT99" i="72"/>
  <c r="CT67" i="72"/>
  <c r="CT127" i="72"/>
  <c r="CT101" i="72"/>
  <c r="CT85" i="72"/>
  <c r="CT87" i="72"/>
  <c r="CT103" i="72"/>
  <c r="CT137" i="72"/>
  <c r="CT145" i="72"/>
  <c r="CP68" i="72"/>
  <c r="CP126" i="72"/>
  <c r="CP90" i="72"/>
  <c r="CP86" i="72"/>
  <c r="CP80" i="72"/>
  <c r="CP136" i="72"/>
  <c r="CP124" i="72"/>
  <c r="CP66" i="72"/>
  <c r="CP98" i="72"/>
  <c r="CP132" i="72"/>
  <c r="CP146" i="72"/>
  <c r="CP60" i="72"/>
  <c r="CP70" i="72"/>
  <c r="CP134" i="72"/>
  <c r="CP116" i="72"/>
  <c r="CP78" i="72"/>
  <c r="CP106" i="72"/>
  <c r="CP92" i="72"/>
  <c r="CP114" i="72"/>
  <c r="CP122" i="72"/>
  <c r="CP74" i="72"/>
  <c r="CP140" i="72"/>
  <c r="CP148" i="72"/>
  <c r="CP112" i="72"/>
  <c r="CP108" i="72"/>
  <c r="CP110" i="72"/>
  <c r="CP120" i="72"/>
  <c r="CP128" i="72"/>
  <c r="CP62" i="72"/>
  <c r="CP88" i="72"/>
  <c r="CP102" i="72"/>
  <c r="CP118" i="72"/>
  <c r="CP100" i="72"/>
  <c r="CP142" i="72"/>
  <c r="CP64" i="72"/>
  <c r="CP82" i="72"/>
  <c r="CP138" i="72"/>
  <c r="CP104" i="72"/>
  <c r="CP94" i="72"/>
  <c r="CP76" i="72"/>
  <c r="CP84" i="72"/>
  <c r="CP96" i="72"/>
  <c r="CP72" i="72"/>
  <c r="CP130" i="72"/>
  <c r="CP144" i="72"/>
  <c r="CX91" i="72" l="1"/>
  <c r="CX83" i="72"/>
  <c r="CX107" i="72"/>
  <c r="CX65" i="72"/>
  <c r="CX109" i="72"/>
  <c r="CX127" i="72"/>
  <c r="CX95" i="72"/>
  <c r="CX99" i="72"/>
  <c r="CX67" i="72"/>
  <c r="CX137" i="72"/>
  <c r="CX141" i="72"/>
  <c r="CX139" i="72"/>
  <c r="CX69" i="72"/>
  <c r="CX81" i="72"/>
  <c r="CX97" i="72"/>
  <c r="CX129" i="72"/>
  <c r="CX105" i="72"/>
  <c r="CX135" i="72"/>
  <c r="CX87" i="72"/>
  <c r="CX119" i="72"/>
  <c r="CX75" i="72"/>
  <c r="CX77" i="72"/>
  <c r="CX73" i="72"/>
  <c r="CX113" i="72"/>
  <c r="CX93" i="72"/>
  <c r="CX117" i="72"/>
  <c r="CX71" i="72"/>
  <c r="CX111" i="72"/>
  <c r="CX103" i="72"/>
  <c r="CX61" i="72"/>
  <c r="CX121" i="72"/>
  <c r="CX145" i="72"/>
  <c r="CX85" i="72"/>
  <c r="CU29" i="72"/>
  <c r="CX59" i="72"/>
  <c r="EQ59" i="72" s="1"/>
  <c r="ES59" i="72" s="1"/>
  <c r="CY28" i="72"/>
  <c r="CX101" i="72"/>
  <c r="CX125" i="72"/>
  <c r="CX133" i="72"/>
  <c r="CX89" i="72"/>
  <c r="CX131" i="72"/>
  <c r="CX79" i="72"/>
  <c r="CX115" i="72"/>
  <c r="CX147" i="72"/>
  <c r="CX123" i="72"/>
  <c r="CX63" i="72"/>
  <c r="CX143" i="72"/>
  <c r="CT62" i="72"/>
  <c r="CT124" i="72"/>
  <c r="CT114" i="72"/>
  <c r="CT94" i="72"/>
  <c r="CT72" i="72"/>
  <c r="CT76" i="72"/>
  <c r="CT80" i="72"/>
  <c r="CT64" i="72"/>
  <c r="CT118" i="72"/>
  <c r="CT128" i="72"/>
  <c r="CT140" i="72"/>
  <c r="CT148" i="72"/>
  <c r="CT104" i="72"/>
  <c r="CT130" i="72"/>
  <c r="CT136" i="72"/>
  <c r="CT108" i="72"/>
  <c r="CT98" i="72"/>
  <c r="CT112" i="72"/>
  <c r="CT102" i="72"/>
  <c r="CT120" i="72"/>
  <c r="CT84" i="72"/>
  <c r="CT122" i="72"/>
  <c r="CT142" i="72"/>
  <c r="CT74" i="72"/>
  <c r="CT88" i="72"/>
  <c r="CT138" i="72"/>
  <c r="CT106" i="72"/>
  <c r="CT66" i="72"/>
  <c r="CT78" i="72"/>
  <c r="CT92" i="72"/>
  <c r="CT86" i="72"/>
  <c r="CT100" i="72"/>
  <c r="CT90" i="72"/>
  <c r="CT144" i="72"/>
  <c r="CT82" i="72"/>
  <c r="CT96" i="72"/>
  <c r="CT60" i="72"/>
  <c r="CT68" i="72"/>
  <c r="CT70" i="72"/>
  <c r="CT132" i="72"/>
  <c r="CT110" i="72"/>
  <c r="CT126" i="72"/>
  <c r="CT134" i="72"/>
  <c r="CT116" i="72"/>
  <c r="CT146" i="72"/>
  <c r="CX104" i="72" l="1"/>
  <c r="CX68" i="72"/>
  <c r="CX86" i="72"/>
  <c r="CX120" i="72"/>
  <c r="CX108" i="72"/>
  <c r="CX126" i="72"/>
  <c r="CX70" i="72"/>
  <c r="CX106" i="72"/>
  <c r="CX100" i="72"/>
  <c r="CX118" i="72"/>
  <c r="CX76" i="72"/>
  <c r="CX136" i="72"/>
  <c r="CX66" i="72"/>
  <c r="CX142" i="72"/>
  <c r="CX96" i="72"/>
  <c r="CX128" i="72"/>
  <c r="CX114" i="72"/>
  <c r="CX92" i="72"/>
  <c r="CX134" i="72"/>
  <c r="CX64" i="72"/>
  <c r="CX80" i="72"/>
  <c r="CX124" i="72"/>
  <c r="CX72" i="72"/>
  <c r="CX138" i="72"/>
  <c r="CX88" i="72"/>
  <c r="CX122" i="72"/>
  <c r="CX62" i="72"/>
  <c r="CX140" i="72"/>
  <c r="CX146" i="72"/>
  <c r="CX60" i="72"/>
  <c r="EQ60" i="72" s="1"/>
  <c r="ER60" i="72" s="1"/>
  <c r="CX102" i="72"/>
  <c r="CX132" i="72"/>
  <c r="CX82" i="72"/>
  <c r="CX74" i="72"/>
  <c r="CX98" i="72"/>
  <c r="CX84" i="72"/>
  <c r="CX130" i="72"/>
  <c r="CX94" i="72"/>
  <c r="CX110" i="72"/>
  <c r="CX78" i="72"/>
  <c r="CX148" i="72"/>
  <c r="CX112" i="72"/>
  <c r="CX116" i="72"/>
  <c r="CX90" i="72"/>
  <c r="CX144" i="72"/>
  <c r="DB61" i="72"/>
  <c r="DB97" i="72"/>
  <c r="DB123" i="72"/>
  <c r="DB63" i="72"/>
  <c r="DB101" i="72"/>
  <c r="DB103" i="72"/>
  <c r="DB113" i="72"/>
  <c r="DB99" i="72"/>
  <c r="DB91" i="72"/>
  <c r="DB129" i="72"/>
  <c r="DB137" i="72"/>
  <c r="DB145" i="72"/>
  <c r="DB93" i="72"/>
  <c r="DB87" i="72"/>
  <c r="CY29" i="72"/>
  <c r="DB121" i="72"/>
  <c r="DB79" i="72"/>
  <c r="DB83" i="72"/>
  <c r="DB111" i="72"/>
  <c r="DB77" i="72"/>
  <c r="DB117" i="72"/>
  <c r="DB131" i="72"/>
  <c r="DB139" i="72"/>
  <c r="DB147" i="72"/>
  <c r="DB71" i="72"/>
  <c r="DB75" i="72"/>
  <c r="DC28" i="72"/>
  <c r="DB125" i="72"/>
  <c r="DB73" i="72"/>
  <c r="DB115" i="72"/>
  <c r="DB85" i="72"/>
  <c r="DB109" i="72"/>
  <c r="DB67" i="72"/>
  <c r="DB133" i="72"/>
  <c r="DB141" i="72"/>
  <c r="DB149" i="72"/>
  <c r="DB65" i="72"/>
  <c r="DB107" i="72"/>
  <c r="DB119" i="72"/>
  <c r="DB69" i="72"/>
  <c r="DB105" i="72"/>
  <c r="DB95" i="72"/>
  <c r="DB89" i="72"/>
  <c r="DB81" i="72"/>
  <c r="DB127" i="72"/>
  <c r="DB135" i="72"/>
  <c r="DB143" i="72"/>
  <c r="DF69" i="72" l="1"/>
  <c r="DF97" i="72"/>
  <c r="DF123" i="72"/>
  <c r="DF91" i="72"/>
  <c r="DF73" i="72"/>
  <c r="DF107" i="72"/>
  <c r="DC29" i="72"/>
  <c r="DF81" i="72"/>
  <c r="DF93" i="72"/>
  <c r="DF129" i="72"/>
  <c r="DF137" i="72"/>
  <c r="DF145" i="72"/>
  <c r="DF87" i="72"/>
  <c r="DF125" i="72"/>
  <c r="DF113" i="72"/>
  <c r="DF131" i="72"/>
  <c r="DF147" i="72"/>
  <c r="DF79" i="72"/>
  <c r="DF67" i="72"/>
  <c r="DF119" i="72"/>
  <c r="DF109" i="72"/>
  <c r="DF103" i="72"/>
  <c r="DF83" i="72"/>
  <c r="DF117" i="72"/>
  <c r="DG28" i="72"/>
  <c r="DF121" i="72"/>
  <c r="DF133" i="72"/>
  <c r="DF141" i="72"/>
  <c r="DF149" i="72"/>
  <c r="DF65" i="72"/>
  <c r="DF99" i="72"/>
  <c r="DF71" i="72"/>
  <c r="DF95" i="72"/>
  <c r="DF75" i="72"/>
  <c r="DF63" i="72"/>
  <c r="DF111" i="72"/>
  <c r="DF115" i="72"/>
  <c r="DF127" i="72"/>
  <c r="DF135" i="72"/>
  <c r="DF143" i="72"/>
  <c r="DF101" i="72"/>
  <c r="DF61" i="72"/>
  <c r="DF77" i="72"/>
  <c r="DF105" i="72"/>
  <c r="DF85" i="72"/>
  <c r="DF89" i="72"/>
  <c r="DF139" i="72"/>
  <c r="DB110" i="72"/>
  <c r="DB68" i="72"/>
  <c r="DB114" i="72"/>
  <c r="DB66" i="72"/>
  <c r="DB108" i="72"/>
  <c r="DB84" i="72"/>
  <c r="DB92" i="72"/>
  <c r="DB124" i="72"/>
  <c r="DB74" i="72"/>
  <c r="DB130" i="72"/>
  <c r="DB146" i="72"/>
  <c r="DB90" i="72"/>
  <c r="DB104" i="72"/>
  <c r="DB86" i="72"/>
  <c r="DB80" i="72"/>
  <c r="DB102" i="72"/>
  <c r="DB62" i="72"/>
  <c r="DB106" i="72"/>
  <c r="DB126" i="72"/>
  <c r="DB132" i="72"/>
  <c r="DB140" i="72"/>
  <c r="DB148" i="72"/>
  <c r="DB78" i="72"/>
  <c r="DB64" i="72"/>
  <c r="DB96" i="72"/>
  <c r="DB118" i="72"/>
  <c r="DB76" i="72"/>
  <c r="DB82" i="72"/>
  <c r="DB94" i="72"/>
  <c r="DB88" i="72"/>
  <c r="DB70" i="72"/>
  <c r="DB134" i="72"/>
  <c r="DB142" i="72"/>
  <c r="DB150" i="72"/>
  <c r="DB112" i="72"/>
  <c r="DB72" i="72"/>
  <c r="DB128" i="72"/>
  <c r="DB136" i="72"/>
  <c r="DB144" i="72"/>
  <c r="DB120" i="72"/>
  <c r="DB100" i="72"/>
  <c r="DB98" i="72"/>
  <c r="DB122" i="72"/>
  <c r="DB116" i="72"/>
  <c r="DB138" i="72"/>
  <c r="DF94" i="72" l="1"/>
  <c r="DF96" i="72"/>
  <c r="DF128" i="72"/>
  <c r="DF70" i="72"/>
  <c r="DF106" i="72"/>
  <c r="DF118" i="72"/>
  <c r="DF110" i="72"/>
  <c r="DF68" i="72"/>
  <c r="DF124" i="72"/>
  <c r="DF136" i="72"/>
  <c r="DF144" i="72"/>
  <c r="DF64" i="72"/>
  <c r="DF86" i="72"/>
  <c r="DF112" i="72"/>
  <c r="DF104" i="72"/>
  <c r="DF130" i="72"/>
  <c r="DF146" i="72"/>
  <c r="DF66" i="72"/>
  <c r="DF116" i="72"/>
  <c r="DF90" i="72"/>
  <c r="DF88" i="72"/>
  <c r="DF92" i="72"/>
  <c r="DF76" i="72"/>
  <c r="DF82" i="72"/>
  <c r="DF72" i="72"/>
  <c r="DF132" i="72"/>
  <c r="DF140" i="72"/>
  <c r="DF148" i="72"/>
  <c r="DF62" i="72"/>
  <c r="DF98" i="72"/>
  <c r="DF126" i="72"/>
  <c r="DF108" i="72"/>
  <c r="DF74" i="72"/>
  <c r="DF122" i="72"/>
  <c r="DF78" i="72"/>
  <c r="DF114" i="72"/>
  <c r="DF80" i="72"/>
  <c r="DF134" i="72"/>
  <c r="DF142" i="72"/>
  <c r="DF150" i="72"/>
  <c r="DF84" i="72"/>
  <c r="DF102" i="72"/>
  <c r="DF120" i="72"/>
  <c r="DF100" i="72"/>
  <c r="DF138" i="72"/>
  <c r="DJ79" i="72"/>
  <c r="DJ123" i="72"/>
  <c r="DJ127" i="72"/>
  <c r="DJ97" i="72"/>
  <c r="DJ119" i="72"/>
  <c r="DJ113" i="72"/>
  <c r="DJ103" i="72"/>
  <c r="DJ95" i="72"/>
  <c r="DJ89" i="72"/>
  <c r="DJ61" i="72"/>
  <c r="DJ137" i="72"/>
  <c r="DJ145" i="72"/>
  <c r="DJ111" i="72"/>
  <c r="DJ121" i="72"/>
  <c r="DJ67" i="72"/>
  <c r="DJ77" i="72"/>
  <c r="DJ65" i="72"/>
  <c r="DJ131" i="72"/>
  <c r="DJ139" i="72"/>
  <c r="DG29" i="72"/>
  <c r="DJ69" i="72"/>
  <c r="DJ71" i="72"/>
  <c r="DK28" i="72"/>
  <c r="DO28" i="72" s="1"/>
  <c r="DJ99" i="72"/>
  <c r="DJ109" i="72"/>
  <c r="DJ93" i="72"/>
  <c r="DJ75" i="72"/>
  <c r="DJ129" i="72"/>
  <c r="DJ133" i="72"/>
  <c r="DJ141" i="72"/>
  <c r="DJ149" i="72"/>
  <c r="DJ91" i="72"/>
  <c r="DJ101" i="72"/>
  <c r="DJ83" i="72"/>
  <c r="DJ87" i="72"/>
  <c r="DJ81" i="72"/>
  <c r="DJ85" i="72"/>
  <c r="DJ63" i="72"/>
  <c r="DJ107" i="72"/>
  <c r="DJ73" i="72"/>
  <c r="DJ135" i="72"/>
  <c r="DJ143" i="72"/>
  <c r="DJ105" i="72"/>
  <c r="DJ125" i="72"/>
  <c r="DJ115" i="72"/>
  <c r="DJ117" i="72"/>
  <c r="DJ147" i="72"/>
  <c r="DS28" i="72" l="1"/>
  <c r="DR91" i="72"/>
  <c r="DR149" i="72"/>
  <c r="DR151" i="72"/>
  <c r="DR93" i="72"/>
  <c r="DR95" i="72"/>
  <c r="DR97" i="72"/>
  <c r="DR99" i="72"/>
  <c r="DR101" i="72"/>
  <c r="DR103" i="72"/>
  <c r="DR105" i="72"/>
  <c r="DR107" i="72"/>
  <c r="DR109" i="72"/>
  <c r="DR111" i="72"/>
  <c r="DR113" i="72"/>
  <c r="DR115" i="72"/>
  <c r="DR117" i="72"/>
  <c r="DR119" i="72"/>
  <c r="DR121" i="72"/>
  <c r="DR123" i="72"/>
  <c r="DR125" i="72"/>
  <c r="DR127" i="72"/>
  <c r="DR129" i="72"/>
  <c r="DR131" i="72"/>
  <c r="DR133" i="72"/>
  <c r="DR135" i="72"/>
  <c r="DR137" i="72"/>
  <c r="DR139" i="72"/>
  <c r="DR141" i="72"/>
  <c r="DR143" i="72"/>
  <c r="DR145" i="72"/>
  <c r="DR147" i="72"/>
  <c r="DO29" i="72"/>
  <c r="DR63" i="72"/>
  <c r="DJ102" i="72"/>
  <c r="DJ114" i="72"/>
  <c r="DJ62" i="72"/>
  <c r="DJ96" i="72"/>
  <c r="DJ110" i="72"/>
  <c r="DJ98" i="72"/>
  <c r="DJ86" i="72"/>
  <c r="DJ106" i="72"/>
  <c r="DJ66" i="72"/>
  <c r="DJ138" i="72"/>
  <c r="DJ88" i="72"/>
  <c r="DJ84" i="72"/>
  <c r="DJ70" i="72"/>
  <c r="DJ78" i="72"/>
  <c r="DJ140" i="72"/>
  <c r="DJ76" i="72"/>
  <c r="DJ120" i="72"/>
  <c r="DJ130" i="72"/>
  <c r="DJ116" i="72"/>
  <c r="DJ90" i="72"/>
  <c r="DJ72" i="72"/>
  <c r="DJ68" i="72"/>
  <c r="DJ112" i="72"/>
  <c r="DJ128" i="72"/>
  <c r="DJ134" i="72"/>
  <c r="DJ142" i="72"/>
  <c r="DJ150" i="72"/>
  <c r="DJ108" i="72"/>
  <c r="DJ82" i="72"/>
  <c r="DJ92" i="72"/>
  <c r="DJ64" i="72"/>
  <c r="DJ122" i="72"/>
  <c r="DJ104" i="72"/>
  <c r="DJ100" i="72"/>
  <c r="DJ74" i="72"/>
  <c r="DJ124" i="72"/>
  <c r="DJ136" i="72"/>
  <c r="DJ144" i="72"/>
  <c r="DJ146" i="72"/>
  <c r="DJ94" i="72"/>
  <c r="DJ118" i="72"/>
  <c r="DJ126" i="72"/>
  <c r="DJ80" i="72"/>
  <c r="DJ132" i="72"/>
  <c r="DJ148" i="72"/>
  <c r="DN131" i="72"/>
  <c r="DN89" i="72"/>
  <c r="DN121" i="72"/>
  <c r="DN125" i="72"/>
  <c r="DN83" i="72"/>
  <c r="DN115" i="72"/>
  <c r="DN117" i="72"/>
  <c r="DN87" i="72"/>
  <c r="DN119" i="72"/>
  <c r="DN109" i="72"/>
  <c r="DN139" i="72"/>
  <c r="DN147" i="72"/>
  <c r="DN97" i="72"/>
  <c r="DN91" i="72"/>
  <c r="DN63" i="72"/>
  <c r="DN127" i="72"/>
  <c r="DN141" i="72"/>
  <c r="DN73" i="72"/>
  <c r="DN105" i="72"/>
  <c r="DN77" i="72"/>
  <c r="DN67" i="72"/>
  <c r="DN99" i="72"/>
  <c r="DN69" i="72"/>
  <c r="DN71" i="72"/>
  <c r="DN103" i="72"/>
  <c r="DN61" i="72"/>
  <c r="EQ61" i="72" s="1"/>
  <c r="ES61" i="72" s="1"/>
  <c r="DN135" i="72"/>
  <c r="DN143" i="72"/>
  <c r="DN81" i="72"/>
  <c r="DN113" i="72"/>
  <c r="DN101" i="72"/>
  <c r="DN75" i="72"/>
  <c r="DN107" i="72"/>
  <c r="DN93" i="72"/>
  <c r="DN79" i="72"/>
  <c r="DN111" i="72"/>
  <c r="DN85" i="72"/>
  <c r="DN137" i="72"/>
  <c r="DN145" i="72"/>
  <c r="DN65" i="72"/>
  <c r="DN129" i="72"/>
  <c r="DK29" i="72"/>
  <c r="DN123" i="72"/>
  <c r="DN95" i="72"/>
  <c r="DN133" i="72"/>
  <c r="DN149" i="72"/>
  <c r="DR83" i="72" l="1"/>
  <c r="DR86" i="72"/>
  <c r="DR87" i="72"/>
  <c r="DR89" i="72"/>
  <c r="DR85" i="72"/>
  <c r="DR92" i="72"/>
  <c r="DR88" i="72"/>
  <c r="DR150" i="72"/>
  <c r="DR84" i="72"/>
  <c r="DR90" i="72"/>
  <c r="DR94" i="72"/>
  <c r="DR152" i="72"/>
  <c r="DR96" i="72"/>
  <c r="DR98" i="72"/>
  <c r="DR100" i="72"/>
  <c r="DR102" i="72"/>
  <c r="DR104" i="72"/>
  <c r="DR106" i="72"/>
  <c r="DR108" i="72"/>
  <c r="DR110" i="72"/>
  <c r="DR112" i="72"/>
  <c r="DR114" i="72"/>
  <c r="DR116" i="72"/>
  <c r="DR118" i="72"/>
  <c r="DR120" i="72"/>
  <c r="DR122" i="72"/>
  <c r="DR124" i="72"/>
  <c r="DR126" i="72"/>
  <c r="DR128" i="72"/>
  <c r="DR130" i="72"/>
  <c r="DR132" i="72"/>
  <c r="DR134" i="72"/>
  <c r="DR136" i="72"/>
  <c r="DR138" i="72"/>
  <c r="DR140" i="72"/>
  <c r="DR142" i="72"/>
  <c r="DR144" i="72"/>
  <c r="DR146" i="72"/>
  <c r="DR148" i="72"/>
  <c r="DS29" i="72"/>
  <c r="DW28" i="72"/>
  <c r="DV63" i="72"/>
  <c r="DV91" i="72"/>
  <c r="DV93" i="72"/>
  <c r="DV95" i="72"/>
  <c r="DV97" i="72"/>
  <c r="DV99" i="72"/>
  <c r="DV101" i="72"/>
  <c r="DV103" i="72"/>
  <c r="DV105" i="72"/>
  <c r="DV107" i="72"/>
  <c r="DV109" i="72"/>
  <c r="DV111" i="72"/>
  <c r="DV113" i="72"/>
  <c r="DV115" i="72"/>
  <c r="DV117" i="72"/>
  <c r="DV119" i="72"/>
  <c r="DV121" i="72"/>
  <c r="DV123" i="72"/>
  <c r="DV125" i="72"/>
  <c r="DV127" i="72"/>
  <c r="DV129" i="72"/>
  <c r="DV131" i="72"/>
  <c r="DV133" i="72"/>
  <c r="DV135" i="72"/>
  <c r="DV137" i="72"/>
  <c r="DV139" i="72"/>
  <c r="DV141" i="72"/>
  <c r="DV143" i="72"/>
  <c r="DV145" i="72"/>
  <c r="DV147" i="72"/>
  <c r="DV149" i="72"/>
  <c r="DV151" i="72"/>
  <c r="DR64" i="72"/>
  <c r="DR65" i="72"/>
  <c r="DR66" i="72"/>
  <c r="DR67" i="72"/>
  <c r="DR68" i="72"/>
  <c r="DR69" i="72"/>
  <c r="DR70" i="72"/>
  <c r="DR71" i="72"/>
  <c r="DR72" i="72"/>
  <c r="DR73" i="72"/>
  <c r="DR74" i="72"/>
  <c r="DR76" i="72"/>
  <c r="DR75" i="72"/>
  <c r="DR78" i="72"/>
  <c r="DR77" i="72"/>
  <c r="DR79" i="72"/>
  <c r="DR80" i="72"/>
  <c r="DR82" i="72"/>
  <c r="DR81" i="72"/>
  <c r="DN68" i="72"/>
  <c r="DN100" i="72"/>
  <c r="DN132" i="72"/>
  <c r="DN114" i="72"/>
  <c r="DN78" i="72"/>
  <c r="DN80" i="72"/>
  <c r="DN150" i="72"/>
  <c r="DN66" i="72"/>
  <c r="DN86" i="72"/>
  <c r="DN122" i="72"/>
  <c r="DN120" i="72"/>
  <c r="DN144" i="72"/>
  <c r="DN84" i="72"/>
  <c r="DN116" i="72"/>
  <c r="DN74" i="72"/>
  <c r="DN62" i="72"/>
  <c r="EQ62" i="72" s="1"/>
  <c r="ER62" i="72" s="1"/>
  <c r="DN94" i="72"/>
  <c r="DN126" i="72"/>
  <c r="DN64" i="72"/>
  <c r="DN96" i="72"/>
  <c r="DN128" i="72"/>
  <c r="DN138" i="72"/>
  <c r="DN146" i="72"/>
  <c r="DN92" i="72"/>
  <c r="DN124" i="72"/>
  <c r="DN90" i="72"/>
  <c r="DN70" i="72"/>
  <c r="DN102" i="72"/>
  <c r="DN82" i="72"/>
  <c r="DN72" i="72"/>
  <c r="DN104" i="72"/>
  <c r="DN98" i="72"/>
  <c r="DN140" i="72"/>
  <c r="DN148" i="72"/>
  <c r="DN110" i="72"/>
  <c r="DN106" i="72"/>
  <c r="DN112" i="72"/>
  <c r="DN130" i="72"/>
  <c r="DN142" i="72"/>
  <c r="DN76" i="72"/>
  <c r="DN108" i="72"/>
  <c r="DN134" i="72"/>
  <c r="DN118" i="72"/>
  <c r="DN88" i="72"/>
  <c r="DN136" i="72"/>
  <c r="DV65" i="72" l="1"/>
  <c r="DV64" i="72"/>
  <c r="DV66" i="72"/>
  <c r="DV67" i="72"/>
  <c r="DV68" i="72"/>
  <c r="DV69" i="72"/>
  <c r="DV70" i="72"/>
  <c r="DV71" i="72"/>
  <c r="DV72" i="72"/>
  <c r="DV73" i="72"/>
  <c r="DV74" i="72"/>
  <c r="DV75" i="72"/>
  <c r="DV76" i="72"/>
  <c r="DV77" i="72"/>
  <c r="DV78" i="72"/>
  <c r="DV79" i="72"/>
  <c r="DV80" i="72"/>
  <c r="DV81" i="72"/>
  <c r="DV82" i="72"/>
  <c r="DV84" i="72"/>
  <c r="DV83" i="72"/>
  <c r="DV86" i="72"/>
  <c r="DV85" i="72"/>
  <c r="DV87" i="72"/>
  <c r="DV88" i="72"/>
  <c r="DV89" i="72"/>
  <c r="DV90" i="72"/>
  <c r="DV92" i="72"/>
  <c r="DV94" i="72"/>
  <c r="DV96" i="72"/>
  <c r="DV98" i="72"/>
  <c r="DV100" i="72"/>
  <c r="DV102" i="72"/>
  <c r="DV104" i="72"/>
  <c r="DV106" i="72"/>
  <c r="DV108" i="72"/>
  <c r="DV110" i="72"/>
  <c r="DV112" i="72"/>
  <c r="DV114" i="72"/>
  <c r="DV116" i="72"/>
  <c r="DV118" i="72"/>
  <c r="DV120" i="72"/>
  <c r="DV122" i="72"/>
  <c r="DV124" i="72"/>
  <c r="DV126" i="72"/>
  <c r="DV128" i="72"/>
  <c r="DV130" i="72"/>
  <c r="DV132" i="72"/>
  <c r="DV134" i="72"/>
  <c r="DV136" i="72"/>
  <c r="DV138" i="72"/>
  <c r="DV140" i="72"/>
  <c r="DV142" i="72"/>
  <c r="DV144" i="72"/>
  <c r="DV146" i="72"/>
  <c r="DV148" i="72"/>
  <c r="DV150" i="72"/>
  <c r="DV152" i="72"/>
  <c r="EA28" i="72"/>
  <c r="EE28" i="72" s="1"/>
  <c r="EI28" i="72" s="1"/>
  <c r="EM28" i="72" s="1"/>
  <c r="DW29" i="72"/>
  <c r="DZ63" i="72"/>
  <c r="DZ91" i="72"/>
  <c r="DZ93" i="72"/>
  <c r="DZ95" i="72"/>
  <c r="DZ97" i="72"/>
  <c r="DZ99" i="72"/>
  <c r="DZ101" i="72"/>
  <c r="DZ103" i="72"/>
  <c r="DZ105" i="72"/>
  <c r="DZ107" i="72"/>
  <c r="DZ109" i="72"/>
  <c r="DZ111" i="72"/>
  <c r="DZ113" i="72"/>
  <c r="DZ115" i="72"/>
  <c r="DZ117" i="72"/>
  <c r="DZ119" i="72"/>
  <c r="DZ121" i="72"/>
  <c r="DZ123" i="72"/>
  <c r="DZ125" i="72"/>
  <c r="DZ127" i="72"/>
  <c r="DZ129" i="72"/>
  <c r="DZ131" i="72"/>
  <c r="DZ133" i="72"/>
  <c r="DZ135" i="72"/>
  <c r="DZ137" i="72"/>
  <c r="DZ139" i="72"/>
  <c r="DZ141" i="72"/>
  <c r="DZ143" i="72"/>
  <c r="DZ145" i="72"/>
  <c r="DZ147" i="72"/>
  <c r="DZ149" i="72"/>
  <c r="DZ151" i="72"/>
  <c r="EM29" i="72" l="1"/>
  <c r="EP91" i="72"/>
  <c r="EP93" i="72"/>
  <c r="EP95" i="72"/>
  <c r="EP97" i="72"/>
  <c r="EP99" i="72"/>
  <c r="EP101" i="72"/>
  <c r="EP103" i="72"/>
  <c r="EP105" i="72"/>
  <c r="EP107" i="72"/>
  <c r="EP109" i="72"/>
  <c r="EP111" i="72"/>
  <c r="EP113" i="72"/>
  <c r="EP115" i="72"/>
  <c r="EP117" i="72"/>
  <c r="EP119" i="72"/>
  <c r="EP121" i="72"/>
  <c r="EP123" i="72"/>
  <c r="EP125" i="72"/>
  <c r="EP127" i="72"/>
  <c r="EP129" i="72"/>
  <c r="EP131" i="72"/>
  <c r="EP133" i="72"/>
  <c r="EP135" i="72"/>
  <c r="EP137" i="72"/>
  <c r="EP139" i="72"/>
  <c r="EP141" i="72"/>
  <c r="EP143" i="72"/>
  <c r="EP145" i="72"/>
  <c r="EP147" i="72"/>
  <c r="EP149" i="72"/>
  <c r="EP151" i="72"/>
  <c r="EP153" i="72"/>
  <c r="EP155" i="72"/>
  <c r="EI29" i="72"/>
  <c r="EL91" i="72"/>
  <c r="EL93" i="72"/>
  <c r="EL95" i="72"/>
  <c r="EL97" i="72"/>
  <c r="EL99" i="72"/>
  <c r="EL101" i="72"/>
  <c r="EL103" i="72"/>
  <c r="EL105" i="72"/>
  <c r="EL107" i="72"/>
  <c r="EL109" i="72"/>
  <c r="EL111" i="72"/>
  <c r="EL113" i="72"/>
  <c r="EL115" i="72"/>
  <c r="EL117" i="72"/>
  <c r="EL119" i="72"/>
  <c r="EL121" i="72"/>
  <c r="EL123" i="72"/>
  <c r="EL125" i="72"/>
  <c r="EL127" i="72"/>
  <c r="EL129" i="72"/>
  <c r="EL131" i="72"/>
  <c r="EL133" i="72"/>
  <c r="EL135" i="72"/>
  <c r="EL137" i="72"/>
  <c r="EL139" i="72"/>
  <c r="EL141" i="72"/>
  <c r="EL143" i="72"/>
  <c r="EL145" i="72"/>
  <c r="EL147" i="72"/>
  <c r="EL149" i="72"/>
  <c r="EL151" i="72"/>
  <c r="EL153" i="72"/>
  <c r="EL155" i="72"/>
  <c r="EH153" i="72"/>
  <c r="EQ153" i="72" s="1"/>
  <c r="EH155" i="72"/>
  <c r="EE29" i="72"/>
  <c r="EH91" i="72"/>
  <c r="EH93" i="72"/>
  <c r="EH95" i="72"/>
  <c r="EH97" i="72"/>
  <c r="EH99" i="72"/>
  <c r="EH101" i="72"/>
  <c r="EH103" i="72"/>
  <c r="EH105" i="72"/>
  <c r="EH107" i="72"/>
  <c r="EH109" i="72"/>
  <c r="EH111" i="72"/>
  <c r="EH113" i="72"/>
  <c r="EH115" i="72"/>
  <c r="EH117" i="72"/>
  <c r="EH119" i="72"/>
  <c r="EH121" i="72"/>
  <c r="EH123" i="72"/>
  <c r="EH125" i="72"/>
  <c r="EH127" i="72"/>
  <c r="EH129" i="72"/>
  <c r="EH131" i="72"/>
  <c r="EH133" i="72"/>
  <c r="EH135" i="72"/>
  <c r="EH137" i="72"/>
  <c r="EH139" i="72"/>
  <c r="EH141" i="72"/>
  <c r="EH143" i="72"/>
  <c r="EH145" i="72"/>
  <c r="EH147" i="72"/>
  <c r="EH149" i="72"/>
  <c r="EH151" i="72"/>
  <c r="DZ64" i="72"/>
  <c r="DZ66" i="72"/>
  <c r="DZ65" i="72"/>
  <c r="DZ67" i="72"/>
  <c r="DZ68" i="72"/>
  <c r="DZ69" i="72"/>
  <c r="DZ70" i="72"/>
  <c r="DZ71" i="72"/>
  <c r="DZ72" i="72"/>
  <c r="DZ73" i="72"/>
  <c r="DZ74" i="72"/>
  <c r="DZ75" i="72"/>
  <c r="DZ76" i="72"/>
  <c r="DZ77" i="72"/>
  <c r="DZ78" i="72"/>
  <c r="DZ80" i="72"/>
  <c r="DZ79" i="72"/>
  <c r="DZ81" i="72"/>
  <c r="DZ82" i="72"/>
  <c r="DZ83" i="72"/>
  <c r="DZ84" i="72"/>
  <c r="DZ85" i="72"/>
  <c r="DZ86" i="72"/>
  <c r="DZ88" i="72"/>
  <c r="DZ87" i="72"/>
  <c r="DZ89" i="72"/>
  <c r="DZ90" i="72"/>
  <c r="DZ92" i="72"/>
  <c r="DZ94" i="72"/>
  <c r="DZ96" i="72"/>
  <c r="DZ98" i="72"/>
  <c r="DZ100" i="72"/>
  <c r="DZ102" i="72"/>
  <c r="DZ104" i="72"/>
  <c r="DZ106" i="72"/>
  <c r="DZ108" i="72"/>
  <c r="DZ110" i="72"/>
  <c r="DZ112" i="72"/>
  <c r="DZ114" i="72"/>
  <c r="DZ116" i="72"/>
  <c r="DZ118" i="72"/>
  <c r="DZ120" i="72"/>
  <c r="DZ122" i="72"/>
  <c r="DZ124" i="72"/>
  <c r="DZ126" i="72"/>
  <c r="DZ128" i="72"/>
  <c r="DZ130" i="72"/>
  <c r="DZ132" i="72"/>
  <c r="DZ134" i="72"/>
  <c r="DZ136" i="72"/>
  <c r="DZ138" i="72"/>
  <c r="DZ140" i="72"/>
  <c r="DZ142" i="72"/>
  <c r="DZ144" i="72"/>
  <c r="DZ146" i="72"/>
  <c r="DZ148" i="72"/>
  <c r="DZ150" i="72"/>
  <c r="DZ152" i="72"/>
  <c r="EA29" i="72"/>
  <c r="ED63" i="72"/>
  <c r="EQ63" i="72" s="1"/>
  <c r="ES63" i="72" s="1"/>
  <c r="ED91" i="72"/>
  <c r="ED93" i="72"/>
  <c r="ED95" i="72"/>
  <c r="ED97" i="72"/>
  <c r="ED99" i="72"/>
  <c r="ED101" i="72"/>
  <c r="ED103" i="72"/>
  <c r="ED105" i="72"/>
  <c r="ED107" i="72"/>
  <c r="ED109" i="72"/>
  <c r="ED111" i="72"/>
  <c r="ED113" i="72"/>
  <c r="ED115" i="72"/>
  <c r="ED117" i="72"/>
  <c r="ED119" i="72"/>
  <c r="ED121" i="72"/>
  <c r="ED123" i="72"/>
  <c r="ED125" i="72"/>
  <c r="ED127" i="72"/>
  <c r="ED129" i="72"/>
  <c r="ED131" i="72"/>
  <c r="ED133" i="72"/>
  <c r="ED135" i="72"/>
  <c r="ED137" i="72"/>
  <c r="ED139" i="72"/>
  <c r="ED141" i="72"/>
  <c r="ED143" i="72"/>
  <c r="ED145" i="72"/>
  <c r="ED147" i="72"/>
  <c r="ED149" i="72"/>
  <c r="ED151" i="72"/>
  <c r="EQ125" i="72" l="1"/>
  <c r="EQ93" i="72"/>
  <c r="EQ109" i="72"/>
  <c r="EQ141" i="72"/>
  <c r="EQ111" i="72"/>
  <c r="EQ127" i="72"/>
  <c r="ES127" i="72" s="1"/>
  <c r="EQ143" i="72"/>
  <c r="ES143" i="72" s="1"/>
  <c r="EQ95" i="72"/>
  <c r="ES95" i="72" s="1"/>
  <c r="EQ99" i="72"/>
  <c r="ES99" i="72" s="1"/>
  <c r="EQ115" i="72"/>
  <c r="ES115" i="72" s="1"/>
  <c r="EQ131" i="72"/>
  <c r="ES131" i="72" s="1"/>
  <c r="EQ123" i="72"/>
  <c r="ES123" i="72" s="1"/>
  <c r="EQ91" i="72"/>
  <c r="ES91" i="72" s="1"/>
  <c r="EQ147" i="72"/>
  <c r="ES147" i="72" s="1"/>
  <c r="EQ139" i="72"/>
  <c r="ES139" i="72" s="1"/>
  <c r="EQ107" i="72"/>
  <c r="ES107" i="72" s="1"/>
  <c r="EQ151" i="72"/>
  <c r="ES151" i="72" s="1"/>
  <c r="EQ135" i="72"/>
  <c r="ES135" i="72" s="1"/>
  <c r="EQ119" i="72"/>
  <c r="ES119" i="72" s="1"/>
  <c r="EQ103" i="72"/>
  <c r="ES103" i="72" s="1"/>
  <c r="EQ149" i="72"/>
  <c r="ES149" i="72" s="1"/>
  <c r="EQ133" i="72"/>
  <c r="ES133" i="72" s="1"/>
  <c r="EQ117" i="72"/>
  <c r="ES117" i="72" s="1"/>
  <c r="EQ101" i="72"/>
  <c r="ES101" i="72" s="1"/>
  <c r="EQ145" i="72"/>
  <c r="ES145" i="72" s="1"/>
  <c r="EQ129" i="72"/>
  <c r="ES129" i="72" s="1"/>
  <c r="EQ113" i="72"/>
  <c r="ES113" i="72" s="1"/>
  <c r="EQ97" i="72"/>
  <c r="ES97" i="72" s="1"/>
  <c r="EQ121" i="72"/>
  <c r="ES121" i="72" s="1"/>
  <c r="EQ105" i="72"/>
  <c r="ES105" i="72" s="1"/>
  <c r="EQ137" i="72"/>
  <c r="ES137" i="72" s="1"/>
  <c r="EP68" i="72"/>
  <c r="EP67" i="72"/>
  <c r="EP69" i="72"/>
  <c r="EP70" i="72"/>
  <c r="EP71" i="72"/>
  <c r="EP72" i="72"/>
  <c r="EP73" i="72"/>
  <c r="EP74" i="72"/>
  <c r="EP75" i="72"/>
  <c r="EP76" i="72"/>
  <c r="EP77" i="72"/>
  <c r="EP78" i="72"/>
  <c r="EP79" i="72"/>
  <c r="EP80" i="72"/>
  <c r="EP81" i="72"/>
  <c r="EP82" i="72"/>
  <c r="EP83" i="72"/>
  <c r="EP84" i="72"/>
  <c r="EP85" i="72"/>
  <c r="EP86" i="72"/>
  <c r="EP87" i="72"/>
  <c r="EP88" i="72"/>
  <c r="EP89" i="72"/>
  <c r="EP90" i="72"/>
  <c r="EP92" i="72"/>
  <c r="EP94" i="72"/>
  <c r="EP96" i="72"/>
  <c r="EP98" i="72"/>
  <c r="EP100" i="72"/>
  <c r="EP102" i="72"/>
  <c r="EP104" i="72"/>
  <c r="EP106" i="72"/>
  <c r="EP108" i="72"/>
  <c r="EP110" i="72"/>
  <c r="EP112" i="72"/>
  <c r="EP114" i="72"/>
  <c r="EP116" i="72"/>
  <c r="EP118" i="72"/>
  <c r="EP120" i="72"/>
  <c r="EP122" i="72"/>
  <c r="EP124" i="72"/>
  <c r="EP126" i="72"/>
  <c r="EP128" i="72"/>
  <c r="EP130" i="72"/>
  <c r="EP132" i="72"/>
  <c r="EP134" i="72"/>
  <c r="EP136" i="72"/>
  <c r="EP138" i="72"/>
  <c r="EP140" i="72"/>
  <c r="EP142" i="72"/>
  <c r="EP144" i="72"/>
  <c r="EP146" i="72"/>
  <c r="EP148" i="72"/>
  <c r="EP150" i="72"/>
  <c r="EP152" i="72"/>
  <c r="EP154" i="72"/>
  <c r="EP156" i="72"/>
  <c r="EQ155" i="72"/>
  <c r="EL67" i="72"/>
  <c r="EL68" i="72"/>
  <c r="EL69" i="72"/>
  <c r="EL70" i="72"/>
  <c r="EL71" i="72"/>
  <c r="EL72" i="72"/>
  <c r="EL73" i="72"/>
  <c r="EL74" i="72"/>
  <c r="EL75" i="72"/>
  <c r="EL76" i="72"/>
  <c r="EL77" i="72"/>
  <c r="EL78" i="72"/>
  <c r="EL79" i="72"/>
  <c r="EL80" i="72"/>
  <c r="EL81" i="72"/>
  <c r="EL82" i="72"/>
  <c r="EL83" i="72"/>
  <c r="EL84" i="72"/>
  <c r="EL85" i="72"/>
  <c r="EL86" i="72"/>
  <c r="EL87" i="72"/>
  <c r="EL88" i="72"/>
  <c r="EL89" i="72"/>
  <c r="EL90" i="72"/>
  <c r="EL92" i="72"/>
  <c r="EL94" i="72"/>
  <c r="EL96" i="72"/>
  <c r="EL98" i="72"/>
  <c r="EL100" i="72"/>
  <c r="EL102" i="72"/>
  <c r="EL104" i="72"/>
  <c r="EL106" i="72"/>
  <c r="EL108" i="72"/>
  <c r="EL110" i="72"/>
  <c r="EL112" i="72"/>
  <c r="EL114" i="72"/>
  <c r="EL116" i="72"/>
  <c r="EL118" i="72"/>
  <c r="EL120" i="72"/>
  <c r="EL122" i="72"/>
  <c r="EL124" i="72"/>
  <c r="EL126" i="72"/>
  <c r="EL128" i="72"/>
  <c r="EL130" i="72"/>
  <c r="EL132" i="72"/>
  <c r="EL134" i="72"/>
  <c r="EL136" i="72"/>
  <c r="EL138" i="72"/>
  <c r="EL140" i="72"/>
  <c r="EL142" i="72"/>
  <c r="EL144" i="72"/>
  <c r="EL146" i="72"/>
  <c r="EL148" i="72"/>
  <c r="EL150" i="72"/>
  <c r="EL152" i="72"/>
  <c r="EL154" i="72"/>
  <c r="EL156" i="72"/>
  <c r="ES155" i="72"/>
  <c r="ES153" i="72"/>
  <c r="ES93" i="72"/>
  <c r="ES125" i="72"/>
  <c r="ES111" i="72"/>
  <c r="ES141" i="72"/>
  <c r="ES109" i="72"/>
  <c r="EH154" i="72"/>
  <c r="EH156" i="72"/>
  <c r="EH67" i="72"/>
  <c r="EH68" i="72"/>
  <c r="EH69" i="72"/>
  <c r="EH70" i="72"/>
  <c r="EH71" i="72"/>
  <c r="EH72" i="72"/>
  <c r="EH73" i="72"/>
  <c r="EH74" i="72"/>
  <c r="EH75" i="72"/>
  <c r="EH76" i="72"/>
  <c r="EH77" i="72"/>
  <c r="EH78" i="72"/>
  <c r="EH79" i="72"/>
  <c r="EH80" i="72"/>
  <c r="EH81" i="72"/>
  <c r="EH82" i="72"/>
  <c r="EH83" i="72"/>
  <c r="EH84" i="72"/>
  <c r="EH86" i="72"/>
  <c r="EH85" i="72"/>
  <c r="EH87" i="72"/>
  <c r="EH88" i="72"/>
  <c r="EH89" i="72"/>
  <c r="EH90" i="72"/>
  <c r="EH92" i="72"/>
  <c r="EH94" i="72"/>
  <c r="EH96" i="72"/>
  <c r="EH98" i="72"/>
  <c r="EH100" i="72"/>
  <c r="EH102" i="72"/>
  <c r="EH104" i="72"/>
  <c r="EH106" i="72"/>
  <c r="EH108" i="72"/>
  <c r="EH110" i="72"/>
  <c r="EH112" i="72"/>
  <c r="EH114" i="72"/>
  <c r="EH116" i="72"/>
  <c r="EH118" i="72"/>
  <c r="EH120" i="72"/>
  <c r="EH122" i="72"/>
  <c r="EH124" i="72"/>
  <c r="EH126" i="72"/>
  <c r="EH128" i="72"/>
  <c r="EH130" i="72"/>
  <c r="EH132" i="72"/>
  <c r="EH134" i="72"/>
  <c r="EH136" i="72"/>
  <c r="EH138" i="72"/>
  <c r="EH140" i="72"/>
  <c r="EH142" i="72"/>
  <c r="EH144" i="72"/>
  <c r="EH146" i="72"/>
  <c r="EH148" i="72"/>
  <c r="EH150" i="72"/>
  <c r="EH152" i="72"/>
  <c r="ED64" i="72"/>
  <c r="EQ64" i="72" s="1"/>
  <c r="ER64" i="72" s="1"/>
  <c r="ED66" i="72"/>
  <c r="EQ66" i="72" s="1"/>
  <c r="ER66" i="72" s="1"/>
  <c r="ED65" i="72"/>
  <c r="EQ65" i="72" s="1"/>
  <c r="ES65" i="72" s="1"/>
  <c r="ED67" i="72"/>
  <c r="ED68" i="72"/>
  <c r="ED69" i="72"/>
  <c r="ED70" i="72"/>
  <c r="ED71" i="72"/>
  <c r="ED72" i="72"/>
  <c r="ED73" i="72"/>
  <c r="ED74" i="72"/>
  <c r="ED75" i="72"/>
  <c r="ED76" i="72"/>
  <c r="ED77" i="72"/>
  <c r="ED78" i="72"/>
  <c r="ED79" i="72"/>
  <c r="ED80" i="72"/>
  <c r="ED81" i="72"/>
  <c r="ED82" i="72"/>
  <c r="ED83" i="72"/>
  <c r="ED84" i="72"/>
  <c r="ED86" i="72"/>
  <c r="ED85" i="72"/>
  <c r="ED87" i="72"/>
  <c r="ED88" i="72"/>
  <c r="ED89" i="72"/>
  <c r="ED90" i="72"/>
  <c r="ED92" i="72"/>
  <c r="ED94" i="72"/>
  <c r="ED96" i="72"/>
  <c r="ED98" i="72"/>
  <c r="ED100" i="72"/>
  <c r="ED102" i="72"/>
  <c r="ED104" i="72"/>
  <c r="ED106" i="72"/>
  <c r="ED108" i="72"/>
  <c r="ED110" i="72"/>
  <c r="ED112" i="72"/>
  <c r="ED114" i="72"/>
  <c r="ED116" i="72"/>
  <c r="ED118" i="72"/>
  <c r="ED120" i="72"/>
  <c r="ED122" i="72"/>
  <c r="ED124" i="72"/>
  <c r="ED126" i="72"/>
  <c r="ED128" i="72"/>
  <c r="ED130" i="72"/>
  <c r="ED132" i="72"/>
  <c r="ED134" i="72"/>
  <c r="ED136" i="72"/>
  <c r="ED138" i="72"/>
  <c r="ED140" i="72"/>
  <c r="ED142" i="72"/>
  <c r="ED144" i="72"/>
  <c r="ED146" i="72"/>
  <c r="ED148" i="72"/>
  <c r="ED150" i="72"/>
  <c r="ED152" i="72"/>
  <c r="EQ67" i="72" l="1"/>
  <c r="EQ142" i="72"/>
  <c r="ER142" i="72" s="1"/>
  <c r="EQ126" i="72"/>
  <c r="EQ110" i="72"/>
  <c r="EQ90" i="72"/>
  <c r="ER90" i="72" s="1"/>
  <c r="EQ74" i="72"/>
  <c r="EQ138" i="72"/>
  <c r="ER138" i="72" s="1"/>
  <c r="EQ82" i="72"/>
  <c r="ER82" i="72" s="1"/>
  <c r="EQ122" i="72"/>
  <c r="ER122" i="72" s="1"/>
  <c r="EQ118" i="72"/>
  <c r="ER118" i="72" s="1"/>
  <c r="EQ88" i="72"/>
  <c r="EQ72" i="72"/>
  <c r="ER72" i="72" s="1"/>
  <c r="EQ150" i="72"/>
  <c r="ER150" i="72" s="1"/>
  <c r="EQ102" i="72"/>
  <c r="ER102" i="72" s="1"/>
  <c r="EQ154" i="72"/>
  <c r="ER154" i="72" s="1"/>
  <c r="EQ106" i="72"/>
  <c r="ER106" i="72" s="1"/>
  <c r="EQ134" i="72"/>
  <c r="ER134" i="72" s="1"/>
  <c r="EQ80" i="72"/>
  <c r="ER80" i="72" s="1"/>
  <c r="EQ108" i="72"/>
  <c r="EQ92" i="72"/>
  <c r="ER92" i="72" s="1"/>
  <c r="EQ83" i="72"/>
  <c r="ES83" i="72" s="1"/>
  <c r="EQ75" i="72"/>
  <c r="ES75" i="72" s="1"/>
  <c r="EQ140" i="72"/>
  <c r="ER140" i="72" s="1"/>
  <c r="EQ124" i="72"/>
  <c r="ER124" i="72" s="1"/>
  <c r="EQ132" i="72"/>
  <c r="ER132" i="72" s="1"/>
  <c r="EQ87" i="72"/>
  <c r="ES87" i="72" s="1"/>
  <c r="EQ71" i="72"/>
  <c r="EQ148" i="72"/>
  <c r="ER148" i="72" s="1"/>
  <c r="EQ116" i="72"/>
  <c r="ER116" i="72" s="1"/>
  <c r="EQ100" i="72"/>
  <c r="ER100" i="72" s="1"/>
  <c r="EQ79" i="72"/>
  <c r="ES79" i="72" s="1"/>
  <c r="EQ156" i="72"/>
  <c r="ER156" i="72" s="1"/>
  <c r="EQ128" i="72"/>
  <c r="ER128" i="72" s="1"/>
  <c r="EQ96" i="72"/>
  <c r="ER96" i="72" s="1"/>
  <c r="EQ86" i="72"/>
  <c r="EQ77" i="72"/>
  <c r="ES77" i="72" s="1"/>
  <c r="EQ69" i="72"/>
  <c r="ES69" i="72" s="1"/>
  <c r="EQ144" i="72"/>
  <c r="ER144" i="72" s="1"/>
  <c r="EQ112" i="72"/>
  <c r="ER112" i="72" s="1"/>
  <c r="EQ146" i="72"/>
  <c r="ER146" i="72" s="1"/>
  <c r="EQ130" i="72"/>
  <c r="ER130" i="72" s="1"/>
  <c r="EQ114" i="72"/>
  <c r="ER114" i="72" s="1"/>
  <c r="EQ98" i="72"/>
  <c r="ER98" i="72" s="1"/>
  <c r="EQ85" i="72"/>
  <c r="ES85" i="72" s="1"/>
  <c r="EQ78" i="72"/>
  <c r="ER78" i="72" s="1"/>
  <c r="EQ70" i="72"/>
  <c r="ER70" i="72" s="1"/>
  <c r="EQ94" i="72"/>
  <c r="ER94" i="72" s="1"/>
  <c r="EQ84" i="72"/>
  <c r="ER84" i="72" s="1"/>
  <c r="EQ76" i="72"/>
  <c r="ER76" i="72" s="1"/>
  <c r="EQ68" i="72"/>
  <c r="ER68" i="72" s="1"/>
  <c r="EQ152" i="72"/>
  <c r="ER152" i="72" s="1"/>
  <c r="EQ136" i="72"/>
  <c r="ER136" i="72" s="1"/>
  <c r="EQ120" i="72"/>
  <c r="ER120" i="72" s="1"/>
  <c r="EQ104" i="72"/>
  <c r="ER104" i="72" s="1"/>
  <c r="EQ89" i="72"/>
  <c r="ES89" i="72" s="1"/>
  <c r="EQ81" i="72"/>
  <c r="ES81" i="72" s="1"/>
  <c r="EQ73" i="72"/>
  <c r="ES73" i="72" s="1"/>
  <c r="ER86" i="72"/>
  <c r="ER108" i="72"/>
  <c r="ES67" i="72"/>
  <c r="ER110" i="72"/>
  <c r="ER74" i="72"/>
  <c r="ER126" i="72"/>
  <c r="ER88" i="72"/>
  <c r="ES71" i="72"/>
  <c r="ET68" i="72" l="1"/>
  <c r="H300" i="48" s="1"/>
  <c r="H302" i="48" l="1"/>
  <c r="D152" i="68" s="1"/>
  <c r="D156" i="68" s="1"/>
  <c r="F237" i="65" l="1"/>
  <c r="I237" i="65" s="1"/>
  <c r="K240" i="65" s="1"/>
  <c r="I240" i="65" l="1"/>
  <c r="IK301" i="48"/>
</calcChain>
</file>

<file path=xl/sharedStrings.xml><?xml version="1.0" encoding="utf-8"?>
<sst xmlns="http://schemas.openxmlformats.org/spreadsheetml/2006/main" count="3319" uniqueCount="1308">
  <si>
    <t>Q</t>
  </si>
  <si>
    <t>To accomodate varying in-service dates for different phases of these projects, it may be necessary to perform the above calculations by vintage.</t>
  </si>
  <si>
    <t>Lives shown above are illustrative only</t>
  </si>
  <si>
    <t>Federal Income</t>
  </si>
  <si>
    <t>Maryland Income</t>
  </si>
  <si>
    <t>Pennsylvania Income</t>
  </si>
  <si>
    <t>PSC Assessment</t>
  </si>
  <si>
    <t>Expense Items</t>
  </si>
  <si>
    <t>A&amp;G</t>
  </si>
  <si>
    <t>Less line 17g</t>
  </si>
  <si>
    <t>Attachment A Line #s, Descriptions, Notes, Form 1 Page #s and Instructions</t>
  </si>
  <si>
    <t>Environmental Surcharge</t>
  </si>
  <si>
    <t>Pole License</t>
  </si>
  <si>
    <t>Montgomery County Fuel Energy</t>
  </si>
  <si>
    <t>Universal Service Fund</t>
  </si>
  <si>
    <t>Total as reported on p. 263(i)</t>
  </si>
  <si>
    <t>Account 454 - Rent from Electric Property</t>
  </si>
  <si>
    <t>Total Rent Revenues</t>
  </si>
  <si>
    <t>Revenue Adjustment to determine Revenue Credit</t>
  </si>
  <si>
    <t>Transmission Related Account 242 Reserves (exclude current year environmental site related reserves)</t>
  </si>
  <si>
    <t xml:space="preserve">Net Plant Carrying Charge </t>
  </si>
  <si>
    <t>Net Plant Carrying Charge without Depreciation</t>
  </si>
  <si>
    <t>Net Plant Carrying Charge without Depreciation, Return, nor Income Taxes</t>
  </si>
  <si>
    <t>W Enhancement</t>
  </si>
  <si>
    <t>W/O Enhancement</t>
  </si>
  <si>
    <t>Net Plant Carrying Charge</t>
  </si>
  <si>
    <t>Net Plant Carrying Charge Calculation per 100 basis point increase in ROE</t>
  </si>
  <si>
    <t>Net Plant Carrying Charge per 100 basis point increase in ROE without Depreciation</t>
  </si>
  <si>
    <t xml:space="preserve">Net Plant Carrying Charge per 100 basis point increase in ROE </t>
  </si>
  <si>
    <t xml:space="preserve">Net Revenue Requirement per 100 basis point increase in ROE </t>
  </si>
  <si>
    <t xml:space="preserve">Return and Taxes per 100 basis point increase in ROE </t>
  </si>
  <si>
    <t>Appendix A % plus 100 Basis Pts</t>
  </si>
  <si>
    <t>Attachment 4 - Calculation of 100 Basis Point Increase in ROE</t>
  </si>
  <si>
    <t>Return and Taxes with 100 Basis Point increase in ROE</t>
  </si>
  <si>
    <t>100 Basis Point increase in ROE and Income Taxes</t>
  </si>
  <si>
    <t>Respondent is both Electric and Gas Utility. Plant allocated using the Modified</t>
  </si>
  <si>
    <t>See Line 7</t>
  </si>
  <si>
    <t>See Form 1</t>
  </si>
  <si>
    <t>EPRI Dues payed by Holding company (Constellation Energy)</t>
  </si>
  <si>
    <t>None</t>
  </si>
  <si>
    <t>Maryland</t>
  </si>
  <si>
    <t>Maryland Only</t>
  </si>
  <si>
    <t>BG&amp;E Zone</t>
  </si>
  <si>
    <t>Specific identification based on plant records</t>
  </si>
  <si>
    <t>PJM Zonal Peak Load per 34.1 of the PJM OATT</t>
  </si>
  <si>
    <t>Shaded cells are input cells</t>
  </si>
  <si>
    <t>Attachment 2 - Taxes Other Than Income Worksheet</t>
  </si>
  <si>
    <t>Attachment 3 - Revenue Credit Workpaper</t>
  </si>
  <si>
    <t>Attachment 5 - Cost Support</t>
  </si>
  <si>
    <t>Attachment 7 - Transmission Enhancement Charge Worksheet</t>
  </si>
  <si>
    <t>Attachment 6 - Estimate and True-up Worksheet</t>
  </si>
  <si>
    <t>Attachment 8 - Company Exhibit - Securitization Workpaper</t>
  </si>
  <si>
    <t>Attachment 6</t>
  </si>
  <si>
    <t>Attachment 1</t>
  </si>
  <si>
    <t>Attachment 8</t>
  </si>
  <si>
    <t>Attachment 5</t>
  </si>
  <si>
    <t>Attachment 3</t>
  </si>
  <si>
    <t>Attachment 4</t>
  </si>
  <si>
    <t>The FCR resulting from Formula in a given year is used for that year only.</t>
  </si>
  <si>
    <t>(Sum Line 1)</t>
  </si>
  <si>
    <t xml:space="preserve">Regulatory Commission Expenses directly related to transmission service, RTO filings, or transmission siting itemized in Form 1 at 351.h. </t>
  </si>
  <si>
    <t>All EPRI Annual Membership Dues</t>
  </si>
  <si>
    <t>(Sum Lines 2-10)</t>
  </si>
  <si>
    <t>ROE Incentive (Basis Points)</t>
  </si>
  <si>
    <t>Baltimore Gas and Electric Company</t>
  </si>
  <si>
    <t>Respondent is both Electric and Gas Utility.  Common allocated to gas and electric using the Modified version of the Massachusetts Formula approved by the MD PSC.</t>
  </si>
  <si>
    <t>p356.1</t>
  </si>
  <si>
    <t>Fuel Energy</t>
  </si>
  <si>
    <t>Respondent is both Electric and Gas Utility.  Undistributed stores expense allocated using the net plant ratio.</t>
  </si>
  <si>
    <t>p117.62c through 67c</t>
  </si>
  <si>
    <t>p112.18d through 21d</t>
  </si>
  <si>
    <t>p111.81.c</t>
  </si>
  <si>
    <t>p113.61c</t>
  </si>
  <si>
    <t>Line 5</t>
  </si>
  <si>
    <t>p112.16c</t>
  </si>
  <si>
    <t>p112.12c</t>
  </si>
  <si>
    <t>p112.3c</t>
  </si>
  <si>
    <t xml:space="preserve">  Total</t>
  </si>
  <si>
    <t>Costs associated with revenues in line 17a that are included in FERC accounts recovered through the formula times the allocator used to functionalize the amounts in the FERC account to the transmission service at issue.</t>
  </si>
  <si>
    <t>Electric / non-electric cost support above</t>
  </si>
  <si>
    <t xml:space="preserve">Federal FICA </t>
  </si>
  <si>
    <t>Transmission O&amp;M Reserves</t>
  </si>
  <si>
    <t>Enter Negative</t>
  </si>
  <si>
    <t xml:space="preserve">Prepayments </t>
  </si>
  <si>
    <t xml:space="preserve">      Less ADIT associated with Gain or Loss</t>
  </si>
  <si>
    <t>Facility Credits under Section 30.9 of the PJM OATT paid by Utility</t>
  </si>
  <si>
    <t xml:space="preserve">Attachment 5 </t>
  </si>
  <si>
    <t xml:space="preserve">Amount </t>
  </si>
  <si>
    <t>Difference</t>
  </si>
  <si>
    <t xml:space="preserve">Other taxes that are incurred through ownership of plant including transmission plant will be allocated based on the Gross Plant </t>
  </si>
  <si>
    <t>Allocator.  If the taxes are 100% recovered at retail they may not be included</t>
  </si>
  <si>
    <t>Other taxes that are incurred through ownership of only general or intangible plant will be allocated based on the Wages and Salary</t>
  </si>
  <si>
    <t>Other taxes that are assessed based on labor, will be allocated based on the Wages and Salary Allocator</t>
  </si>
  <si>
    <t>Gross Revenue Credits</t>
  </si>
  <si>
    <t>Total Revenue Credits</t>
  </si>
  <si>
    <t>17a</t>
  </si>
  <si>
    <t>17b</t>
  </si>
  <si>
    <t>Costs associated with revenues in line 17a</t>
  </si>
  <si>
    <t>17c</t>
  </si>
  <si>
    <t>17d</t>
  </si>
  <si>
    <t>17e</t>
  </si>
  <si>
    <t>17g</t>
  </si>
  <si>
    <t>Allocated to</t>
  </si>
  <si>
    <t>BG&amp;E</t>
  </si>
  <si>
    <t>Electric</t>
  </si>
  <si>
    <t>Gas</t>
  </si>
  <si>
    <t>Explanation of the method</t>
  </si>
  <si>
    <t xml:space="preserve">FERC Form 1.  Specifically, the ratio to distribute common regulated utility expenses to gas </t>
  </si>
  <si>
    <t xml:space="preserve">and electric is based on a modified version of the Massachusetts formula and is influenced by </t>
  </si>
  <si>
    <t>each line of business's share of total utility labor, depreciation, amortization, and taxes.  BGE</t>
  </si>
  <si>
    <t>has consistently used this approach to distribute common costs to the gas and electric lines</t>
  </si>
  <si>
    <t>during this interval.</t>
  </si>
  <si>
    <t>For Reconciliation Only</t>
  </si>
  <si>
    <t>Exclude Construction Work In Progress and leases that are expensed as O&amp;M (rather than amortized).  New Transmission plant included</t>
  </si>
  <si>
    <t xml:space="preserve">which is expected to be placed in service in the current calendar year weighted by number of months it is expected to be in-service.  </t>
  </si>
  <si>
    <t>Point to Point Service revenues for which the load is not included in the divisor received by transmission owner</t>
  </si>
  <si>
    <r>
      <t>Net revenues associated with Network Integration Transmission Service (NITS) for which the load is not included in the divisor (difference between NITS credits from PJM and PJM NITS charges paid by Transmission Owner)</t>
    </r>
    <r>
      <rPr>
        <sz val="10"/>
        <color indexed="10"/>
        <rFont val="Arial"/>
        <family val="2"/>
      </rPr>
      <t xml:space="preserve"> </t>
    </r>
    <r>
      <rPr>
        <sz val="10"/>
        <rFont val="Arial"/>
        <family val="2"/>
      </rPr>
      <t>(Note 4)</t>
    </r>
  </si>
  <si>
    <t>See (Note J) on Appendix A</t>
  </si>
  <si>
    <t>Utility Total Amount</t>
  </si>
  <si>
    <t>Justification</t>
  </si>
  <si>
    <t>17f</t>
  </si>
  <si>
    <t>Line 17f less line 17a</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</si>
  <si>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</si>
  <si>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</si>
  <si>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</si>
  <si>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</si>
  <si>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</si>
  <si>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</si>
  <si>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</si>
  <si>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</si>
  <si>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</si>
  <si>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Total Transmission Related Reserves</t>
  </si>
  <si>
    <t>Description of the Prepayments</t>
  </si>
  <si>
    <t>Total Account 454 and 456</t>
  </si>
  <si>
    <t>Amount offset in line 4 above</t>
  </si>
  <si>
    <t>Total Income Taxes</t>
  </si>
  <si>
    <t>Summary</t>
  </si>
  <si>
    <t>Net Property, Plant &amp; Equipment</t>
  </si>
  <si>
    <t>Taxes Other than Income</t>
  </si>
  <si>
    <t>Common Stock</t>
  </si>
  <si>
    <t>(Note P)</t>
  </si>
  <si>
    <t>Revenue Credits</t>
  </si>
  <si>
    <t>C</t>
  </si>
  <si>
    <t>Common Depreciation - Electric Only</t>
  </si>
  <si>
    <t>Gross Plant Allocator</t>
  </si>
  <si>
    <t>Total  Capitalization</t>
  </si>
  <si>
    <t>Total Long Term Debt</t>
  </si>
  <si>
    <t>Total Return ( R )</t>
  </si>
  <si>
    <t xml:space="preserve">On November 16, 2007, the Federal Energy Regulatory Commission (FERC) granted Baltimore Gas and Electric (BGE) in Docket No. ER07-576 incentive rate </t>
  </si>
  <si>
    <t xml:space="preserve">treatment for 6 projects designated in the PJM Regional Transmission Expansion Plan (RTEP) as Transmission Owner Initiated (TOI).  Specifically, FERC </t>
  </si>
  <si>
    <t>Total Long Term Debt (WCLTD)</t>
  </si>
  <si>
    <t>REVENUE REQUIREMENT</t>
  </si>
  <si>
    <t>I</t>
  </si>
  <si>
    <t>Total Taxes Other than Income</t>
  </si>
  <si>
    <t>J</t>
  </si>
  <si>
    <t>Long Term Interest</t>
  </si>
  <si>
    <t>Long Term Debt</t>
  </si>
  <si>
    <t xml:space="preserve">    Less LTD Interest on Securitization Bonds</t>
  </si>
  <si>
    <t>p323.160b</t>
  </si>
  <si>
    <t>p323.162b</t>
  </si>
  <si>
    <t>Depreciation Expense</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</si>
  <si>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</si>
  <si>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</si>
  <si>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</si>
  <si>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</si>
  <si>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</si>
  <si>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</si>
  <si>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</si>
  <si>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</si>
  <si>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</si>
  <si>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</si>
  <si>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</si>
  <si>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</si>
  <si>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p354.21.b</t>
  </si>
  <si>
    <t>p354.28b</t>
  </si>
  <si>
    <t>p354.27b</t>
  </si>
  <si>
    <t>p321.112.b</t>
  </si>
  <si>
    <t>p321.96.b</t>
  </si>
  <si>
    <t>p323.185.b</t>
  </si>
  <si>
    <t>p323.189.b</t>
  </si>
  <si>
    <t>p323.191.b</t>
  </si>
  <si>
    <t>p323.189b</t>
  </si>
  <si>
    <t>Schedule 1A</t>
  </si>
  <si>
    <t>Other Taxes</t>
  </si>
  <si>
    <t>p207.95g</t>
  </si>
  <si>
    <t>p207.58.g</t>
  </si>
  <si>
    <t>(Notes A &amp; L)</t>
  </si>
  <si>
    <t>p266.h</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</si>
  <si>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</si>
  <si>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</si>
  <si>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</si>
  <si>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</si>
  <si>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</si>
  <si>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</si>
  <si>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</si>
  <si>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</si>
  <si>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</si>
  <si>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</si>
  <si>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</si>
  <si>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</si>
  <si>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(Note S)</t>
  </si>
  <si>
    <t xml:space="preserve">All Regulatory Commission Expenses </t>
  </si>
  <si>
    <t>General &amp; Common Expenses Allocated to Transmission</t>
  </si>
  <si>
    <t>Total Materials &amp; Supplies Allocated to Transmission</t>
  </si>
  <si>
    <t>Materials and Supplies</t>
  </si>
  <si>
    <t>Included in cost of debt computation</t>
  </si>
  <si>
    <t>Company Records</t>
  </si>
  <si>
    <t>P</t>
  </si>
  <si>
    <t>Accumulated Depreciation</t>
  </si>
  <si>
    <t>Prepayments</t>
  </si>
  <si>
    <t>Cash Working Capital</t>
  </si>
  <si>
    <t>Allocators</t>
  </si>
  <si>
    <t>Less A&amp;G Wages Expense</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</si>
  <si>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</si>
  <si>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</si>
  <si>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</si>
  <si>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</si>
  <si>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</si>
  <si>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</si>
  <si>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</si>
  <si>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</si>
  <si>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Prepaid Pensions</t>
  </si>
  <si>
    <t>Less extraordinary property losses</t>
  </si>
  <si>
    <t>Extraordinary Property Loss</t>
  </si>
  <si>
    <t>Number of years</t>
  </si>
  <si>
    <t>w/ interest</t>
  </si>
  <si>
    <t xml:space="preserve">     Plus Schedule 12 payments billed to Transmission Owner and booked to Account 565</t>
  </si>
  <si>
    <t>Payments made under Schedule 12 of the PJM OATT that are not directly assessed to load in the zone under Schedule 12 are included in Transmission O&amp;M.</t>
  </si>
  <si>
    <t>Securitization bonds may be included in the capital structure per settlement in ER05-515.</t>
  </si>
  <si>
    <t>As provided for in Section 34.1 of the PJM OATT and the PJM established billing determinants will not be revised or updated in the annual rate reconciliations per settlement in ER05-515.</t>
  </si>
  <si>
    <t>Plus any increased ROE calculated on Attachment 7 other than PJM Sch. 12 projects</t>
  </si>
  <si>
    <t>Attachment 7</t>
  </si>
  <si>
    <t>Schedule 12</t>
  </si>
  <si>
    <t>Account 456 - Other Electric Revenues (Note 1)</t>
  </si>
  <si>
    <t>Net Revenues (17a - 17b)</t>
  </si>
  <si>
    <t>50% Share of Net Revenues (17c/2)</t>
  </si>
  <si>
    <t>Net Revenue Credit (17d + 17e)</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</si>
  <si>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</si>
  <si>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may be weighted average of small projects</t>
  </si>
  <si>
    <t>Rent from Electric Property - Transmission Related (Note 3)</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</si>
  <si>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</si>
  <si>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</si>
  <si>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</si>
  <si>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</si>
  <si>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</si>
  <si>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Total Electric Administrative &amp; General Cost Support</t>
  </si>
  <si>
    <t>Merger Costs</t>
  </si>
  <si>
    <t>Not Merger Related</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</si>
  <si>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utilize lines 17a - 17g, the utility must track in separate subaccounts the revenues and costs associated with each secondary use (except for the cost of the associated income taxes).</t>
  </si>
  <si>
    <t>Year 2</t>
  </si>
  <si>
    <t>Post results of Step 3 on PJM web site</t>
  </si>
  <si>
    <t>Year 3</t>
  </si>
  <si>
    <t>Reconciliation - TO adds the difference between the Reconciliation in Step 8 and the forecast in Line 5 with interest to the result of Step 7 (this difference is also added to Step 8 in the subsequent year)</t>
  </si>
  <si>
    <t>Post results of Step 9 on PJM web site</t>
  </si>
  <si>
    <t xml:space="preserve">Must run Appendix A with cap adds from row 99 in line 21 &amp; line 20 filled as per row 85 to get this number </t>
  </si>
  <si>
    <t>Rev Req based on Year 1 data without Cap Adds</t>
  </si>
  <si>
    <t>New Transmission Plant Additions for Year 2  (weighted by months in service)</t>
  </si>
  <si>
    <t>New Transmission Plant Additions for Year 3  (weighted by months in service)</t>
  </si>
  <si>
    <t>Revenue Requirement for Year 3</t>
  </si>
  <si>
    <t>Rev Req based on Current Year data with estimated Cap Adds for Year 3 (Step 8)</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</si>
  <si>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</si>
  <si>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</si>
  <si>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</si>
  <si>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</si>
  <si>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</si>
  <si>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</si>
  <si>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</si>
  <si>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</si>
  <si>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</si>
  <si>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</si>
  <si>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</si>
  <si>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</si>
  <si>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</si>
  <si>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 xml:space="preserve">    Plus Securitization Adjustment</t>
  </si>
  <si>
    <t>Capitalization</t>
  </si>
  <si>
    <t>ITC Adjustment</t>
  </si>
  <si>
    <t>ITC Adjustment Allocated to Transmission</t>
  </si>
  <si>
    <t>SIT=State Income Tax Rate or Composite</t>
  </si>
  <si>
    <t>FIT=Federal Income Tax Rate</t>
  </si>
  <si>
    <t>Investment Return = Rate Base * Rate of Return</t>
  </si>
  <si>
    <t>Income Tax Rates</t>
  </si>
  <si>
    <t>Preferred Dividends</t>
  </si>
  <si>
    <t>p118.29c</t>
  </si>
  <si>
    <t>p227.6c &amp; 15.c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</si>
  <si>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</si>
  <si>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</si>
  <si>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</si>
  <si>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</si>
  <si>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</si>
  <si>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</si>
  <si>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</si>
  <si>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</si>
  <si>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</si>
  <si>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</si>
  <si>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</si>
  <si>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</si>
  <si>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</si>
  <si>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</si>
  <si>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</si>
  <si>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</si>
  <si>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</si>
  <si>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NOTES:</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</si>
  <si>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</si>
  <si>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</si>
  <si>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</si>
  <si>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</si>
  <si>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</si>
  <si>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</si>
  <si>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</si>
  <si>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</si>
  <si>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</si>
  <si>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</si>
  <si>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</si>
  <si>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Gas-related &amp; accordingly excluded</t>
  </si>
  <si>
    <t xml:space="preserve"> enter positive</t>
  </si>
  <si>
    <t xml:space="preserve">     CIT=(T/1-T) * Investment Return * (1-(WCLTD/R)) =</t>
  </si>
  <si>
    <t>Plant Allocation Factors</t>
  </si>
  <si>
    <t>Wage &amp; Salary Allocation Factor</t>
  </si>
  <si>
    <t>1/8th Rule</t>
  </si>
  <si>
    <t>TOTAL Adjustment to Rate Base</t>
  </si>
  <si>
    <t>General Depreciation</t>
  </si>
  <si>
    <t>(Note T)</t>
  </si>
  <si>
    <t>Total</t>
  </si>
  <si>
    <t>B</t>
  </si>
  <si>
    <t>Proprietary Capital</t>
  </si>
  <si>
    <t>Operation &amp; Maintenance Expense</t>
  </si>
  <si>
    <t>(Note A)</t>
  </si>
  <si>
    <t>(Note C)</t>
  </si>
  <si>
    <t>(Note L)</t>
  </si>
  <si>
    <t>p323.156b</t>
  </si>
  <si>
    <t>Prepayments (Account 165)</t>
  </si>
  <si>
    <t>Total Transmission Allocated</t>
  </si>
  <si>
    <t>Transmission Accumulated Depreciation</t>
  </si>
  <si>
    <t>Electric Plant in Service</t>
  </si>
  <si>
    <t>Investment Return</t>
  </si>
  <si>
    <t>Income Taxes</t>
  </si>
  <si>
    <t>Gross Revenue Requirement</t>
  </si>
  <si>
    <t xml:space="preserve">    Less EPRI Dues</t>
  </si>
  <si>
    <t>Subtotal - Transmission Related</t>
  </si>
  <si>
    <t>T/ (1-T)</t>
  </si>
  <si>
    <t>Notes</t>
  </si>
  <si>
    <t>Accumulated Intangible Amortization</t>
  </si>
  <si>
    <t>Accumulated Common Plant Depreciation - Electric</t>
  </si>
  <si>
    <t>Allocator</t>
  </si>
  <si>
    <t>p214</t>
  </si>
  <si>
    <t>p110.46d</t>
  </si>
  <si>
    <t>x 1/8</t>
  </si>
  <si>
    <t>enter negative</t>
  </si>
  <si>
    <t>Fixed</t>
  </si>
  <si>
    <t>(Note Q)</t>
  </si>
  <si>
    <t>T</t>
  </si>
  <si>
    <t>Net Revenue Requirement</t>
  </si>
  <si>
    <t>O&amp;M</t>
  </si>
  <si>
    <t xml:space="preserve">     Less Account 565</t>
  </si>
  <si>
    <t>p200.21c</t>
  </si>
  <si>
    <t>Electric portion only</t>
  </si>
  <si>
    <t>Transmission Portion Only</t>
  </si>
  <si>
    <t>(Notes A &amp; B)</t>
  </si>
  <si>
    <t>Accumulated Investment Tax Credit Account No. 255</t>
  </si>
  <si>
    <t xml:space="preserve">    Less Property Insurance Account 924</t>
  </si>
  <si>
    <t xml:space="preserve">    Less Regulatory Commission Exp Account 928</t>
  </si>
  <si>
    <t xml:space="preserve">    Less General Advertising Exp Account 930.1</t>
  </si>
  <si>
    <t>(Note G)</t>
  </si>
  <si>
    <t>Regulatory Commission Exp Account 928</t>
  </si>
  <si>
    <t>General Advertising Exp Account 930.1</t>
  </si>
  <si>
    <t>Property Insurance Account 924</t>
  </si>
  <si>
    <t>(Note I)</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</si>
  <si>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</si>
  <si>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</si>
  <si>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</si>
  <si>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</si>
  <si>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</si>
  <si>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</si>
  <si>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</si>
  <si>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</si>
  <si>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</si>
  <si>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</si>
  <si>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</si>
  <si>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</si>
  <si>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</si>
  <si>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</si>
  <si>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ADIT- 282</t>
  </si>
  <si>
    <t>ADIT-283</t>
  </si>
  <si>
    <t>Personal property</t>
  </si>
  <si>
    <t>Miscellaneous</t>
  </si>
  <si>
    <t>Unemployment</t>
  </si>
  <si>
    <t>Use &amp; Sales Tax</t>
  </si>
  <si>
    <t>Franchise</t>
  </si>
  <si>
    <t>PURTA</t>
  </si>
  <si>
    <t>Capital Stock Tax</t>
  </si>
  <si>
    <t>Corp License</t>
  </si>
  <si>
    <t>Accumulated Deferred Income Taxes</t>
  </si>
  <si>
    <t xml:space="preserve">Safety related advertising included in Account 930.1  </t>
  </si>
  <si>
    <t xml:space="preserve">Education and outreach expenses relating to transmission, for example siting or billing </t>
  </si>
  <si>
    <t>(Note B)</t>
  </si>
  <si>
    <t xml:space="preserve">Plant </t>
  </si>
  <si>
    <t>Related</t>
  </si>
  <si>
    <t>Labor</t>
  </si>
  <si>
    <t>Only</t>
  </si>
  <si>
    <t>Instructions for Account 190:</t>
  </si>
  <si>
    <t>Instructions for Account 283:</t>
  </si>
  <si>
    <t>Instructions for Account 282:</t>
  </si>
  <si>
    <t>Plant Related</t>
  </si>
  <si>
    <t>Page 263</t>
  </si>
  <si>
    <t>Col (i)</t>
  </si>
  <si>
    <t>Gross Premium (insurance) Tax</t>
  </si>
  <si>
    <t>Labor Related</t>
  </si>
  <si>
    <t>Other Included</t>
  </si>
  <si>
    <t>Total Plant Related</t>
  </si>
  <si>
    <t>Total Labor Related</t>
  </si>
  <si>
    <t>Total Other Included</t>
  </si>
  <si>
    <t>Currently Excluded</t>
  </si>
  <si>
    <t>Allocated</t>
  </si>
  <si>
    <t>Amount</t>
  </si>
  <si>
    <t>Exhibit B</t>
  </si>
  <si>
    <t>Total Included</t>
  </si>
  <si>
    <t xml:space="preserve">      Less Loss on Reacquired Debt </t>
  </si>
  <si>
    <t xml:space="preserve">      Plus Gain on Reacquired Debt</t>
  </si>
  <si>
    <t>enter positive</t>
  </si>
  <si>
    <t>Plant Held for Future Use (Including Land)</t>
  </si>
  <si>
    <t>Line #</t>
  </si>
  <si>
    <t>Note</t>
  </si>
  <si>
    <t>Project A</t>
  </si>
  <si>
    <t>Life</t>
  </si>
  <si>
    <t>CIAC</t>
  </si>
  <si>
    <t>Details</t>
  </si>
  <si>
    <t>Invest Yr</t>
  </si>
  <si>
    <t>ROE Incentive</t>
  </si>
  <si>
    <t>No</t>
  </si>
  <si>
    <t>Yes</t>
  </si>
  <si>
    <t>W Incentive</t>
  </si>
  <si>
    <t>FCR if a CIAC</t>
  </si>
  <si>
    <t>FCR if not a CIAC</t>
  </si>
  <si>
    <t>FCR for This Project</t>
  </si>
  <si>
    <t xml:space="preserve">Line B less Line A </t>
  </si>
  <si>
    <t>Investment</t>
  </si>
  <si>
    <t>Annual Depreciation Exp</t>
  </si>
  <si>
    <t xml:space="preserve">For Reconciliation only - remove New Transmission Plant Additions for Current Calendar Year  </t>
  </si>
  <si>
    <t>Excludes prior period adjustments in the first year of the formula's operation and reconciliation for the first year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</si>
  <si>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</si>
  <si>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</si>
  <si>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</si>
  <si>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</si>
  <si>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</si>
  <si>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(adjusted to include any Reconciliation amount from prior year)</t>
  </si>
  <si>
    <t>FCR W/O Incentive</t>
  </si>
  <si>
    <t>Revenue</t>
  </si>
  <si>
    <t>Beginning</t>
  </si>
  <si>
    <t>Depreciation</t>
  </si>
  <si>
    <t>Ending</t>
  </si>
  <si>
    <t>Project B</t>
  </si>
  <si>
    <t>Project C</t>
  </si>
  <si>
    <t>Project D</t>
  </si>
  <si>
    <t>Project E</t>
  </si>
  <si>
    <t>Project F</t>
  </si>
  <si>
    <t>Project G</t>
  </si>
  <si>
    <t>Project H</t>
  </si>
  <si>
    <t>Project I</t>
  </si>
  <si>
    <t>….</t>
  </si>
  <si>
    <t>…..</t>
  </si>
  <si>
    <t>Incentive Charged</t>
  </si>
  <si>
    <t>Revenue Credit</t>
  </si>
  <si>
    <t>Formula Line</t>
  </si>
  <si>
    <t>Real property (State, Municipal or Local)</t>
  </si>
  <si>
    <t>New Plant Carrying Charge</t>
  </si>
  <si>
    <t>W/O Incentive</t>
  </si>
  <si>
    <t xml:space="preserve">      Less LTD on Securitization Bonds</t>
  </si>
  <si>
    <t>SIT for Year</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</si>
  <si>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</si>
  <si>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</si>
  <si>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</si>
  <si>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</si>
  <si>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</si>
  <si>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</si>
  <si>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</si>
  <si>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</si>
  <si>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</si>
  <si>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</si>
  <si>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p = percent of federal income tax deductible for state purposes</t>
  </si>
  <si>
    <t>Network Zonal Service Rate</t>
  </si>
  <si>
    <t>Net Zonal Revenue Requirement</t>
  </si>
  <si>
    <t>Max (p401.29 to 40d)</t>
  </si>
  <si>
    <t>PJM Formula Line #s, Descriptions, Notes, Form 1 Page #s and Instructions</t>
  </si>
  <si>
    <t>Electric Portion</t>
  </si>
  <si>
    <t>EPRI Dues</t>
  </si>
  <si>
    <t>Outstanding Network Credits Worksheet</t>
  </si>
  <si>
    <t>Education and Out Reach Worksheet</t>
  </si>
  <si>
    <t>Excluded Plant Worksheet</t>
  </si>
  <si>
    <t>EPRI Dues Worksheet</t>
  </si>
  <si>
    <t>Electric / Non-electric Worksheet</t>
  </si>
  <si>
    <t>Transmission / Non-transmission Worksheet</t>
  </si>
  <si>
    <t>MultiState Workpaper</t>
  </si>
  <si>
    <t>X</t>
  </si>
  <si>
    <t>PJM Load Worksheet</t>
  </si>
  <si>
    <t>Regulatory Expense Related to Transmission Worksheet</t>
  </si>
  <si>
    <t>(Note H)</t>
  </si>
  <si>
    <t>(Line 11)</t>
  </si>
  <si>
    <t>(Line 12)</t>
  </si>
  <si>
    <t>Form 1 Amount</t>
  </si>
  <si>
    <t>Non-electric  Portion</t>
  </si>
  <si>
    <t>Enter Details</t>
  </si>
  <si>
    <t>Enter</t>
  </si>
  <si>
    <t>Transmission Related</t>
  </si>
  <si>
    <t>Expensed Lease in Form 1 Amount</t>
  </si>
  <si>
    <t>Safety Related</t>
  </si>
  <si>
    <t>Enter State</t>
  </si>
  <si>
    <t>Enter %</t>
  </si>
  <si>
    <t>Enter Calculation</t>
  </si>
  <si>
    <t>State 1</t>
  </si>
  <si>
    <t>State 2</t>
  </si>
  <si>
    <t>State 3</t>
  </si>
  <si>
    <t>State 4</t>
  </si>
  <si>
    <t>State 5</t>
  </si>
  <si>
    <t>Education &amp; Outreach</t>
  </si>
  <si>
    <t>Other</t>
  </si>
  <si>
    <t>Enter $</t>
  </si>
  <si>
    <t>Description of the Facilities</t>
  </si>
  <si>
    <t>Enter  Total $</t>
  </si>
  <si>
    <t>Add more lines if necessary</t>
  </si>
  <si>
    <t>General Description of the Facilities</t>
  </si>
  <si>
    <t>Specific Description of the Facility</t>
  </si>
  <si>
    <t>General Description of the Credits</t>
  </si>
  <si>
    <t>Specific Description of the Credits</t>
  </si>
  <si>
    <t>Description of the Credits</t>
  </si>
  <si>
    <t xml:space="preserve">Description &amp; PJM Documentation </t>
  </si>
  <si>
    <t>Interest on Outstanding Network Credits Worksheet</t>
  </si>
  <si>
    <t>Description of the Interest on the Credits</t>
  </si>
  <si>
    <t>Specific 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</si>
  <si>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</si>
  <si>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</si>
  <si>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</si>
  <si>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</si>
  <si>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</si>
  <si>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</si>
  <si>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</si>
  <si>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</si>
  <si>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</si>
  <si>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</si>
  <si>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</si>
  <si>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Net Revenue Requirement Less Return and Taxes</t>
  </si>
  <si>
    <t>In Service Month (1-12)</t>
  </si>
  <si>
    <t>Step</t>
  </si>
  <si>
    <t>Month</t>
  </si>
  <si>
    <t>Year</t>
  </si>
  <si>
    <t>Action</t>
  </si>
  <si>
    <t>Exec Summary</t>
  </si>
  <si>
    <t>April</t>
  </si>
  <si>
    <t>May</t>
  </si>
  <si>
    <t>June</t>
  </si>
  <si>
    <t>Weighting</t>
  </si>
  <si>
    <t>One 12th</t>
  </si>
  <si>
    <t>Jan</t>
  </si>
  <si>
    <t>Feb</t>
  </si>
  <si>
    <t>Mar</t>
  </si>
  <si>
    <t>Apr</t>
  </si>
  <si>
    <t>Jun</t>
  </si>
  <si>
    <t>Jul</t>
  </si>
  <si>
    <t>Aug</t>
  </si>
  <si>
    <t>Sep</t>
  </si>
  <si>
    <t>Oct</t>
  </si>
  <si>
    <t>Nov</t>
  </si>
  <si>
    <t>Dec</t>
  </si>
  <si>
    <t>Post On PJM Web Site Rev Req and Formula with Exhibits</t>
  </si>
  <si>
    <t>Interest on Amount of Refunds or Surcharges</t>
  </si>
  <si>
    <t>Yr</t>
  </si>
  <si>
    <t>1/12 of Step 9</t>
  </si>
  <si>
    <t>Interest 35.19a for</t>
  </si>
  <si>
    <t>Interest</t>
  </si>
  <si>
    <t>Refunds Owed</t>
  </si>
  <si>
    <t>March Current Yr</t>
  </si>
  <si>
    <t>Months</t>
  </si>
  <si>
    <t>Balance</t>
  </si>
  <si>
    <t>Amort</t>
  </si>
  <si>
    <t>Total Transmission Plant In Service</t>
  </si>
  <si>
    <t>New Transmission Plant Additions for Current Calendar Year  (weighted by months in service)</t>
  </si>
  <si>
    <t xml:space="preserve">    Less Accumulated Depreciation Associated with Facilities with Outstanding Network Credits</t>
  </si>
  <si>
    <t>Safety Related Advertising Worksheet</t>
  </si>
  <si>
    <t>Non-transmission Related</t>
  </si>
  <si>
    <t>CWIP In Form 1 Amount</t>
  </si>
  <si>
    <t>Non-safety Related</t>
  </si>
  <si>
    <t>Draft - Work in Progress</t>
  </si>
  <si>
    <t>Exhibit E - Cap Add Worksheet</t>
  </si>
  <si>
    <t>Cost Support Matrix                                                                                                                                                                          PJM Formula Line #s, Descriptions, Notes, Form 1 Page #s and Instructions</t>
  </si>
  <si>
    <t>Electric / Non-electric Cost Support</t>
  </si>
  <si>
    <t>CWIP &amp; Expensed Lease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</si>
  <si>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</si>
  <si>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</si>
  <si>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</si>
  <si>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</si>
  <si>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</si>
  <si>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</si>
  <si>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</si>
  <si>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</si>
  <si>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MultiState Cost Support</t>
  </si>
  <si>
    <t>Interest on Outstanding Network Credits Cost Support</t>
  </si>
  <si>
    <t xml:space="preserve">  Rate Formula Template, since they are recovered elsewhere.</t>
  </si>
  <si>
    <t>CWIP &amp; Expensed Lease Worksheet</t>
  </si>
  <si>
    <t>Composite Income Taxes                                                                                                                                                                          (Note L)</t>
  </si>
  <si>
    <t>Return Calculation</t>
  </si>
  <si>
    <t>O</t>
  </si>
  <si>
    <t>The FCR resulting from Formula in a given year is used for that year only</t>
  </si>
  <si>
    <t>Therefore actual revenues collected in a year do not change based on cost data for subsequent years</t>
  </si>
  <si>
    <t>Est. In Service Date</t>
  </si>
  <si>
    <t>Actual In Service Date</t>
  </si>
  <si>
    <t>Interest 35.19a for March Current Yr</t>
  </si>
  <si>
    <t>TO adds weighted Cap Adds to plant in service in Formula</t>
  </si>
  <si>
    <t>ADITC-255</t>
  </si>
  <si>
    <t>Amortization</t>
  </si>
  <si>
    <t>Rate Base Treatment</t>
  </si>
  <si>
    <t>Difference  /1</t>
  </si>
  <si>
    <t>/1 Difference must be zero</t>
  </si>
  <si>
    <t>Criteria for Allocation:</t>
  </si>
  <si>
    <t>FN1 #</t>
  </si>
  <si>
    <t>Transmission Related Account 242 Reserves</t>
  </si>
  <si>
    <t>Allocation</t>
  </si>
  <si>
    <t>Directly Assignable to Transmission</t>
  </si>
  <si>
    <t>Labor Related, General plant related or Common Plant related</t>
  </si>
  <si>
    <t>Attachment 5a - Allocations of Costs to Affiliates</t>
  </si>
  <si>
    <t>The true-up in Step 8</t>
  </si>
  <si>
    <t>The forecast in Prior Year</t>
  </si>
  <si>
    <t>Result of Formula for true-up</t>
  </si>
  <si>
    <t>Total with interest</t>
  </si>
  <si>
    <t>ATTACHMENT H-2A</t>
  </si>
  <si>
    <t>For the true-up, new transmission plant which was actually placed in service weighted by the number of months it was actually in service</t>
  </si>
  <si>
    <t>Revenues included in lines 1-11 which are subject to 50/50 sharing</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</si>
  <si>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</si>
  <si>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TO estimates all transmission Cap Adds for Year 2 weighted based on Months expected to be in service in Year 2 (e.g, 2005)</t>
  </si>
  <si>
    <t>Results of Step 3 go into effect for the Rate Year 1 (e.g., June 1, 2005 - May 31, 2006)</t>
  </si>
  <si>
    <t>TO populates the formula with Year 2 data from FERC Form 1 for Year 2 (e.g, 2005)</t>
  </si>
  <si>
    <t>TO estimates Cap Adds during Year 3 weighted based on Months expected to be in service in Year 3 (e.g., 2006)</t>
  </si>
  <si>
    <t>Reconciliation - TO calculates Reconciliation by removing from Year 2 data - the total Cap Adds placed in service in Year 2 and adding weighted average in Year 2 actual Cap Adds in Reconciliation</t>
  </si>
  <si>
    <t>Results of Step 9 go into effect for Rate Year 2 (e.g., June 1, 2006 - May 31, 2007)</t>
  </si>
  <si>
    <t>TO populates the formula with Year 1 data from FERC Form 1 for Year 1 (e.g., 2004)</t>
  </si>
  <si>
    <t>Must run Appendix A to get this number (without any cap adds in line 21 of Appendix A)</t>
  </si>
  <si>
    <t>Remove all Cap Adds placed in service in year 2</t>
  </si>
  <si>
    <t>Add weighted Cap Adds actually placed in service in Year 2</t>
  </si>
  <si>
    <t xml:space="preserve">For Reconciliation only - remove actual New Transmission Plant Additions for Year 2  </t>
  </si>
  <si>
    <t>(Year 2 data with total of Year 2 Cap Adds removed and monthly weighted average of Year 2 actual Cap Adds added in)</t>
  </si>
  <si>
    <t>The difference between the true-up in Step 8 and the forecast in Prior Year with interest</t>
  </si>
  <si>
    <t>True-up amount</t>
  </si>
  <si>
    <t>Amount of transmission plant excluded from rates, includes investment in generation step-up transformers to the extent included in Plant in Service.</t>
  </si>
  <si>
    <t>Calculation of the above Securitization Adjustments</t>
  </si>
  <si>
    <t xml:space="preserve">Taxes Other than Income                                                    </t>
  </si>
  <si>
    <t>Must run Appendix A to get this number (with prospective weighted cap adds in line 21)</t>
  </si>
  <si>
    <t>Must run Appendix A to get this number (without any cap adds in line 21)</t>
  </si>
  <si>
    <t>Excluded because the underlying account(s) are not included in model</t>
  </si>
  <si>
    <t>Formula Rate</t>
  </si>
  <si>
    <t>FERC Form 1  Page # or Instruction</t>
  </si>
  <si>
    <t>(Yes or No)</t>
  </si>
  <si>
    <t>Excluded as per page 8 line 16 of Alan Heintz's direct testimony in FERC Case No. ER05-515</t>
  </si>
  <si>
    <t>Current Period Changes in Transmission Related Account 242 Reserves</t>
  </si>
  <si>
    <t>p227.6c &amp; 16.c</t>
  </si>
  <si>
    <t>Transmission Amortization Expense</t>
  </si>
  <si>
    <t>In  the event the facilities associated with the directly assigned transmission charge are abandoned:</t>
  </si>
  <si>
    <t xml:space="preserve">The Dedicated Facility Project- Abandonment revenue requirement grid(s) shown above reflect the revenue requirements associated with the abandonment costs regulatory </t>
  </si>
  <si>
    <t xml:space="preserve">asset as it pertains to the directly assigned transmission charge.  The revenue requirement associated with these abandonment costs in any given year is included on </t>
  </si>
  <si>
    <t xml:space="preserve">Revenue Requirement").  In this way BGE's wholesale transmission customers are insulated from any revenue requirement effect associated with abandonment costs </t>
  </si>
  <si>
    <t>related to the directly assigned facility charge, should such abandonment costs ever arise.</t>
  </si>
  <si>
    <t xml:space="preserve">line 152 of Attachment H-2A ("the Gross Revenue Requirement") of BGE's formula rate model.  This same revenue requirement is in turn credited on line 159 of Attachment </t>
  </si>
  <si>
    <t xml:space="preserve">H-2A ("Revenue Credits") such that abandonment costs related to this directly assigned transmission charge has no impact on Attachment H-2A, line 161 ("Net </t>
  </si>
  <si>
    <t>44a</t>
  </si>
  <si>
    <t>(Line 45)</t>
  </si>
  <si>
    <t>(Line 84)</t>
  </si>
  <si>
    <t>(Line 55 - 56)</t>
  </si>
  <si>
    <t>(Line 39 + 58)</t>
  </si>
  <si>
    <t>(Lines 60 - 61 + 62 - 63 + 64 + 65)</t>
  </si>
  <si>
    <t>(Lines 67 + 68) -  Sum (69 to 72)</t>
  </si>
  <si>
    <t>(Line 73 * 74)</t>
  </si>
  <si>
    <t>(Line 76 + 77)</t>
  </si>
  <si>
    <t>(Line 79 + 80)</t>
  </si>
  <si>
    <t>(Line 81 * 82)</t>
  </si>
  <si>
    <t>(Line 66 + 75 + 78 + 83)</t>
  </si>
  <si>
    <t>85a</t>
  </si>
  <si>
    <t>(Line 86 + 87)</t>
  </si>
  <si>
    <t>(Line 88 * 89)</t>
  </si>
  <si>
    <t>(Line 91 + 92)</t>
  </si>
  <si>
    <t>(Line 93 * 94)</t>
  </si>
  <si>
    <t>(Line 85 + 85a + 90 + 95)</t>
  </si>
  <si>
    <t>(Line 97)</t>
  </si>
  <si>
    <t>(Line 99 - 100)</t>
  </si>
  <si>
    <t>(Line 192)</t>
  </si>
  <si>
    <t>(Sum Lines 103 to 105)</t>
  </si>
  <si>
    <t>(Sum Lines 107 to 111)</t>
  </si>
  <si>
    <t>(Line 106)</t>
  </si>
  <si>
    <t>(Sum Lines 112 to 114)</t>
  </si>
  <si>
    <t>(Line 112 / 115)</t>
  </si>
  <si>
    <t>(Line 113 / 115)</t>
  </si>
  <si>
    <t>(Line 114 / 115)</t>
  </si>
  <si>
    <t>(Line 101 / 112)</t>
  </si>
  <si>
    <t>(Line 102 / 113)</t>
  </si>
  <si>
    <t>(Line 116 * 119)</t>
  </si>
  <si>
    <t>(Line 117 * 120)</t>
  </si>
  <si>
    <t>(Line 118 * 121)</t>
  </si>
  <si>
    <t>(Sum Lines 122 to 124)</t>
  </si>
  <si>
    <t>(Line 59 * 125)</t>
  </si>
  <si>
    <t>(Line 58)</t>
  </si>
  <si>
    <t>(Line 59)</t>
  </si>
  <si>
    <t>(Line 96)</t>
  </si>
  <si>
    <t>(Line 98)</t>
  </si>
  <si>
    <t>(Line 126)</t>
  </si>
  <si>
    <t>(Line 137)</t>
  </si>
  <si>
    <t>(Sum Lines 141 to 145)</t>
  </si>
  <si>
    <t>(Line 19)</t>
  </si>
  <si>
    <t>(Line 147 - 148)</t>
  </si>
  <si>
    <t>(Line 149 / 147)</t>
  </si>
  <si>
    <t>(Line 146)</t>
  </si>
  <si>
    <t>(Line 150 * 151)</t>
  </si>
  <si>
    <t>(Line 152 - 153 + 154)</t>
  </si>
  <si>
    <t>(Line 155)</t>
  </si>
  <si>
    <t>(Line 156 / 157)</t>
  </si>
  <si>
    <t>(Line 156 - 85) / 157</t>
  </si>
  <si>
    <t>(Line 156 - 85 - 126 - 137) / 157</t>
  </si>
  <si>
    <t>(Line 155 - 144 - 145)</t>
  </si>
  <si>
    <t>(Line 161 + 162)</t>
  </si>
  <si>
    <t>(Line 163 / 164)</t>
  </si>
  <si>
    <t>(Line 162 - 85) / 164</t>
  </si>
  <si>
    <t>(Line 167 + 168 + 169+ 170)</t>
  </si>
  <si>
    <t>(Line 171 / 172)</t>
  </si>
  <si>
    <t>(Line 173)</t>
  </si>
  <si>
    <t>If they are booked to account 565, they are included in on line 64.</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</si>
  <si>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172 of Appendix A.</t>
  </si>
  <si>
    <t>(Line 126 + Line 137)</t>
  </si>
  <si>
    <t>(Line 105 - 99)</t>
  </si>
  <si>
    <t>Abandonment Transmission Projects</t>
  </si>
  <si>
    <t>Unamortized Abandoned Transmission Projects</t>
  </si>
  <si>
    <t>(Line 43 + 44 + 44a + 46 + 51 + 54 - 57)</t>
  </si>
  <si>
    <t>(Note R)</t>
  </si>
  <si>
    <t>Net Transmission Plant and Abandoned Plant</t>
  </si>
  <si>
    <t>(Line 19 - 30 + 44a)</t>
  </si>
  <si>
    <t>R</t>
  </si>
  <si>
    <t>Dedicated Facility Project - Abandonment Costs</t>
  </si>
  <si>
    <t>The revenue requirement associated with this project in any given year is included on line 146 of Attachment H-2A ("the Gross Revenue Requirement") of BGE's formula rate model.</t>
  </si>
  <si>
    <t xml:space="preserve">The Dedicated Facility Project revenue requirement grid(s) shown above reflect the revenue requirements associated with a directly assigned transmission charge.   </t>
  </si>
  <si>
    <t xml:space="preserve">This same revenue requirement is in turn credited on line 153 of Attachment H-2A ("Revenue Credits") such that this directly assigned transmission charge has no impact on Attachment H-2A, line 155 ("Net Revenue Requirement").   </t>
  </si>
  <si>
    <t>In this way BGE's wholesale transmission customers are insulated from any revenue requirement effect from the Dedicated Facility Project.</t>
  </si>
  <si>
    <t>Non-Incentive Return and Income Taxes</t>
  </si>
  <si>
    <t>Model Reference</t>
  </si>
  <si>
    <t>Description</t>
  </si>
  <si>
    <t>see Att. 5, Abandoned Plant Carrying Charge</t>
  </si>
  <si>
    <t>(Appendix A line 144+ line 145)</t>
  </si>
  <si>
    <t>(Appendix A line 59)</t>
  </si>
  <si>
    <t>a</t>
  </si>
  <si>
    <t>b</t>
  </si>
  <si>
    <t>(line a / line b)</t>
  </si>
  <si>
    <t xml:space="preserve">Revenue requirements associated with abandoned plant will be billed to the zones that would have borne cost responsibility if the underlying assets had been placed in service, in </t>
  </si>
  <si>
    <t>accordance with existing PJM cost assignment policies.</t>
  </si>
  <si>
    <t>Years remaining in Amortization Period</t>
  </si>
  <si>
    <t>c</t>
  </si>
  <si>
    <t>d</t>
  </si>
  <si>
    <t>Ending Balance of Unamortized Transmission Projects</t>
  </si>
  <si>
    <t>e</t>
  </si>
  <si>
    <t>f</t>
  </si>
  <si>
    <t>g</t>
  </si>
  <si>
    <t>h</t>
  </si>
  <si>
    <t>(line a - line c)</t>
  </si>
  <si>
    <t>(line a + d)/2</t>
  </si>
  <si>
    <t>1- See row 85a, Appendix A.  See also amortization included in Attachment 7 revenue requirement calculation.</t>
  </si>
  <si>
    <t>2- See row 44a, Appendix A.  See also investment included in Attachment 7 revenue requirement calculation.</t>
  </si>
  <si>
    <t>Depr. Or Amort.</t>
  </si>
  <si>
    <t>Abandoned Plant Calculations</t>
  </si>
  <si>
    <t>Beginning Balance of Unamortized Transmission Projects</t>
  </si>
  <si>
    <t>(line f / line g)</t>
  </si>
  <si>
    <t>3- Carrying charge rate to be used when computing the revenue requirement for all abandonment plant facilities (see Attachment 7).</t>
  </si>
  <si>
    <t>Dedicated Facilities</t>
  </si>
  <si>
    <r>
      <t xml:space="preserve">Transmission Depreciation Expense Including Amortization of Limited Term Plant </t>
    </r>
    <r>
      <rPr>
        <vertAlign val="superscript"/>
        <sz val="12"/>
        <rFont val="Arial"/>
        <family val="2"/>
      </rPr>
      <t>1</t>
    </r>
  </si>
  <si>
    <r>
      <t xml:space="preserve">Average Balance of Unamortized Abandoned Transmission Projects </t>
    </r>
    <r>
      <rPr>
        <vertAlign val="superscript"/>
        <sz val="12"/>
        <rFont val="Arial"/>
        <family val="2"/>
      </rPr>
      <t>2</t>
    </r>
  </si>
  <si>
    <r>
      <t xml:space="preserve">Non-Incentive Return and Income Taxes </t>
    </r>
    <r>
      <rPr>
        <vertAlign val="superscript"/>
        <sz val="12"/>
        <rFont val="Arial"/>
        <family val="2"/>
      </rPr>
      <t>3</t>
    </r>
  </si>
  <si>
    <t>Baltimore Gas and Electric</t>
  </si>
  <si>
    <t>TRANSMISSION PLANT</t>
  </si>
  <si>
    <t>Deprec.</t>
  </si>
  <si>
    <t>Account</t>
  </si>
  <si>
    <t>Account Description</t>
  </si>
  <si>
    <t>Rate (%)</t>
  </si>
  <si>
    <t>LAND RIGHTS</t>
  </si>
  <si>
    <t>STRUCTURES AND IMPROVEMENTS</t>
  </si>
  <si>
    <t>STATION EQUIPMENT</t>
  </si>
  <si>
    <t>TOWERS AND FIXTURES</t>
  </si>
  <si>
    <t>POLES AND FIXTURES</t>
  </si>
  <si>
    <t>OVERHEAD CONDUCTORS AND DEVICES</t>
  </si>
  <si>
    <t>UNDERGROUND CONDUIT</t>
  </si>
  <si>
    <t>UNDERGROUND CONDUCTORS AND DEVICES</t>
  </si>
  <si>
    <t>ROADS AND TRAILS</t>
  </si>
  <si>
    <t>GENERAL PLANT - ELECTRIC</t>
  </si>
  <si>
    <t>OFFICE FURNITURE</t>
  </si>
  <si>
    <t>OFFICE EQUIPMENT</t>
  </si>
  <si>
    <t>PERSONAL COMPUTERS</t>
  </si>
  <si>
    <t>STORES EQUIPMENT</t>
  </si>
  <si>
    <t xml:space="preserve">TOOLS, SHOP AND GARAGE EQUIPMENT              </t>
  </si>
  <si>
    <t>LABORATORY EQUIPMENT</t>
  </si>
  <si>
    <t>COMMUNICATION EQUIPMENT</t>
  </si>
  <si>
    <t>COMMUNICATION EQUIPMENT - DRI</t>
  </si>
  <si>
    <t>MISCELLANEOUS EQUIPMENT</t>
  </si>
  <si>
    <t>GENERAL PLANT - COMMON (ELECTRIC &amp; GAS)</t>
  </si>
  <si>
    <t>COMPUTER EQUIPMENT - OTHER</t>
  </si>
  <si>
    <t>COMPUTER HARDWARE WITH SMART GRID</t>
  </si>
  <si>
    <t>PORTABLE TOOLS</t>
  </si>
  <si>
    <t>SHOP AND GARAGE EQUIPMENT</t>
  </si>
  <si>
    <t>CNG FUELING STATIONS</t>
  </si>
  <si>
    <t>COMMUNICATION EQUIPMENT - OVERHEAD</t>
  </si>
  <si>
    <t>COMMUNICATION EQUIPMENT - UNDERGROUND</t>
  </si>
  <si>
    <t>COMMUNICATION EQUIPMENT - OTHER</t>
  </si>
  <si>
    <t>COMMUNICATION EQUIPMENT - SMART GRID</t>
  </si>
  <si>
    <t>Accrued Bonus</t>
  </si>
  <si>
    <t>Deferred Investment Tax Credit</t>
  </si>
  <si>
    <t>Workers Compensation Reserve</t>
  </si>
  <si>
    <t>Post Retirement Benefits</t>
  </si>
  <si>
    <t>Net Operating Losses (Federal and State)</t>
  </si>
  <si>
    <t>Reg Asset - Smart Energy Rewards</t>
  </si>
  <si>
    <t>Prepaid IT Expense</t>
  </si>
  <si>
    <t xml:space="preserve">Included because prepayments are included in rate base.  Related to accelerated deductibility of these amounts for tax purposes. </t>
  </si>
  <si>
    <t>Property Tax Payable</t>
  </si>
  <si>
    <t xml:space="preserve">Included because plant in service is included in rate base.  </t>
  </si>
  <si>
    <t>STRIDE Overrecovery</t>
  </si>
  <si>
    <t>ERI Overrecovery</t>
  </si>
  <si>
    <t>p207.104g</t>
  </si>
  <si>
    <t>p219.29c</t>
  </si>
  <si>
    <t>p200.21.c</t>
  </si>
  <si>
    <t>General and Intangible Plant</t>
  </si>
  <si>
    <t>p205.5.g &amp; p207.99.g</t>
  </si>
  <si>
    <t>p219.25.c</t>
  </si>
  <si>
    <t>Respondent amortizes investment tax credits against income tax expense.  Therefore zero is reported on this line.</t>
  </si>
  <si>
    <t>Transmission Depreciation</t>
  </si>
  <si>
    <t>p336.7b&amp;c</t>
  </si>
  <si>
    <t>p336.10 b&amp;c</t>
  </si>
  <si>
    <t>p336.1.d</t>
  </si>
  <si>
    <t>General Depreciation multiplied by wage and salary allocator</t>
  </si>
  <si>
    <t>p323.197b</t>
  </si>
  <si>
    <t>Summary of Administrative and General Expense (A&amp;G) Charged to BGE by</t>
  </si>
  <si>
    <t>Exelon Business Services Company (BSC)</t>
  </si>
  <si>
    <t xml:space="preserve">Exelon Business Services Company (BSC) costs are distributed to all affiliates.  Appropriate </t>
  </si>
  <si>
    <t xml:space="preserve">cost allocation factors are assigned to the various headquarters functions to be distributed. </t>
  </si>
  <si>
    <t xml:space="preserve">This BSC cost distribution approach is documented in BGE's Cost Allocation Manual which </t>
  </si>
  <si>
    <t xml:space="preserve">is periodically filed with the Maryland Public Service Commission.  </t>
  </si>
  <si>
    <t xml:space="preserve">Costs distributed to BGE are recorded to the appropriate common A&amp;G expense </t>
  </si>
  <si>
    <t xml:space="preserve">accounts on BGE's books.  All common expenses (including allocations of cost from </t>
  </si>
  <si>
    <t xml:space="preserve">the BSC) are distributed to the electric and gas lines of business as noted on page 356.1 of the   </t>
  </si>
  <si>
    <t>Transmission-specific software recorded in Account 303.</t>
  </si>
  <si>
    <t>Adjustments</t>
  </si>
  <si>
    <t>True-Up Amount</t>
  </si>
  <si>
    <t>Calculated Per Attachment 6</t>
  </si>
  <si>
    <t>Amount Per Attachment A</t>
  </si>
  <si>
    <t>Downtown Project 2007</t>
  </si>
  <si>
    <t>Northwest to Finksburg 2009</t>
  </si>
  <si>
    <t>Downtown Project 2008</t>
  </si>
  <si>
    <t>Downtown Project 2009</t>
  </si>
  <si>
    <t>Downtown Project 2010</t>
  </si>
  <si>
    <t>Northwest to Finksburg 2010</t>
  </si>
  <si>
    <t>Northwest to Finksburg 2011</t>
  </si>
  <si>
    <t>Dedicated Facility Project 2014</t>
  </si>
  <si>
    <t>Non-electric portion represents asset retirement reserve.</t>
  </si>
  <si>
    <t>Deferred Compensation</t>
  </si>
  <si>
    <t>Mays Chapel</t>
  </si>
  <si>
    <t>Distribution</t>
  </si>
  <si>
    <t>Page 356</t>
  </si>
  <si>
    <t>Dedicated Facility Project 2015</t>
  </si>
  <si>
    <t>Prepayments except Prepaid Pensions</t>
  </si>
  <si>
    <t>MAPP</t>
  </si>
  <si>
    <t>68a</t>
  </si>
  <si>
    <t>S</t>
  </si>
  <si>
    <t>See Attachment 5, Cost Support, section entitled "PBOP expense in FERC Account 926" for additional information per FERC orders in Docket Nos. EL13-48, EL15-27, and ER16-456.</t>
  </si>
  <si>
    <t>MAPP Project - Abandonment Costs</t>
  </si>
  <si>
    <t>Depr. or Amort.</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</si>
  <si>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</si>
  <si>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</si>
  <si>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</si>
  <si>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</si>
  <si>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</si>
  <si>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</si>
  <si>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</si>
  <si>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of 10.0% per FERC order issued in Docket No. EL13-48 and a 50 basis point RTO transmission planning participation adder approved in Baltimore Gas and Electric Co., Docket</t>
  </si>
  <si>
    <t>excludes the additional 100 basis points approved solely for the Conastone and Waugh Chapel substation projects.</t>
  </si>
  <si>
    <t xml:space="preserve">No. ER07-576, by order issued on July 24, 2007, for a total ROE of 11.5%.  The rest of transmission rate base, except as provided in Note Q below, gets an ROE of 10.5% because it </t>
  </si>
  <si>
    <t xml:space="preserve">inclusive of a base ROE of 10.0% per FERC order issued in Docket No. EL13-48 and a 50 basis point ROE transmission planning adder approved in Baltimore Gas and </t>
  </si>
  <si>
    <t>Electric Co., Docket No. ER07-576, by order issued on July 24, 2007.</t>
  </si>
  <si>
    <t xml:space="preserve">    For Informational Purposes: PBOP Expenses in FERC Account 926</t>
  </si>
  <si>
    <t>Non-electric portion represents asset retirement costs.</t>
  </si>
  <si>
    <t>Pension asset is the extent to which inception to date investor contributions are higher than actually determined levels of pension cost.  The pension asset is funded by investor-supplied capital.</t>
  </si>
  <si>
    <t>Per FERC's order in Docket No. ER07-576, the Conastone and Waugh Chapel substation projects get an additional 100 basis points to the return on equity on top of a base ROE</t>
  </si>
  <si>
    <t xml:space="preserve">granted an additional 100 basis points to the return on equity (ROE) for these projects, resulting in a final ROE, for these projects, of 11.5%,  </t>
  </si>
  <si>
    <t xml:space="preserve">Per FERC's orders in Docket No. ER07-576, the Conastone and Waugh Chapel substation projects, the Downtown Project, and the Northwest to Finksburg project get an ROE of 11.5%.  </t>
  </si>
  <si>
    <t>The rest of transmission rate base gets an ROE of 10.5% which includes a 50 basis point RTO planning participation adder approved in Baltimore Gas and Electric Co., Docket No. ER07-576, by order issued on July 24, 2007.</t>
  </si>
  <si>
    <t>Electric's share of common advertising associated with safety</t>
  </si>
  <si>
    <t>of business for the last 20 plus years with no adverse comment from state or federal regulators</t>
  </si>
  <si>
    <t>Dedicated Facility Project 2016</t>
  </si>
  <si>
    <t>Vacation Pay</t>
  </si>
  <si>
    <t xml:space="preserve">p219.28.c </t>
  </si>
  <si>
    <t>Transmission Lease Payments</t>
  </si>
  <si>
    <t>p200.4.c</t>
  </si>
  <si>
    <t>Form 1 amount is electric distribution only.</t>
  </si>
  <si>
    <t>Legacy Meters</t>
  </si>
  <si>
    <t>Dedicated Facility Project 2017</t>
  </si>
  <si>
    <t>Baseline Upgrade b1254</t>
  </si>
  <si>
    <t>Baseline Upgrade b1254 - Abandonment Costs</t>
  </si>
  <si>
    <t xml:space="preserve">Costs of Unamortized Abandoned Plant and Amortization of Abandoned Plant for Dedicated Facilities pre-approved for inclusion in this cell subject to Formula Rate Protocols by Commission </t>
  </si>
  <si>
    <t xml:space="preserve">order issued in PJM Interconnection, LLC and Baltimore Gas and Electric Co., 150 FERC ¶ 61,054 (2015).  Costs of Unamortized Abandoned Plant and Amortization of Abandoned Plant </t>
  </si>
  <si>
    <t xml:space="preserve">for Mid-Atlantic Power Pathway (MAPP) approved for inclusion in this cell subject to Formula Rate Protocols by Commission order issued in PJM Interconnection, L.L.C. and Baltimore Gas </t>
  </si>
  <si>
    <t>and Electric Co., 152 FERC  ¶ 61,254 (2015).  Costs of Unamortized Abandoned Plant and Amortization of Abandoned Plant for Project Baseline Upgrades b1254 and b1254.1 (“b1254”)</t>
  </si>
  <si>
    <t>approved for inclusion in this cell subject to Formula Rate Protocols by Commission order issued in PJM Interconnection, L.L.C. and Baltimore Gas and Electric Co., XXX FERC ¶XX1,XXX (XXXX).</t>
  </si>
  <si>
    <t>Per PJM Interconnection, L.L.C. and Baltimore Gas &amp; Electric Co., 150 FERC ¶ 61,054 (2015) and PJM Interconnection, L.L.C. and Baltimore Gas &amp; Electric Co., 152 FERC ¶ 61,254 (2015) and PJM Interconnection, L.L.C. and Baltimore Gas &amp; Electric Co., XXX FERC  ¶ XX,XXX (XXXX)</t>
  </si>
  <si>
    <t>Per PJM Interconnection, L.L.C. and Baltimore Gas &amp; Electric Co., 150 FERC ¶ 61,054 (2015) and PJM Interconnection, L.L.C. and Baltimore Gas &amp; Electric Co., 152 FERC ¶ 61,254 (2015) and Baltimore Gas &amp; Electric Co., XXX FERC  ¶ XX,XXX (XXXX)</t>
  </si>
  <si>
    <t>EPRI Dues excluded from Transmission O&amp;M</t>
  </si>
  <si>
    <t>Dedicated Facility Project 2018</t>
  </si>
  <si>
    <t>Change associated with updated participant census data and revised actuarial assumptions, including a lower discount rate.</t>
  </si>
  <si>
    <t>See Attachment 5, Cost Support, section entitled "Other Income Tax Adjustment" for additional information.</t>
  </si>
  <si>
    <t>Other Income Tax Adjustment</t>
  </si>
  <si>
    <t>Tax Rate from</t>
  </si>
  <si>
    <t>Component Descriptions</t>
  </si>
  <si>
    <t>Instruction References</t>
  </si>
  <si>
    <t>Expense Amount</t>
  </si>
  <si>
    <t>Tax Adjustment for AFUDC Equity Component of Transmission Depreciation Expense</t>
  </si>
  <si>
    <t>=</t>
  </si>
  <si>
    <t>Amortization of Other Flow-Through Items - Transmission Component</t>
  </si>
  <si>
    <t>Instr. #s</t>
  </si>
  <si>
    <t>Instructions</t>
  </si>
  <si>
    <t>Inst. 1</t>
  </si>
  <si>
    <t>Transmission Depreciation Expense is the gross cumulative amount based upon tax records of capitalized AFUDC equity embedded in the gross plant attributable to the transmission function multiplied by the Capital Recovery Rate (described in Instruction 2).</t>
  </si>
  <si>
    <t>Inst. 2</t>
  </si>
  <si>
    <t>Capital Recovery Rate is the book depreciation rate applicable to the underlying plant assets.</t>
  </si>
  <si>
    <t>Inst. 3</t>
  </si>
  <si>
    <t>Inst. 4</t>
  </si>
  <si>
    <t>Inst. 5</t>
  </si>
  <si>
    <t>Federal Deficient / (Excess) Deferred Income Taxes</t>
  </si>
  <si>
    <t>(A)</t>
  </si>
  <si>
    <t>(B)</t>
  </si>
  <si>
    <t>(C)</t>
  </si>
  <si>
    <t>(D)</t>
  </si>
  <si>
    <t>(E)</t>
  </si>
  <si>
    <t>(F)</t>
  </si>
  <si>
    <t>(G)</t>
  </si>
  <si>
    <t>Amortization 
 Fixed Period</t>
  </si>
  <si>
    <t>December 31, 2017</t>
  </si>
  <si>
    <t>Current Year
Amortization</t>
  </si>
  <si>
    <t>Deficient / (Excess) Deferred Income Taxes</t>
  </si>
  <si>
    <t>ADIT
Deficient / (Excess)</t>
  </si>
  <si>
    <t>EOY 
Balance</t>
  </si>
  <si>
    <t>Unprotected Non-Property</t>
  </si>
  <si>
    <t xml:space="preserve">ADIT - 190 </t>
  </si>
  <si>
    <t>4 Years</t>
  </si>
  <si>
    <t>ADIT - 281</t>
  </si>
  <si>
    <t>ADIT - 282</t>
  </si>
  <si>
    <t>ADIT - 283</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</si>
  <si>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</si>
  <si>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</si>
  <si>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</si>
  <si>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</si>
  <si>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</si>
  <si>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</si>
  <si>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</si>
  <si>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</si>
  <si>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</si>
  <si>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</si>
  <si>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</si>
  <si>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</si>
  <si>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</si>
  <si>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</si>
  <si>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</si>
  <si>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</si>
  <si>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State Tax Rate Change</t>
  </si>
  <si>
    <t>NA</t>
  </si>
  <si>
    <t>Total State Deficient / (Excess) Deferred Income Taxes</t>
  </si>
  <si>
    <t xml:space="preserve">State Income Tax Regulatory Asset / (Liability) </t>
  </si>
  <si>
    <t xml:space="preserve">Federal and State Income Tax Regulatory Asset / (Liability) </t>
  </si>
  <si>
    <t xml:space="preserve">Notes </t>
  </si>
  <si>
    <t>END</t>
  </si>
  <si>
    <t>Line</t>
  </si>
  <si>
    <t>Detailed Description</t>
  </si>
  <si>
    <t>Category</t>
  </si>
  <si>
    <t>Federal ADIT
@ 35%</t>
  </si>
  <si>
    <t>FIT on SIT</t>
  </si>
  <si>
    <t>Federal Gross
Timing Difference</t>
  </si>
  <si>
    <t>Federal ADIT
@ 21%</t>
  </si>
  <si>
    <t>State 
ADIT</t>
  </si>
  <si>
    <t>Non-Recoverable</t>
  </si>
  <si>
    <t>Electric
Transmission</t>
  </si>
  <si>
    <t>Transmission
Allocated</t>
  </si>
  <si>
    <t>FERC
Account</t>
  </si>
  <si>
    <t>(P)</t>
  </si>
  <si>
    <t>(S)</t>
  </si>
  <si>
    <t>(T)</t>
  </si>
  <si>
    <t>Non-Property</t>
  </si>
  <si>
    <t>100% Distribution</t>
  </si>
  <si>
    <t>N/A</t>
  </si>
  <si>
    <t>Accrued Benefits</t>
  </si>
  <si>
    <t>BCBS Claim Adjustment</t>
  </si>
  <si>
    <t>Allowance for Doubtful Accounts</t>
  </si>
  <si>
    <t>Charitable Contributions</t>
  </si>
  <si>
    <t>Charitable Contribution Fed C/F</t>
  </si>
  <si>
    <t>Deferred ITC</t>
  </si>
  <si>
    <t xml:space="preserve">Deferred ITC </t>
  </si>
  <si>
    <t>OPEB</t>
  </si>
  <si>
    <t>Post Retirements Benefits</t>
  </si>
  <si>
    <t>Allowance for Excess Material</t>
  </si>
  <si>
    <t>Other (190)</t>
  </si>
  <si>
    <t>A&amp;G Ratio</t>
  </si>
  <si>
    <t>Gas Inventory</t>
  </si>
  <si>
    <t>Gas Inventory Overheads</t>
  </si>
  <si>
    <t>Gas Demand</t>
  </si>
  <si>
    <t>GCRC</t>
  </si>
  <si>
    <t>Environmental Reserves</t>
  </si>
  <si>
    <t>Purchase of Receivables</t>
  </si>
  <si>
    <t>Long Term Incentives</t>
  </si>
  <si>
    <t>Workers Compensation Accruals</t>
  </si>
  <si>
    <t>Vacation Pay Accruals</t>
  </si>
  <si>
    <t>Pension</t>
  </si>
  <si>
    <t>Reg Liab - AMI</t>
  </si>
  <si>
    <t>Reg Liab</t>
  </si>
  <si>
    <t>State NOL</t>
  </si>
  <si>
    <t>ITC Federal Carryforward</t>
  </si>
  <si>
    <t>FAS 109 NonTCJA</t>
  </si>
  <si>
    <t>FAS109 TCJA</t>
  </si>
  <si>
    <t>Total FERC Account 190</t>
  </si>
  <si>
    <t>Fixed Asset Basis Differences (PowerTax) - Protected</t>
  </si>
  <si>
    <t>Plant</t>
  </si>
  <si>
    <t>Plant Related Deferred Taxes</t>
  </si>
  <si>
    <t>Fixed Asset Basis Differences (PowerTax) - Non-Protected</t>
  </si>
  <si>
    <t>ARO</t>
  </si>
  <si>
    <t>Fixed Asset Basis Differences (Non-PowerTax) - Non-Protected</t>
  </si>
  <si>
    <t>100% Electric</t>
  </si>
  <si>
    <t>Total FERC Account 282</t>
  </si>
  <si>
    <t>AMI Regulatory Asset</t>
  </si>
  <si>
    <t>AMI Reg Asset</t>
  </si>
  <si>
    <t>Deferred Fuel</t>
  </si>
  <si>
    <t>DRI Program</t>
  </si>
  <si>
    <t>Energy Efficiency Programs</t>
  </si>
  <si>
    <t>Energy Efficiency Program</t>
  </si>
  <si>
    <t>Loss on Reacquired Debt</t>
  </si>
  <si>
    <t>POLR</t>
  </si>
  <si>
    <t xml:space="preserve">POLR </t>
  </si>
  <si>
    <t>Regulatory Asset - Legacy Meters</t>
  </si>
  <si>
    <t>Regulatory Asset - ARO</t>
  </si>
  <si>
    <t>Reg Asset - ARO</t>
  </si>
  <si>
    <t>Regulatory Asset - Electric Trans Rt True Up</t>
  </si>
  <si>
    <t>Reg Asset Elec Trans Rt True Up</t>
  </si>
  <si>
    <t>Regulatory Asset-Spring Gardens</t>
  </si>
  <si>
    <t>Environmental Clean Up Costs Prv</t>
  </si>
  <si>
    <t>ERI</t>
  </si>
  <si>
    <t>RIF Reg Asset</t>
  </si>
  <si>
    <t>RIF Reg Asset Amort</t>
  </si>
  <si>
    <t>Rate Case Reg Asset</t>
  </si>
  <si>
    <t>Reg Asset - Rate Case</t>
  </si>
  <si>
    <t>Reg Asset - Cost to Achieve</t>
  </si>
  <si>
    <t>Reg Liab - Smart Energy Rewards</t>
  </si>
  <si>
    <t>Reg Liab - Stride</t>
  </si>
  <si>
    <t>Severance</t>
  </si>
  <si>
    <t>Severance Cost - Reg Asset</t>
  </si>
  <si>
    <t>Prepaid Software &amp; License Expenses</t>
  </si>
  <si>
    <t>Other (283)</t>
  </si>
  <si>
    <t>Prepaid IT</t>
  </si>
  <si>
    <t>DRI Adjustment</t>
  </si>
  <si>
    <t>Total FERC Account 283</t>
  </si>
  <si>
    <t>Grand Total</t>
  </si>
  <si>
    <t>Accumulated Deferred Income Taxes Remeasurement</t>
  </si>
  <si>
    <t>Tax Cuts and Jobs Act of 2017</t>
  </si>
  <si>
    <t>ADIT - Pre Rate Change (December 31, 2017)</t>
  </si>
  <si>
    <t>ADIT - Post Rate Change (December 31, 2017)</t>
  </si>
  <si>
    <t>Deficient / (Excess) Deferred Income Taxes (December 31, 2017)</t>
  </si>
  <si>
    <t>Total 
ADIT</t>
  </si>
  <si>
    <t>Rate Change 
Deferred Tax Impact</t>
  </si>
  <si>
    <t>Deficient / (Excess)
ADIT Balance</t>
  </si>
  <si>
    <t>Jurisdiction 
Allocator</t>
  </si>
  <si>
    <r>
      <t>Allocator
(</t>
    </r>
    <r>
      <rPr>
        <b/>
        <sz val="10"/>
        <color rgb="FF0070C0"/>
        <rFont val="Arial"/>
        <family val="2"/>
      </rPr>
      <t>Note B</t>
    </r>
    <r>
      <rPr>
        <b/>
        <sz val="10"/>
        <color theme="1"/>
        <rFont val="Arial"/>
        <family val="2"/>
      </rPr>
      <t>)</t>
    </r>
  </si>
  <si>
    <t>(E) = (D) * 35%</t>
  </si>
  <si>
    <t>(G) = (F) * 35%</t>
  </si>
  <si>
    <t>(H) = (E) + (F) + (G)</t>
  </si>
  <si>
    <t>(I)</t>
  </si>
  <si>
    <t>(J) = (I) * 21%</t>
  </si>
  <si>
    <t>(K)</t>
  </si>
  <si>
    <t>(L) = (K) * 21%</t>
  </si>
  <si>
    <t>(M) = (J) + (K) + (L)</t>
  </si>
  <si>
    <t>(N) = (H) - (M)</t>
  </si>
  <si>
    <t>(O)</t>
  </si>
  <si>
    <t>(Q) = (N) - (O) - (P)</t>
  </si>
  <si>
    <t>(R)</t>
  </si>
  <si>
    <t>(U) = (Q) * (T)</t>
  </si>
  <si>
    <t>(V)</t>
  </si>
  <si>
    <r>
      <t>FERC Account 190 (</t>
    </r>
    <r>
      <rPr>
        <b/>
        <u/>
        <sz val="10"/>
        <color rgb="FF0070C0"/>
        <rFont val="Arial"/>
        <family val="2"/>
      </rPr>
      <t>Note A</t>
    </r>
    <r>
      <rPr>
        <b/>
        <u/>
        <sz val="10"/>
        <color theme="1"/>
        <rFont val="Arial"/>
        <family val="2"/>
      </rPr>
      <t>)</t>
    </r>
  </si>
  <si>
    <r>
      <t>FERC Account 282 (</t>
    </r>
    <r>
      <rPr>
        <b/>
        <u/>
        <sz val="11"/>
        <color rgb="FF0070C0"/>
        <rFont val="Arial"/>
        <family val="2"/>
      </rPr>
      <t>Note A</t>
    </r>
    <r>
      <rPr>
        <b/>
        <u/>
        <sz val="11"/>
        <color theme="1"/>
        <rFont val="Arial"/>
        <family val="2"/>
      </rPr>
      <t>)</t>
    </r>
  </si>
  <si>
    <r>
      <t>FERC Account 283 (</t>
    </r>
    <r>
      <rPr>
        <b/>
        <u/>
        <sz val="11"/>
        <color rgb="FF0070C0"/>
        <rFont val="Arial"/>
        <family val="2"/>
      </rPr>
      <t>Note A</t>
    </r>
    <r>
      <rPr>
        <b/>
        <u/>
        <sz val="11"/>
        <color theme="1"/>
        <rFont val="Arial"/>
        <family val="2"/>
      </rPr>
      <t>)</t>
    </r>
  </si>
  <si>
    <t>Total Unprotected</t>
  </si>
  <si>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</si>
  <si>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</si>
  <si>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</si>
  <si>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Accumulated Deferred Income Taxes (ADIT)</t>
  </si>
  <si>
    <t xml:space="preserve">Line </t>
  </si>
  <si>
    <t xml:space="preserve">ADIT </t>
  </si>
  <si>
    <t>ADIT-281</t>
  </si>
  <si>
    <t>ADIT-282</t>
  </si>
  <si>
    <t>Subtotal - Transmission ADIT</t>
  </si>
  <si>
    <t xml:space="preserve">Description </t>
  </si>
  <si>
    <t>ADIT (Reacquired Debt)</t>
  </si>
  <si>
    <t xml:space="preserve">Baltimore Gas and Electric Company </t>
  </si>
  <si>
    <t>Subtotal: ADIT-190 (FERC Form)</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</si>
  <si>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</si>
  <si>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</si>
  <si>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</si>
  <si>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</si>
  <si>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Total: ADIT-190</t>
  </si>
  <si>
    <t>Transmission Allocator</t>
  </si>
  <si>
    <t>Other Allocator</t>
  </si>
  <si>
    <t>ADIT  - Transmission</t>
  </si>
  <si>
    <t>5. Deferred income taxes arise when items are included in taxable income in different periods than they are included in rates, therefore if the item giving rise to the ADIT is not included in the formula, the associated ADIT amount shall be excluded.</t>
  </si>
  <si>
    <t>Subtotal: ADIT-282 (FERC Form)</t>
  </si>
  <si>
    <t>Total: ADIT-282</t>
  </si>
  <si>
    <t>Subtotal: ADIT-283 (FERC Form)</t>
  </si>
  <si>
    <t>Total: ADIT-283</t>
  </si>
  <si>
    <t>Form No. 1 balance (p.266) for amortization</t>
  </si>
  <si>
    <t>40a</t>
  </si>
  <si>
    <t xml:space="preserve">Account No. 190 (ADIT) </t>
  </si>
  <si>
    <t>40b</t>
  </si>
  <si>
    <t xml:space="preserve">Account No. 281 (ADIT - Accel. Amort) </t>
  </si>
  <si>
    <t>40c</t>
  </si>
  <si>
    <t>40d</t>
  </si>
  <si>
    <t>Account No. 283 (ADIT - Other)</t>
  </si>
  <si>
    <t>40e</t>
  </si>
  <si>
    <t>Account No. 255 (Accum. Deferred Investment Tax Credits)</t>
  </si>
  <si>
    <t>40f</t>
  </si>
  <si>
    <t>41a</t>
  </si>
  <si>
    <t>41b</t>
  </si>
  <si>
    <t>Adjusted Accumulated Deferred Income Taxes Allocated To Transmission</t>
  </si>
  <si>
    <t>U</t>
  </si>
  <si>
    <t>V</t>
  </si>
  <si>
    <t>W</t>
  </si>
  <si>
    <t xml:space="preserve">Tax Gross-Up Factor </t>
  </si>
  <si>
    <t>1*1/(1-T)</t>
  </si>
  <si>
    <t>136b</t>
  </si>
  <si>
    <t>Attachment 5, Line 136a</t>
  </si>
  <si>
    <t>136c</t>
  </si>
  <si>
    <t>Attachment 5, Line 136b</t>
  </si>
  <si>
    <t>136d</t>
  </si>
  <si>
    <t>Attachment 5, Line 136c</t>
  </si>
  <si>
    <t>136e</t>
  </si>
  <si>
    <t>Attachment 5, Line 136d</t>
  </si>
  <si>
    <t>136f</t>
  </si>
  <si>
    <t>Other Income Tax Adjustments - Expense / (Benefit)</t>
  </si>
  <si>
    <t>136g</t>
  </si>
  <si>
    <t>136h</t>
  </si>
  <si>
    <t>131a</t>
  </si>
  <si>
    <t>131b</t>
  </si>
  <si>
    <t>136a</t>
  </si>
  <si>
    <t>Other Income Tax Adjustments</t>
  </si>
  <si>
    <t>Instr. 1, 2, 3 below</t>
  </si>
  <si>
    <t>Instr. 4 below</t>
  </si>
  <si>
    <t>Instr. 5 below</t>
  </si>
  <si>
    <t>Total Other Income Tax Adjustments - Expense / (Benefit)</t>
  </si>
  <si>
    <t>Attachment H-2A, Line 130</t>
  </si>
  <si>
    <t xml:space="preserve">AFUDC Equity </t>
  </si>
  <si>
    <t>Only the transmission portion of amounts reported at Form 1, page 227, line 5 is used.  The transmission portion of line 5 is specified in a footnote to the Form 1, page 227.</t>
  </si>
  <si>
    <t>(p227.8c + p227.5c)</t>
  </si>
  <si>
    <t>Plus amortization of extraordinary property losses</t>
  </si>
  <si>
    <t>Interest on the Network Credits as booked each year is added to the revenue requirement to make the Transmission Owner whole on Line 154.</t>
  </si>
  <si>
    <t>Attachment 1A - ADIT, Line 1</t>
  </si>
  <si>
    <t>Attachment 1A - ADIT, Line 2</t>
  </si>
  <si>
    <t>Attachment 1A - ADIT, Line 3</t>
  </si>
  <si>
    <t>Attachment 1A - ADIT, Line 4</t>
  </si>
  <si>
    <t>Attachment 1A - ADIT</t>
  </si>
  <si>
    <t>Attachment 1B - ADIT Amortization</t>
  </si>
  <si>
    <t>Attachment 1A - Accumulated Deferred Income Taxes (ADIT) Worksheet</t>
  </si>
  <si>
    <t xml:space="preserve">3. Set the allocation percentages equal to the applicable percentages at the date of the rate change. </t>
  </si>
  <si>
    <t>ATT H-2A, Line 131b</t>
  </si>
  <si>
    <t>Tax Gross-Up Factor</t>
  </si>
  <si>
    <t>Unamortized 
ITC Balance</t>
  </si>
  <si>
    <t>Current Year 
Amortization</t>
  </si>
  <si>
    <t>Attachment 1A - ADIT, Line 6</t>
  </si>
  <si>
    <t xml:space="preserve">The Accumulated Deferred Income Tax (ADIT) balances in Accounts 190, 281, 282, and 283 are measured using the enacted tax rate that is expected to apply when the underlying temporary differences are expected to be settled or realized. See Attachment 1A - ADIT for additional information. </t>
  </si>
  <si>
    <t>These balances represent the unamortized federal and state deficient / (excess) deferred income taxes.  See Attachment 1B - ADIT Amortization for additional information.</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</si>
  <si>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 Cost Support the name of each state and how the blended or composite SIT was developed. </t>
    </r>
  </si>
  <si>
    <t>To ATT H-2A, Line 40e</t>
  </si>
  <si>
    <t>Investment Tax Credit Amortization</t>
  </si>
  <si>
    <t>To ATT H-2A, Line 132</t>
  </si>
  <si>
    <t>A utility that elected to use amortization of tax credits against taxable income, rather than book tax credits to Account No. 255 and reduce rate base, must reduce its income tax expense by the amount of the Amortized Investment Tax Credit (Form 1, 266.f) multiplied by (1/1-T).  A utility must not include tax credits as a reduction to rate base and as an amortization against taxable income.</t>
  </si>
  <si>
    <t>Account No. 282 (ADIT - Other Property)</t>
  </si>
  <si>
    <t>[Line 131a * 126 * (1-(122 / 125))]</t>
  </si>
  <si>
    <t xml:space="preserve">Note: ADIT associated with Gain or Loss on Reacquired Debt included in ADIT-283, Column A is excluded from rate base and instead included in Cost of Debt on Attachment H-2A, Line 110.   A deferred tax (liability) should be reported as a positive balance and a deferred tax asset should be reported as a negative balance on Attachment H-2A, Line 110. </t>
  </si>
  <si>
    <t xml:space="preserve">Attachment 1A - ADIT </t>
  </si>
  <si>
    <t>(Note I from ATT H-2A)</t>
  </si>
  <si>
    <t>(Note V from ATT H-2A)</t>
  </si>
  <si>
    <t>(Note T from ATT H-2A)</t>
  </si>
  <si>
    <t>Total entered in ATT H-2A, Line 40a</t>
  </si>
  <si>
    <t>Total entered in ATT H-2A, Line 40b</t>
  </si>
  <si>
    <t>Total entered in ATT H-2A, Line 40c</t>
  </si>
  <si>
    <t>Total entered in ATT H-2A, Line 40d</t>
  </si>
  <si>
    <t xml:space="preserve">(C) </t>
  </si>
  <si>
    <t xml:space="preserve">(E) </t>
  </si>
  <si>
    <t>In filling out this attachment, a full and complete description of each item and justification for the allocation to Columns B - F and each separate ADIT item will be listed, dissimilar items with amounts exceeding $100,000 will be listed separately.</t>
  </si>
  <si>
    <t>2.  ADIT items related only to Transmission are directly assigned to Column D</t>
  </si>
  <si>
    <t>3.  ADIT items related to Plant and not in Columns C &amp; D are included in Column E</t>
  </si>
  <si>
    <t>4.  ADIT items related to labor and not in Columns C &amp; D are included in Column F</t>
  </si>
  <si>
    <t>Col G entered in ATT H-2A, Line 41b</t>
  </si>
  <si>
    <t>Col G entered in ATT H-2A, Line 41a</t>
  </si>
  <si>
    <t>"AFUDC Equity" category reflects the nondeductible component of depreciation expense related to the capitalized equity portion of Allowance for Funds Used During Construction (AFUDC).</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</si>
  <si>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t>
  </si>
  <si>
    <t>Unamortized Deficient / (Excess) ADIT (Federal)</t>
  </si>
  <si>
    <t>Unamortized Deficient / (Excess) ADIT (State)</t>
  </si>
  <si>
    <t xml:space="preserve">Unamortized Deficient / (Excess) ADIT Allocated to Transmission </t>
  </si>
  <si>
    <t>Amortization Deficient / (Excess) Deferred Taxes (Federal) - Transmission Component</t>
  </si>
  <si>
    <t>Amortization Deficient / (Excess) Deferred Taxes (State) - Transmission Component</t>
  </si>
  <si>
    <t>Gas, Production,</t>
  </si>
  <si>
    <t>Distribution, or</t>
  </si>
  <si>
    <t>Other Related</t>
  </si>
  <si>
    <t>Amortization Deficient / (Excess) Deficient Deferred Taxes (State) - Transmission Component</t>
  </si>
  <si>
    <t>Amortization of Deficient / (Excess) Deferred Taxes - Transmission Component</t>
  </si>
  <si>
    <t>Amortization Deficient / (Excess) Deficient Deferred Taxes (Federal) - Transmission Component</t>
  </si>
  <si>
    <t>Unamortized Deficient / (Excess) ADIT</t>
  </si>
  <si>
    <t>Deficient / Excess Deferred Income Taxes</t>
  </si>
  <si>
    <t>Attachment 1B - Deficient / Excess Deferred Income Tax Amortization Worksheet</t>
  </si>
  <si>
    <t xml:space="preserve">Federal and State Income Tax Regulatory Asset / (Liability) related to Deficient / (Excess) Deferred Income Taxes </t>
  </si>
  <si>
    <t xml:space="preserve">3.  Update applicable formulas in the "Total Federal Deficient / (Excess) Deferred Income Taxes" and "Total State Deficient / (Excess) Deferred Income Taxes" sections to ensure appropriate inclusion of deficient / (excess)  ADIT balances related to rate changes occurring after September 30, 2018. </t>
  </si>
  <si>
    <t>Attachment 1C - Deficient / Excess Deferred Income Taxes Worksheet</t>
  </si>
  <si>
    <t>*Within five years of the effective date of the Settlement in Docket No ER19-5 et al, and at least every five years thereafter, BGE will file an FPA Section 205 rate proceeding to revise its depreciation rates (unless the company has otherwise submitted an FPA Section 205 rate filing that addresses its depreciation rates in the prior five years).</t>
  </si>
  <si>
    <t>The remaining unamortized deficient and (excess) ADIT related to the Tax Reform Act of 1986 will be amortized using the Average Rate Assumption Method (ARAM) as provided in the Settlement in Docket No. ER19-5 et al.  The current year amortization of deficient and (excess) ADIT is recorded in FERC Accounts 410.1 and 411.1.</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</si>
  <si>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</si>
  <si>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Income Tax  Regulatory 
Asset / Liability 
Deferred Taxes</t>
  </si>
  <si>
    <t>Total Deficient / (Excess)ADIT</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</si>
  <si>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</si>
  <si>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</si>
  <si>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amendments to income tax returns,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deficient and (excess) ADIT will be fully amortized by December 31, 2021. Note - The amortization formula in Column F will change based on where BGE resides in the amortization cycle. The current year amortization of deficient and (excess) ADIT is recorded in FERC Accounts 410.1 and 411.1.</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</si>
  <si>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1B - ADIT Amortization, Column F, Line 31 and Line 60 for additional information and support for the current year amortization. The current year amortization of deficient and (excess) ADIT is recorded in FERC Accounts 410.1 and 411.1.</t>
  </si>
  <si>
    <t>1.  ADIT items related only to Non-Electric Operations (e.g., Gas, Water, Sewer), Production or Distribution Only are directly assigned to Column C</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</si>
  <si>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</si>
  <si>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</si>
  <si>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Multistate Workpaper</t>
  </si>
  <si>
    <t xml:space="preserve">One Time True-Up for FAS 109 Incurred Prior to Settlement Docket No. ER19-5 et al. </t>
  </si>
  <si>
    <t>Total true-up amount</t>
  </si>
  <si>
    <t>Amount to</t>
  </si>
  <si>
    <t>Attachment H-2A, Line 136e</t>
  </si>
  <si>
    <t>December 31, 2019</t>
  </si>
  <si>
    <t>Other Flow-through</t>
  </si>
  <si>
    <t>Maryland Additional Subtraction Modification</t>
  </si>
  <si>
    <t>Pursuant to the requirements of FAS 109, BGE’s accumulated deferred taxes must encompass all timing differences regardless of whether the difference is normalized or flowed-through.  These items are removed below.</t>
  </si>
  <si>
    <t xml:space="preserve">Plant related basis difference not currently includible in rate base.
</t>
  </si>
  <si>
    <t xml:space="preserve">Accumulated Deferred Income Taxes attributable to income tax related regulatory assets and liabilities.  This balance is excluded from rate base.
</t>
  </si>
  <si>
    <t>Dedicated Facility Project 2019</t>
  </si>
  <si>
    <t>b1251.1 - Rebuild Raphael-Bagley 230 kV 2016</t>
  </si>
  <si>
    <t>b1251 - Second Raphael-Bagley 230kv Circuit 2018</t>
  </si>
  <si>
    <t>b1251.1 - Rebuild Raphael-Bagley 230 kV 2018</t>
  </si>
  <si>
    <t>b1016 - Rebuild Graceton-Bagley 230kV 2018</t>
  </si>
  <si>
    <t>b1016 - Rebuild Graceton-Bagley 230kV 2017</t>
  </si>
  <si>
    <t>b1016 - Rebuild Graceton-Bagley 230kV 2016</t>
  </si>
  <si>
    <t>b0497 - Second Conastone-Graceton 230kV Circuit 2018</t>
  </si>
  <si>
    <t>b0497 - Second Conastone-Graceton 230kV Circuit 2017</t>
  </si>
  <si>
    <t>b0497 - Second Conastone-Graceton 230kV Circuit 2016</t>
  </si>
  <si>
    <t>b0477 - Waugh Chapel 500/230 kV Transformer 2012</t>
  </si>
  <si>
    <t>b0477 - Waugh Chapel 500/230 kV Transformer 2011</t>
  </si>
  <si>
    <t>b0244 - Waugh Chapel 500 kV Substation Project 2011</t>
  </si>
  <si>
    <t>b0244 - Waugh Chapel 500 kV Substation Project 2008</t>
  </si>
  <si>
    <t>b0244 - Waugh Chapel 500kV Substation Project- 2009</t>
  </si>
  <si>
    <t>b0244 - Waugh Chapel 500 kV Substation Project 2010</t>
  </si>
  <si>
    <t>b0298 - Conastone 500kV Substation Project- 2010</t>
  </si>
  <si>
    <t>b0298 - Conastone 500kV Substation Project- 2008</t>
  </si>
  <si>
    <t>b0298 - Conastone kV Substation Project 2009</t>
  </si>
  <si>
    <t xml:space="preserve">Included amount associated with proceedings before FERC.  </t>
  </si>
  <si>
    <t>Transmission-specific ($12,417,533) and distribution-specific ($34,915,671) software recorded as intangible plant and asset retirement costs ($1,053,515).</t>
  </si>
  <si>
    <t xml:space="preserve">Transmission-specific software recorded in Account 303.  </t>
  </si>
  <si>
    <t>Transmission-specific ($8,590,552) and distribution-specific ($23,097,851) software recorded as intangible plant.</t>
  </si>
  <si>
    <t>Transmission-specific ($2,078,631) and distribution-specific ($3,386,040) software amortization recorded as intangible amortization.</t>
  </si>
  <si>
    <t xml:space="preserve">Amount in Form 1 is already electric only.   Non-electric portion represents depreciation related to capital merger costs associated with the Exelon PHI merger ($54,830).  </t>
  </si>
  <si>
    <t>Actual calculation of the results of the method for 2020:</t>
  </si>
  <si>
    <t xml:space="preserve">In 2020 the regulated electric business received 67.7% of common utility expenses and gas </t>
  </si>
  <si>
    <t>received a 32.3% share.</t>
  </si>
  <si>
    <t>Attachment 11 - Depreciation Rates*</t>
  </si>
  <si>
    <t>AUTOMOBILES</t>
  </si>
  <si>
    <t>LIGHT TRUCKS UNDER 33,000</t>
  </si>
  <si>
    <t>HEAVY TRUCKS 33,000 AND OVER</t>
  </si>
  <si>
    <t>TRACTORS</t>
  </si>
  <si>
    <t>TRAILERS</t>
  </si>
  <si>
    <t>PRELEASED VEHICLES</t>
  </si>
  <si>
    <t>POWER OPERATED EQUIPMENT</t>
  </si>
  <si>
    <t xml:space="preserve">Non-electric portion represents merger costs associated with the Exelon PHI merger ($1,602,456), and asset retirement reserve (debit balance of $2,063,182). </t>
  </si>
  <si>
    <t xml:space="preserve">Respondent is both Electric and Gas Utility. Plant generally allocated using the net plant ratio.  Non-electric portion also represents merger costs associated with the Exlelon PHI merger ($2,569,984) and asset retirement costs ($1,900,138). </t>
  </si>
  <si>
    <t>Dedicated Facility Project 2020</t>
  </si>
  <si>
    <t>b2766.1 - Rebuild Conastone 500 kV Substation Equip 2021</t>
  </si>
  <si>
    <t>b2992.3 - Rebuild Windy Edge-Glenarm 115 kV Circuit 2021</t>
  </si>
  <si>
    <t>b2992.4 - Rebuild Raphael-Northeast 230 kV Circuit 2021</t>
  </si>
  <si>
    <t>December 31, 2020</t>
  </si>
  <si>
    <t xml:space="preserve">Pension Asset </t>
  </si>
  <si>
    <t>Included because the pension asset is included in rate base.  Related to accrual recognition of expense for book purposes &amp; deductibility of cash fundings for tax purposes.  The amount included is the electric portion as allocated by the application of the modified version of the Massachusetts formula.</t>
  </si>
  <si>
    <t>Allowance for Doubtful Accounts (Bad Debt)</t>
  </si>
  <si>
    <t>Regulatory Liability (AMI)</t>
  </si>
  <si>
    <t>Capitalized Indirect Inventory (Gas)</t>
  </si>
  <si>
    <t>Gas Demand Charge</t>
  </si>
  <si>
    <t>Accrued Charitable Contributions</t>
  </si>
  <si>
    <t>Maryland Net Operating Losses, net of Federal</t>
  </si>
  <si>
    <t xml:space="preserve">Electric portion included in  rate base to the the extent attributable to plant related ADIT balances included in rate base that have not been monetized. The balance relates to Maryland net operating loss carry-forwards, net of federal taxes. </t>
  </si>
  <si>
    <t>Property Related Deferred Taxes</t>
  </si>
  <si>
    <t>Asset Retirement Obligation</t>
  </si>
  <si>
    <t>FAS 109 Regulatory Liability</t>
  </si>
  <si>
    <t>Regulatory Asset (AMI)</t>
  </si>
  <si>
    <t>Regulatory Asset (POLR)</t>
  </si>
  <si>
    <t>Regulatory Asset (Elec Trans Rt True Up)</t>
  </si>
  <si>
    <t>Regulatory Asset (ARO Electric &amp; Gas)</t>
  </si>
  <si>
    <t>Regulatory Asset (Cost to Achieve)</t>
  </si>
  <si>
    <t>Regulatory Asset (Rate Case Case Expense)</t>
  </si>
  <si>
    <t>Regulatory Asset (Smart Energy Rewards)</t>
  </si>
  <si>
    <t>Regulatory Asset (Electric Vehicles)</t>
  </si>
  <si>
    <t>Regulatory Asset (Gas Meter)</t>
  </si>
  <si>
    <t>Regulatory Asset (Union Labor)</t>
  </si>
  <si>
    <t>Regulatory Asset (Riverside)</t>
  </si>
  <si>
    <t>Regulatory Asset (Severance)</t>
  </si>
  <si>
    <t>Regulatory Asset (Covid)</t>
  </si>
  <si>
    <t xml:space="preserve">Cloud Computing </t>
  </si>
  <si>
    <t xml:space="preserve">Included because the related underlying asset is included in rate base.  Related to accelerated deductibility of these amounts for tax purposes. </t>
  </si>
  <si>
    <t>ADIT relates to transmission function and included in rate base.</t>
  </si>
  <si>
    <t>Accrued Interest</t>
  </si>
  <si>
    <t>Accrued Payroll Taxes</t>
  </si>
  <si>
    <t xml:space="preserve">Transmission-specific software recorded in Account 404.  </t>
  </si>
  <si>
    <t>Merger costs associated with the Exelon PHI merger ($863,120), costs associated with the Exelon Separation ($398,441), and commodity specific A&amp;G costs ($689,395).</t>
  </si>
  <si>
    <t xml:space="preserve">Amount in Form 1 is already electric only.   Non-electric portion represents amortization related to capital merger costs associated with the Exelon PHI merger ($408,531).  </t>
  </si>
  <si>
    <t>Primarily prepaid software fees and license. BGE is combination utility.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</si>
</sst>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000_);_(* \(#,##0.0000\);_(* &quot;-&quot;??_);_(@_)"/>
    <numFmt numFmtId="173" formatCode="0.0000%"/>
    <numFmt numFmtId="174" formatCode="0.00000%"/>
    <numFmt numFmtId="175" formatCode="0.000000%"/>
    <numFmt numFmtId="176" formatCode="0.000000000"/>
    <numFmt numFmtId="177" formatCode="0.0000000"/>
    <numFmt numFmtId="178" formatCode="&quot;$&quot;#,##0"/>
    <numFmt numFmtId="179" formatCode="0.0000000000"/>
    <numFmt numFmtId="180" formatCode="0_)"/>
    <numFmt numFmtId="181" formatCode="#,##0.0_);\(#,##0.0\)"/>
    <numFmt numFmtId="182" formatCode="_(* #,##0.0_);_(* \(#,##0.0\);_(* &quot;-&quot;??_);_(@_)"/>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color indexed="12"/>
      <name val="Arial"/>
      <family val="2"/>
    </font>
    <font>
      <b/>
      <sz val="12"/>
      <color indexed="10"/>
      <name val="Arial"/>
      <family val="2"/>
    </font>
    <font>
      <sz val="12"/>
      <color indexed="10"/>
      <name val="Arial"/>
      <family val="2"/>
    </font>
    <font>
      <b/>
      <sz val="10"/>
      <color indexed="10"/>
      <name val="Arial"/>
      <family val="2"/>
    </font>
    <font>
      <sz val="12"/>
      <name val="Arial MT"/>
    </font>
    <font>
      <sz val="10"/>
      <color indexed="12"/>
      <name val="Arial"/>
      <family val="2"/>
    </font>
    <font>
      <b/>
      <sz val="14"/>
      <name val="Arial"/>
      <family val="2"/>
    </font>
    <font>
      <sz val="12"/>
      <color indexed="12"/>
      <name val="Helv"/>
    </font>
    <font>
      <sz val="12"/>
      <name val="Helv"/>
    </font>
    <font>
      <b/>
      <sz val="12"/>
      <name val="Helv"/>
    </font>
    <font>
      <sz val="12"/>
      <color indexed="13"/>
      <name val="Arial"/>
      <family val="2"/>
    </font>
    <font>
      <b/>
      <sz val="12"/>
      <color indexed="13"/>
      <name val="Arial"/>
      <family val="2"/>
    </font>
    <font>
      <sz val="14"/>
      <name val="Arial"/>
      <family val="2"/>
    </font>
    <font>
      <sz val="12"/>
      <name val="Arial Narrow"/>
      <family val="2"/>
    </font>
    <font>
      <b/>
      <sz val="12"/>
      <color indexed="10"/>
      <name val="Arial Narrow"/>
      <family val="2"/>
    </font>
    <font>
      <b/>
      <sz val="14"/>
      <color indexed="13"/>
      <name val="Arial"/>
      <family val="2"/>
    </font>
    <font>
      <b/>
      <sz val="18"/>
      <name val="Arial"/>
      <family val="2"/>
    </font>
    <font>
      <b/>
      <sz val="10"/>
      <color indexed="10"/>
      <name val="Arial Narrow"/>
      <family val="2"/>
    </font>
    <font>
      <sz val="10"/>
      <name val="Arial Narrow"/>
      <family val="2"/>
    </font>
    <font>
      <b/>
      <sz val="10"/>
      <color indexed="14"/>
      <name val="Arial"/>
      <family val="2"/>
    </font>
    <font>
      <sz val="11"/>
      <name val="Arial"/>
      <family val="2"/>
    </font>
    <font>
      <b/>
      <sz val="10"/>
      <name val="Arial Narrow"/>
      <family val="2"/>
    </font>
    <font>
      <sz val="10"/>
      <color indexed="12"/>
      <name val="Arial Narrow"/>
      <family val="2"/>
    </font>
    <font>
      <sz val="10"/>
      <color indexed="10"/>
      <name val="Arial Narrow"/>
      <family val="2"/>
    </font>
    <font>
      <b/>
      <sz val="12"/>
      <name val="Arial Narrow"/>
      <family val="2"/>
    </font>
    <font>
      <sz val="12"/>
      <color indexed="12"/>
      <name val="Arial Narrow"/>
      <family val="2"/>
    </font>
    <font>
      <b/>
      <sz val="12"/>
      <color indexed="13"/>
      <name val="Arial Narrow"/>
      <family val="2"/>
    </font>
    <font>
      <sz val="12"/>
      <color indexed="13"/>
      <name val="Arial Narrow"/>
      <family val="2"/>
    </font>
    <font>
      <sz val="12"/>
      <color indexed="10"/>
      <name val="Arial Narrow"/>
      <family val="2"/>
    </font>
    <font>
      <b/>
      <u/>
      <sz val="12"/>
      <name val="Arial Narrow"/>
      <family val="2"/>
    </font>
    <font>
      <b/>
      <sz val="14"/>
      <name val="Arial Narrow"/>
      <family val="2"/>
    </font>
    <font>
      <sz val="14"/>
      <name val="Arial Narrow"/>
      <family val="2"/>
    </font>
    <font>
      <b/>
      <i/>
      <sz val="12"/>
      <color indexed="14"/>
      <name val="Arial Narrow"/>
      <family val="2"/>
    </font>
    <font>
      <sz val="9"/>
      <color indexed="10"/>
      <name val="Arial Narrow"/>
      <family val="2"/>
    </font>
    <font>
      <b/>
      <sz val="14"/>
      <color indexed="10"/>
      <name val="Arial"/>
      <family val="2"/>
    </font>
    <font>
      <b/>
      <sz val="16"/>
      <color indexed="10"/>
      <name val="Arial"/>
      <family val="2"/>
    </font>
    <font>
      <sz val="11"/>
      <name val="Arial Narrow"/>
      <family val="2"/>
    </font>
    <font>
      <b/>
      <sz val="16"/>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b/>
      <sz val="11"/>
      <name val="Arial"/>
      <family val="2"/>
    </font>
    <font>
      <u/>
      <sz val="10"/>
      <name val="Arial"/>
      <family val="2"/>
    </font>
    <font>
      <u/>
      <sz val="12"/>
      <name val="Arial"/>
      <family val="2"/>
    </font>
    <font>
      <b/>
      <u/>
      <sz val="12"/>
      <name val="Arial"/>
      <family val="2"/>
    </font>
    <font>
      <b/>
      <sz val="10"/>
      <color rgb="FFFF0000"/>
      <name val="Arial"/>
      <family val="2"/>
    </font>
    <font>
      <vertAlign val="superscript"/>
      <sz val="12"/>
      <name val="Arial"/>
      <family val="2"/>
    </font>
    <font>
      <b/>
      <u/>
      <sz val="16"/>
      <color indexed="10"/>
      <name val="Arial"/>
      <family val="2"/>
    </font>
    <font>
      <b/>
      <sz val="7"/>
      <name val="Arial Narrow"/>
      <family val="2"/>
    </font>
    <font>
      <sz val="10"/>
      <name val="Times New Roman"/>
      <family val="1"/>
    </font>
    <font>
      <sz val="7"/>
      <name val="Arial Narrow"/>
      <family val="2"/>
    </font>
    <font>
      <sz val="8"/>
      <name val="Arial Narrow"/>
      <family val="2"/>
    </font>
    <font>
      <sz val="10"/>
      <color indexed="10"/>
      <name val="Times New Roman"/>
      <family val="1"/>
    </font>
    <font>
      <strike/>
      <sz val="10"/>
      <color indexed="10"/>
      <name val="Times New Roman"/>
      <family val="1"/>
    </font>
    <font>
      <sz val="10"/>
      <color indexed="12"/>
      <name val="Times New Roman"/>
      <family val="1"/>
    </font>
    <font>
      <b/>
      <sz val="12"/>
      <color indexed="8"/>
      <name val="Arial"/>
      <family val="2"/>
    </font>
    <font>
      <b/>
      <sz val="12"/>
      <color indexed="8"/>
      <name val="Helv"/>
    </font>
    <font>
      <b/>
      <sz val="12"/>
      <color indexed="14"/>
      <name val="Arial"/>
      <family val="2"/>
    </font>
    <font>
      <b/>
      <sz val="12"/>
      <color indexed="8"/>
      <name val="Helvetica"/>
      <family val="2"/>
    </font>
    <font>
      <b/>
      <sz val="11"/>
      <name val="Arial Narrow"/>
      <family val="2"/>
    </font>
    <font>
      <i/>
      <sz val="10"/>
      <name val="Arial"/>
      <family val="2"/>
    </font>
    <font>
      <sz val="8"/>
      <name val="Arial"/>
      <family val="2"/>
    </font>
    <font>
      <u/>
      <sz val="14"/>
      <name val="Arial"/>
      <family val="2"/>
    </font>
    <font>
      <sz val="10"/>
      <name val="Arial"/>
      <family val="2"/>
    </font>
    <font>
      <sz val="11"/>
      <color theme="1"/>
      <name val="Times New Roman"/>
      <family val="1"/>
    </font>
    <font>
      <sz val="10"/>
      <color theme="1"/>
      <name val="Arial"/>
      <family val="2"/>
    </font>
    <font>
      <b/>
      <sz val="10"/>
      <color theme="1"/>
      <name val="Arial"/>
      <family val="2"/>
    </font>
    <font>
      <b/>
      <sz val="11"/>
      <color theme="1"/>
      <name val="Arial"/>
      <family val="2"/>
    </font>
    <font>
      <sz val="10"/>
      <color theme="0"/>
      <name val="Arial"/>
      <family val="2"/>
    </font>
    <font>
      <sz val="10"/>
      <color rgb="FF0070C0"/>
      <name val="Arial"/>
      <family val="2"/>
    </font>
    <font>
      <sz val="10"/>
      <color rgb="FFFF0000"/>
      <name val="Arial"/>
      <family val="2"/>
    </font>
    <font>
      <b/>
      <sz val="10"/>
      <color theme="0"/>
      <name val="Arial"/>
      <family val="2"/>
    </font>
    <font>
      <b/>
      <u/>
      <sz val="11"/>
      <color theme="1"/>
      <name val="Arial"/>
      <family val="2"/>
    </font>
    <font>
      <sz val="11"/>
      <color theme="1"/>
      <name val="Arial"/>
      <family val="2"/>
    </font>
    <font>
      <sz val="10"/>
      <color theme="3"/>
      <name val="Arial"/>
      <family val="2"/>
    </font>
    <font>
      <b/>
      <u/>
      <sz val="10"/>
      <color theme="1"/>
      <name val="Arial"/>
      <family val="2"/>
    </font>
    <font>
      <b/>
      <sz val="15"/>
      <color theme="0"/>
      <name val="Arial"/>
      <family val="2"/>
    </font>
    <font>
      <b/>
      <sz val="10"/>
      <color rgb="FF0070C0"/>
      <name val="Arial"/>
      <family val="2"/>
    </font>
    <font>
      <b/>
      <u/>
      <sz val="10"/>
      <color rgb="FF0070C0"/>
      <name val="Arial"/>
      <family val="2"/>
    </font>
    <font>
      <b/>
      <u/>
      <sz val="11"/>
      <color rgb="FF0070C0"/>
      <name val="Arial"/>
      <family val="2"/>
    </font>
    <font>
      <b/>
      <sz val="10"/>
      <color indexed="13"/>
      <name val="Arial"/>
      <family val="2"/>
    </font>
    <font>
      <b/>
      <i/>
      <sz val="10"/>
      <name val="Arial"/>
      <family val="2"/>
    </font>
    <font>
      <b/>
      <sz val="12"/>
      <color indexed="12"/>
      <name val="Arial"/>
      <family val="2"/>
    </font>
    <font>
      <b/>
      <sz val="9"/>
      <color indexed="10"/>
      <name val="Arial"/>
      <family val="2"/>
    </font>
    <font>
      <b/>
      <sz val="8"/>
      <color rgb="FFFF0000"/>
      <name val="Arial"/>
      <family val="2"/>
    </font>
    <font>
      <sz val="12"/>
      <color theme="1"/>
      <name val="Arial"/>
      <family val="2"/>
    </font>
    <font>
      <u/>
      <sz val="11"/>
      <name val="Arial"/>
      <family val="2"/>
    </font>
    <font>
      <b/>
      <sz val="12"/>
      <color theme="1"/>
      <name val="Arial"/>
      <family val="2"/>
    </font>
    <font>
      <sz val="12"/>
      <color theme="0"/>
      <name val="Arial"/>
      <family val="2"/>
    </font>
    <font>
      <b/>
      <sz val="14"/>
      <color theme="0"/>
      <name val="Arial"/>
      <family val="2"/>
    </font>
    <font>
      <b/>
      <u/>
      <sz val="11"/>
      <name val="Arial"/>
      <family val="2"/>
    </font>
    <font>
      <sz val="10"/>
      <name val="MS Sans Serif"/>
      <family val="2"/>
    </font>
    <font>
      <b/>
      <sz val="10"/>
      <name val="MS Sans Serif"/>
      <family val="2"/>
    </font>
    <font>
      <sz val="11"/>
      <color indexed="8"/>
      <name val="Calibri"/>
      <family val="2"/>
    </font>
    <font>
      <u/>
      <sz val="7"/>
      <name val="Arial"/>
      <family val="2"/>
    </font>
    <font>
      <b/>
      <sz val="7"/>
      <name val="Arial"/>
      <family val="2"/>
    </font>
    <font>
      <sz val="7"/>
      <name val="Arial"/>
      <family val="2"/>
    </font>
    <font>
      <i/>
      <sz val="7"/>
      <name val="Arial"/>
      <family val="2"/>
    </font>
  </fonts>
  <fills count="18">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10"/>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4"/>
        <bgColor indexed="64"/>
      </patternFill>
    </fill>
    <fill>
      <patternFill patternType="solid">
        <fgColor indexed="45"/>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0070C0"/>
        <bgColor indexed="64"/>
      </patternFill>
    </fill>
    <fill>
      <patternFill patternType="solid">
        <fgColor theme="0"/>
        <bgColor indexed="64"/>
      </patternFill>
    </fill>
    <fill>
      <patternFill patternType="solid">
        <fgColor theme="0" tint="-0.34998626667073579"/>
        <bgColor indexed="64"/>
      </patternFill>
    </fill>
    <fill>
      <patternFill patternType="mediumGray">
        <fgColor indexed="22"/>
      </patternFill>
    </fill>
  </fills>
  <borders count="39">
    <border>
      <left/>
      <right/>
      <top/>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s>
  <cellStyleXfs count="47">
    <xf numFmtId="0" fontId="0" fillId="0" borderId="0"/>
    <xf numFmtId="43" fontId="4" fillId="0" borderId="0" applyFont="0" applyFill="0" applyBorder="0" applyAlignment="0" applyProtection="0"/>
    <xf numFmtId="44" fontId="4" fillId="0" borderId="0" applyFont="0" applyFill="0" applyBorder="0" applyAlignment="0" applyProtection="0"/>
    <xf numFmtId="165" fontId="9" fillId="0" borderId="0"/>
    <xf numFmtId="170" fontId="14" fillId="0" borderId="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5"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77" fillId="0" borderId="0"/>
    <xf numFmtId="0" fontId="77" fillId="0" borderId="0"/>
    <xf numFmtId="0" fontId="77" fillId="0" borderId="0"/>
    <xf numFmtId="0" fontId="4" fillId="0" borderId="0"/>
    <xf numFmtId="0" fontId="4" fillId="0" borderId="0"/>
    <xf numFmtId="43" fontId="2" fillId="0" borderId="0" applyFont="0" applyFill="0" applyBorder="0" applyAlignment="0" applyProtection="0"/>
    <xf numFmtId="0" fontId="2" fillId="0" borderId="0"/>
    <xf numFmtId="0" fontId="4" fillId="0" borderId="0"/>
    <xf numFmtId="0" fontId="2"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2"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0" fontId="4" fillId="0" borderId="0"/>
    <xf numFmtId="0" fontId="103" fillId="0" borderId="0" applyNumberFormat="0" applyFont="0" applyFill="0" applyBorder="0" applyProtection="0"/>
    <xf numFmtId="15" fontId="103" fillId="0" borderId="0" applyFont="0" applyFill="0" applyBorder="0" applyAlignment="0" applyProtection="0"/>
    <xf numFmtId="4" fontId="103" fillId="0" borderId="0" applyFont="0" applyFill="0" applyBorder="0" applyAlignment="0" applyProtection="0"/>
    <xf numFmtId="0" fontId="104" fillId="0" borderId="9">
      <alignment horizontal="center"/>
    </xf>
    <xf numFmtId="3" fontId="103" fillId="0" borderId="0" applyFont="0" applyFill="0" applyBorder="0" applyAlignment="0" applyProtection="0"/>
    <xf numFmtId="0" fontId="103" fillId="17" borderId="0" applyNumberFormat="0" applyFont="0" applyBorder="0" applyAlignment="0" applyProtection="0"/>
    <xf numFmtId="43" fontId="105"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4" fillId="0" borderId="0"/>
    <xf numFmtId="0" fontId="4" fillId="0" borderId="0"/>
    <xf numFmtId="43" fontId="4" fillId="0" borderId="0" applyFont="0" applyFill="0" applyBorder="0" applyAlignment="0" applyProtection="0"/>
  </cellStyleXfs>
  <cellXfs count="1626">
    <xf numFmtId="0" fontId="0" fillId="0" borderId="0" xfId="0"/>
    <xf numFmtId="0" fontId="6" fillId="0" borderId="0" xfId="0" applyFont="1"/>
    <xf numFmtId="0" fontId="0" fillId="0" borderId="0" xfId="0" applyFill="1"/>
    <xf numFmtId="0" fontId="6" fillId="0" borderId="0" xfId="0" applyNumberFormat="1" applyFont="1" applyAlignment="1">
      <alignment horizontal="center"/>
    </xf>
    <xf numFmtId="3" fontId="6" fillId="0" borderId="0" xfId="0" applyNumberFormat="1" applyFont="1" applyAlignment="1"/>
    <xf numFmtId="0" fontId="6" fillId="0" borderId="0" xfId="0" applyNumberFormat="1" applyFont="1" applyAlignment="1"/>
    <xf numFmtId="0" fontId="6" fillId="0" borderId="0" xfId="0" applyNumberFormat="1" applyFont="1" applyAlignment="1">
      <alignment horizontal="right"/>
    </xf>
    <xf numFmtId="0" fontId="6" fillId="0" borderId="0" xfId="0" applyNumberFormat="1" applyFont="1" applyFill="1" applyAlignment="1"/>
    <xf numFmtId="0" fontId="8" fillId="0" borderId="0" xfId="0" applyNumberFormat="1" applyFont="1" applyAlignment="1">
      <alignment horizontal="center"/>
    </xf>
    <xf numFmtId="0" fontId="8" fillId="0" borderId="0" xfId="0" applyFont="1" applyAlignment="1"/>
    <xf numFmtId="0" fontId="14" fillId="0" borderId="0" xfId="0" applyNumberFormat="1" applyFont="1" applyFill="1"/>
    <xf numFmtId="0" fontId="12" fillId="0" borderId="0" xfId="0" applyNumberFormat="1" applyFont="1" applyFill="1" applyAlignment="1"/>
    <xf numFmtId="0" fontId="6" fillId="0" borderId="1" xfId="0" applyFont="1" applyBorder="1"/>
    <xf numFmtId="173" fontId="6" fillId="0" borderId="0" xfId="5" applyNumberFormat="1" applyFont="1" applyAlignment="1"/>
    <xf numFmtId="0" fontId="6" fillId="0" borderId="1" xfId="0" applyNumberFormat="1" applyFont="1" applyFill="1" applyBorder="1" applyAlignment="1"/>
    <xf numFmtId="0" fontId="6" fillId="0" borderId="2" xfId="0" applyNumberFormat="1" applyFont="1" applyFill="1" applyBorder="1" applyAlignment="1"/>
    <xf numFmtId="3" fontId="6" fillId="0" borderId="2" xfId="0" applyNumberFormat="1" applyFont="1" applyBorder="1" applyAlignment="1"/>
    <xf numFmtId="0" fontId="6" fillId="0" borderId="2" xfId="0" applyFont="1" applyBorder="1"/>
    <xf numFmtId="3" fontId="6" fillId="0" borderId="2" xfId="0" applyNumberFormat="1" applyFont="1" applyBorder="1"/>
    <xf numFmtId="0" fontId="6" fillId="0" borderId="0" xfId="0" applyNumberFormat="1" applyFont="1" applyFill="1" applyAlignment="1">
      <alignment horizontal="center"/>
    </xf>
    <xf numFmtId="0" fontId="6" fillId="0" borderId="0" xfId="0" applyNumberFormat="1" applyFont="1" applyFill="1" applyBorder="1" applyAlignment="1"/>
    <xf numFmtId="0" fontId="8" fillId="0" borderId="0" xfId="0" applyFont="1"/>
    <xf numFmtId="0" fontId="8" fillId="0" borderId="0" xfId="0" applyNumberFormat="1" applyFont="1" applyAlignment="1">
      <alignment horizontal="right"/>
    </xf>
    <xf numFmtId="0" fontId="8" fillId="0" borderId="0" xfId="0" applyNumberFormat="1" applyFont="1" applyAlignment="1">
      <alignment horizontal="left"/>
    </xf>
    <xf numFmtId="0" fontId="8" fillId="0" borderId="0" xfId="0" applyNumberFormat="1" applyFont="1" applyFill="1" applyAlignment="1">
      <alignment horizontal="right"/>
    </xf>
    <xf numFmtId="0" fontId="8" fillId="0" borderId="0" xfId="0" applyNumberFormat="1" applyFont="1" applyFill="1" applyAlignment="1">
      <alignment horizontal="left"/>
    </xf>
    <xf numFmtId="0" fontId="8" fillId="0" borderId="0" xfId="0" applyFont="1" applyFill="1" applyAlignment="1"/>
    <xf numFmtId="0" fontId="8" fillId="0" borderId="0" xfId="0" applyFont="1" applyFill="1"/>
    <xf numFmtId="0" fontId="8" fillId="0" borderId="1" xfId="0" applyNumberFormat="1" applyFont="1" applyFill="1" applyBorder="1" applyAlignment="1">
      <alignment horizontal="left"/>
    </xf>
    <xf numFmtId="0" fontId="8" fillId="0" borderId="1" xfId="0" applyFont="1" applyFill="1" applyBorder="1" applyAlignment="1"/>
    <xf numFmtId="0" fontId="8" fillId="0" borderId="1" xfId="0" applyFont="1" applyBorder="1"/>
    <xf numFmtId="0" fontId="8" fillId="0" borderId="1" xfId="0" applyFont="1" applyFill="1" applyBorder="1"/>
    <xf numFmtId="0" fontId="8" fillId="0" borderId="1" xfId="0" applyFont="1" applyBorder="1" applyAlignment="1"/>
    <xf numFmtId="10" fontId="8" fillId="0" borderId="0" xfId="0" applyNumberFormat="1" applyFont="1" applyFill="1" applyAlignment="1">
      <alignment horizontal="right"/>
    </xf>
    <xf numFmtId="0" fontId="8" fillId="0" borderId="0" xfId="0" applyFont="1" applyBorder="1" applyAlignment="1"/>
    <xf numFmtId="173" fontId="8" fillId="0" borderId="0" xfId="0" applyNumberFormat="1" applyFont="1" applyAlignment="1">
      <alignment horizontal="right"/>
    </xf>
    <xf numFmtId="10" fontId="8" fillId="0" borderId="0" xfId="0" applyNumberFormat="1" applyFont="1" applyAlignment="1">
      <alignment horizontal="right"/>
    </xf>
    <xf numFmtId="3" fontId="18" fillId="0" borderId="0" xfId="0" applyNumberFormat="1" applyFont="1" applyBorder="1" applyAlignment="1">
      <alignment horizontal="right"/>
    </xf>
    <xf numFmtId="0" fontId="8" fillId="0" borderId="0" xfId="0" applyFont="1" applyFill="1" applyAlignment="1">
      <alignment horizontal="left"/>
    </xf>
    <xf numFmtId="0" fontId="8" fillId="0" borderId="0" xfId="0" applyFont="1" applyAlignment="1">
      <alignment horizontal="left"/>
    </xf>
    <xf numFmtId="3" fontId="8" fillId="0" borderId="1" xfId="0" applyNumberFormat="1" applyFont="1" applyBorder="1" applyAlignment="1">
      <alignment horizontal="right"/>
    </xf>
    <xf numFmtId="3" fontId="6" fillId="0" borderId="1" xfId="0" applyNumberFormat="1" applyFont="1" applyBorder="1" applyAlignment="1">
      <alignment horizontal="right"/>
    </xf>
    <xf numFmtId="0" fontId="8" fillId="0" borderId="0" xfId="0" applyFont="1" applyAlignment="1">
      <alignment horizontal="right"/>
    </xf>
    <xf numFmtId="166" fontId="6" fillId="0" borderId="0" xfId="0" applyNumberFormat="1" applyFont="1" applyAlignment="1"/>
    <xf numFmtId="0" fontId="8" fillId="0" borderId="0" xfId="0" applyNumberFormat="1" applyFont="1" applyFill="1" applyAlignment="1">
      <alignment horizontal="center"/>
    </xf>
    <xf numFmtId="0" fontId="8" fillId="0" borderId="0" xfId="0" applyNumberFormat="1" applyFont="1" applyBorder="1" applyAlignment="1">
      <alignment horizontal="center"/>
    </xf>
    <xf numFmtId="0" fontId="8" fillId="0" borderId="0" xfId="0" applyNumberFormat="1" applyFont="1" applyBorder="1" applyAlignment="1">
      <alignment horizontal="left"/>
    </xf>
    <xf numFmtId="0" fontId="8" fillId="0" borderId="0" xfId="0" applyFont="1" applyFill="1" applyBorder="1" applyAlignment="1"/>
    <xf numFmtId="3" fontId="17" fillId="0" borderId="0" xfId="0" applyNumberFormat="1" applyFont="1" applyBorder="1" applyAlignment="1">
      <alignment horizontal="right"/>
    </xf>
    <xf numFmtId="0" fontId="8" fillId="0" borderId="0" xfId="0" applyFont="1" applyBorder="1"/>
    <xf numFmtId="0" fontId="6" fillId="0" borderId="0" xfId="0" applyNumberFormat="1" applyFont="1" applyBorder="1" applyAlignment="1"/>
    <xf numFmtId="3" fontId="6" fillId="0" borderId="0" xfId="0" applyNumberFormat="1" applyFont="1" applyBorder="1" applyAlignment="1"/>
    <xf numFmtId="3" fontId="6" fillId="0" borderId="0" xfId="0" quotePrefix="1" applyNumberFormat="1" applyFont="1" applyBorder="1" applyAlignment="1">
      <alignment horizontal="right"/>
    </xf>
    <xf numFmtId="3" fontId="8" fillId="0" borderId="0" xfId="0" applyNumberFormat="1" applyFont="1"/>
    <xf numFmtId="0" fontId="6" fillId="0" borderId="1" xfId="0" applyNumberFormat="1" applyFont="1" applyBorder="1" applyAlignment="1"/>
    <xf numFmtId="0" fontId="8" fillId="0" borderId="0" xfId="0" applyFont="1" applyAlignment="1">
      <alignment horizontal="center"/>
    </xf>
    <xf numFmtId="0" fontId="8" fillId="0" borderId="0" xfId="0" applyFont="1" applyFill="1" applyAlignment="1">
      <alignment horizontal="center"/>
    </xf>
    <xf numFmtId="0" fontId="8" fillId="0" borderId="3" xfId="0" applyFont="1" applyFill="1" applyBorder="1" applyAlignment="1">
      <alignment horizontal="left"/>
    </xf>
    <xf numFmtId="0" fontId="8" fillId="0" borderId="3" xfId="0" applyNumberFormat="1" applyFont="1" applyBorder="1" applyAlignment="1">
      <alignment horizontal="left"/>
    </xf>
    <xf numFmtId="0" fontId="8" fillId="0" borderId="0" xfId="0" applyFont="1" applyFill="1" applyBorder="1" applyAlignment="1">
      <alignment horizontal="left"/>
    </xf>
    <xf numFmtId="0" fontId="8" fillId="0" borderId="3" xfId="0" applyFont="1" applyBorder="1" applyAlignment="1"/>
    <xf numFmtId="173" fontId="8" fillId="0" borderId="3" xfId="0" applyNumberFormat="1" applyFont="1" applyBorder="1" applyAlignment="1">
      <alignment horizontal="right"/>
    </xf>
    <xf numFmtId="0" fontId="6" fillId="0" borderId="0" xfId="0" applyNumberFormat="1" applyFont="1" applyAlignment="1">
      <alignment horizontal="left"/>
    </xf>
    <xf numFmtId="0" fontId="12" fillId="0" borderId="0" xfId="0" applyNumberFormat="1" applyFont="1" applyFill="1" applyAlignment="1">
      <alignment horizontal="center"/>
    </xf>
    <xf numFmtId="0" fontId="8" fillId="0" borderId="0" xfId="0" applyFont="1" applyFill="1" applyAlignment="1">
      <alignment horizontal="right"/>
    </xf>
    <xf numFmtId="0" fontId="8" fillId="0" borderId="0" xfId="0" applyFont="1" applyFill="1" applyBorder="1"/>
    <xf numFmtId="0" fontId="6" fillId="0" borderId="2" xfId="0" applyFont="1" applyBorder="1" applyAlignment="1"/>
    <xf numFmtId="173" fontId="6" fillId="0" borderId="2" xfId="5" applyNumberFormat="1" applyFont="1" applyBorder="1" applyAlignment="1"/>
    <xf numFmtId="0" fontId="8" fillId="0" borderId="2" xfId="0" applyFont="1" applyBorder="1"/>
    <xf numFmtId="168" fontId="6" fillId="0" borderId="2" xfId="0" applyNumberFormat="1" applyFont="1" applyBorder="1" applyAlignment="1">
      <alignment horizontal="left"/>
    </xf>
    <xf numFmtId="169" fontId="6" fillId="0" borderId="2" xfId="0" applyNumberFormat="1" applyFont="1" applyBorder="1" applyAlignment="1">
      <alignment horizontal="center"/>
    </xf>
    <xf numFmtId="0" fontId="8" fillId="0" borderId="0" xfId="0" applyFont="1" applyFill="1" applyBorder="1" applyAlignment="1">
      <alignment horizontal="center" wrapText="1"/>
    </xf>
    <xf numFmtId="0" fontId="8" fillId="0" borderId="2" xfId="0" applyFont="1" applyFill="1" applyBorder="1" applyAlignment="1"/>
    <xf numFmtId="0" fontId="8" fillId="0" borderId="2" xfId="0" applyFont="1" applyBorder="1" applyAlignment="1"/>
    <xf numFmtId="0" fontId="20" fillId="0" borderId="0" xfId="0" applyFont="1" applyFill="1" applyBorder="1" applyAlignment="1">
      <alignment horizontal="center"/>
    </xf>
    <xf numFmtId="0" fontId="21" fillId="0" borderId="0" xfId="0" applyFont="1" applyFill="1" applyBorder="1" applyAlignment="1"/>
    <xf numFmtId="0" fontId="8" fillId="3" borderId="0" xfId="0" applyFont="1" applyFill="1" applyAlignment="1"/>
    <xf numFmtId="0" fontId="8" fillId="3" borderId="0" xfId="0" applyFont="1" applyFill="1"/>
    <xf numFmtId="164" fontId="8" fillId="2" borderId="0" xfId="1" applyNumberFormat="1" applyFont="1" applyFill="1" applyBorder="1"/>
    <xf numFmtId="0" fontId="8" fillId="0" borderId="0" xfId="0" applyNumberFormat="1" applyFont="1" applyBorder="1"/>
    <xf numFmtId="0" fontId="6" fillId="0" borderId="0" xfId="0" applyFont="1" applyBorder="1" applyAlignment="1"/>
    <xf numFmtId="173" fontId="8" fillId="0" borderId="0" xfId="0" applyNumberFormat="1" applyFont="1" applyBorder="1" applyAlignment="1">
      <alignment horizontal="right"/>
    </xf>
    <xf numFmtId="37" fontId="19" fillId="0" borderId="0" xfId="0" applyNumberFormat="1" applyFont="1" applyBorder="1" applyAlignment="1">
      <alignment horizontal="right"/>
    </xf>
    <xf numFmtId="3" fontId="6" fillId="0" borderId="0" xfId="0" applyNumberFormat="1" applyFont="1" applyFill="1" applyBorder="1" applyAlignment="1"/>
    <xf numFmtId="168" fontId="6" fillId="0" borderId="0" xfId="0" applyNumberFormat="1" applyFont="1" applyBorder="1" applyAlignment="1">
      <alignment horizontal="left"/>
    </xf>
    <xf numFmtId="175" fontId="8" fillId="0" borderId="0" xfId="5" applyNumberFormat="1" applyFont="1"/>
    <xf numFmtId="43" fontId="8" fillId="0" borderId="0" xfId="1" applyFont="1"/>
    <xf numFmtId="0" fontId="6" fillId="0" borderId="1" xfId="0" applyFont="1" applyFill="1" applyBorder="1" applyAlignment="1"/>
    <xf numFmtId="0" fontId="6" fillId="0" borderId="1" xfId="0" applyFont="1" applyBorder="1" applyAlignment="1"/>
    <xf numFmtId="3" fontId="6" fillId="0" borderId="1" xfId="0" applyNumberFormat="1" applyFont="1" applyBorder="1"/>
    <xf numFmtId="37" fontId="18" fillId="0" borderId="0" xfId="0" applyNumberFormat="1" applyFont="1" applyBorder="1" applyAlignment="1">
      <alignment horizontal="left"/>
    </xf>
    <xf numFmtId="0" fontId="8" fillId="3" borderId="0" xfId="0" applyNumberFormat="1" applyFont="1" applyFill="1" applyAlignment="1">
      <alignment horizontal="center"/>
    </xf>
    <xf numFmtId="0" fontId="21" fillId="3" borderId="0" xfId="0" applyNumberFormat="1" applyFont="1" applyFill="1" applyAlignment="1">
      <alignment horizontal="left"/>
    </xf>
    <xf numFmtId="0" fontId="7" fillId="0" borderId="0" xfId="0" applyFont="1"/>
    <xf numFmtId="0" fontId="22" fillId="0" borderId="4" xfId="0" applyNumberFormat="1" applyFont="1" applyBorder="1" applyAlignment="1">
      <alignment horizontal="center"/>
    </xf>
    <xf numFmtId="0" fontId="22" fillId="0" borderId="4" xfId="0" applyFont="1" applyBorder="1" applyAlignment="1"/>
    <xf numFmtId="0" fontId="16" fillId="0" borderId="4" xfId="0" applyNumberFormat="1" applyFont="1" applyBorder="1" applyAlignment="1">
      <alignment horizontal="left"/>
    </xf>
    <xf numFmtId="0" fontId="16" fillId="0" borderId="4" xfId="0" applyFont="1" applyFill="1" applyBorder="1"/>
    <xf numFmtId="0" fontId="16" fillId="0" borderId="4" xfId="0" applyFont="1" applyBorder="1" applyAlignment="1"/>
    <xf numFmtId="3" fontId="16" fillId="0" borderId="4" xfId="0" applyNumberFormat="1" applyFont="1" applyBorder="1"/>
    <xf numFmtId="164" fontId="8" fillId="0" borderId="0" xfId="1" applyNumberFormat="1" applyFont="1"/>
    <xf numFmtId="0" fontId="8" fillId="0" borderId="3" xfId="0" applyNumberFormat="1" applyFont="1" applyFill="1" applyBorder="1" applyAlignment="1">
      <alignment horizontal="left"/>
    </xf>
    <xf numFmtId="0" fontId="6" fillId="0" borderId="4" xfId="0" applyFont="1" applyBorder="1"/>
    <xf numFmtId="0" fontId="16" fillId="0" borderId="0" xfId="0" applyNumberFormat="1" applyFont="1" applyBorder="1" applyAlignment="1">
      <alignment horizontal="center"/>
    </xf>
    <xf numFmtId="0" fontId="6" fillId="0" borderId="0" xfId="0" applyNumberFormat="1" applyFont="1" applyBorder="1" applyAlignment="1">
      <alignment horizontal="left"/>
    </xf>
    <xf numFmtId="164" fontId="6" fillId="0" borderId="2" xfId="1" applyNumberFormat="1" applyFont="1" applyFill="1" applyBorder="1" applyAlignment="1">
      <alignment horizontal="right"/>
    </xf>
    <xf numFmtId="0" fontId="8" fillId="0" borderId="3" xfId="0" applyNumberFormat="1" applyFont="1" applyBorder="1" applyAlignment="1">
      <alignment horizontal="center"/>
    </xf>
    <xf numFmtId="0" fontId="12" fillId="0" borderId="0" xfId="0" applyFont="1" applyFill="1" applyAlignment="1">
      <alignment horizontal="center"/>
    </xf>
    <xf numFmtId="0" fontId="8" fillId="0" borderId="0" xfId="0" applyFont="1" applyBorder="1" applyAlignment="1">
      <alignment horizontal="center"/>
    </xf>
    <xf numFmtId="0" fontId="10" fillId="0" borderId="0" xfId="0" applyFont="1" applyFill="1" applyAlignment="1">
      <alignment horizontal="center"/>
    </xf>
    <xf numFmtId="0" fontId="8" fillId="0" borderId="1" xfId="0" applyFont="1" applyBorder="1" applyAlignment="1">
      <alignment horizontal="center"/>
    </xf>
    <xf numFmtId="0" fontId="8" fillId="0" borderId="2" xfId="0" applyFont="1" applyBorder="1" applyAlignment="1">
      <alignment horizontal="center"/>
    </xf>
    <xf numFmtId="0" fontId="6" fillId="0" borderId="2" xfId="0" applyFont="1" applyBorder="1" applyAlignment="1">
      <alignment horizontal="center"/>
    </xf>
    <xf numFmtId="0" fontId="8" fillId="0" borderId="1" xfId="0" applyNumberFormat="1" applyFont="1" applyBorder="1" applyAlignment="1">
      <alignment horizontal="center"/>
    </xf>
    <xf numFmtId="0" fontId="8" fillId="0" borderId="3" xfId="0" applyNumberFormat="1" applyFont="1" applyFill="1" applyBorder="1" applyAlignment="1">
      <alignment horizontal="center"/>
    </xf>
    <xf numFmtId="0" fontId="8" fillId="0" borderId="1" xfId="0" applyFont="1" applyFill="1" applyBorder="1" applyAlignment="1">
      <alignment horizontal="center"/>
    </xf>
    <xf numFmtId="0" fontId="8" fillId="0" borderId="3" xfId="0" applyFont="1" applyBorder="1" applyAlignment="1">
      <alignment horizontal="center"/>
    </xf>
    <xf numFmtId="0" fontId="6" fillId="0" borderId="0" xfId="0" applyFont="1" applyBorder="1" applyAlignment="1">
      <alignment horizontal="center"/>
    </xf>
    <xf numFmtId="3" fontId="6" fillId="0" borderId="2" xfId="0" applyNumberFormat="1" applyFont="1" applyBorder="1" applyAlignment="1">
      <alignment horizontal="center"/>
    </xf>
    <xf numFmtId="0" fontId="8" fillId="0" borderId="0" xfId="0" applyNumberFormat="1" applyFont="1" applyFill="1" applyBorder="1" applyAlignment="1">
      <alignment horizontal="center"/>
    </xf>
    <xf numFmtId="3" fontId="6" fillId="0" borderId="1" xfId="0" applyNumberFormat="1" applyFont="1" applyBorder="1" applyAlignment="1">
      <alignment horizontal="center"/>
    </xf>
    <xf numFmtId="0" fontId="16" fillId="0" borderId="4" xfId="0" applyFont="1" applyBorder="1" applyAlignment="1">
      <alignment horizontal="center"/>
    </xf>
    <xf numFmtId="0" fontId="8" fillId="0" borderId="3" xfId="0" applyFont="1" applyFill="1" applyBorder="1" applyAlignment="1"/>
    <xf numFmtId="0" fontId="10" fillId="0" borderId="0" xfId="0" applyFont="1" applyFill="1" applyBorder="1" applyAlignment="1">
      <alignment horizontal="center"/>
    </xf>
    <xf numFmtId="0" fontId="23" fillId="0" borderId="0" xfId="0" applyFont="1" applyBorder="1" applyAlignment="1"/>
    <xf numFmtId="0" fontId="24" fillId="0" borderId="0" xfId="0" applyFont="1" applyBorder="1" applyAlignment="1">
      <alignment horizontal="center"/>
    </xf>
    <xf numFmtId="37" fontId="23" fillId="0" borderId="0" xfId="0" applyNumberFormat="1" applyFont="1" applyBorder="1" applyAlignment="1">
      <alignment horizontal="left"/>
    </xf>
    <xf numFmtId="0" fontId="23" fillId="0" borderId="0" xfId="0" applyFont="1" applyFill="1" applyAlignment="1"/>
    <xf numFmtId="0" fontId="10" fillId="0" borderId="1" xfId="0" applyFont="1" applyFill="1" applyBorder="1" applyAlignment="1"/>
    <xf numFmtId="0" fontId="10" fillId="0" borderId="3" xfId="0" applyFont="1" applyFill="1" applyBorder="1" applyAlignment="1"/>
    <xf numFmtId="0" fontId="10" fillId="0" borderId="3" xfId="0" applyFont="1" applyFill="1" applyBorder="1" applyAlignment="1">
      <alignment horizontal="center"/>
    </xf>
    <xf numFmtId="0" fontId="8" fillId="0" borderId="0" xfId="0" applyFont="1" applyFill="1" applyBorder="1" applyAlignment="1">
      <alignment horizontal="center"/>
    </xf>
    <xf numFmtId="0" fontId="10" fillId="0" borderId="0" xfId="0" applyFont="1" applyFill="1" applyAlignment="1">
      <alignment horizontal="left"/>
    </xf>
    <xf numFmtId="0" fontId="22" fillId="0" borderId="0" xfId="0" applyNumberFormat="1" applyFont="1" applyBorder="1" applyAlignment="1">
      <alignment horizontal="center"/>
    </xf>
    <xf numFmtId="0" fontId="22" fillId="0" borderId="0" xfId="0" applyFont="1" applyBorder="1" applyAlignment="1"/>
    <xf numFmtId="0" fontId="23" fillId="0" borderId="0" xfId="0" applyFont="1" applyAlignment="1"/>
    <xf numFmtId="0" fontId="6" fillId="0" borderId="0" xfId="0" applyFont="1" applyFill="1"/>
    <xf numFmtId="37" fontId="16" fillId="0" borderId="4" xfId="0" applyNumberFormat="1" applyFont="1" applyBorder="1" applyAlignment="1">
      <alignment horizontal="center"/>
    </xf>
    <xf numFmtId="0" fontId="6" fillId="0" borderId="0" xfId="0" applyFont="1" applyFill="1" applyBorder="1"/>
    <xf numFmtId="3" fontId="6" fillId="0" borderId="0" xfId="0" applyNumberFormat="1" applyFont="1" applyFill="1" applyBorder="1"/>
    <xf numFmtId="3" fontId="12" fillId="0" borderId="0" xfId="0" applyNumberFormat="1" applyFont="1" applyBorder="1" applyAlignment="1"/>
    <xf numFmtId="0" fontId="12" fillId="0" borderId="0" xfId="0" applyNumberFormat="1" applyFont="1" applyFill="1" applyBorder="1" applyAlignment="1">
      <alignment horizontal="center"/>
    </xf>
    <xf numFmtId="0" fontId="0" fillId="0" borderId="0" xfId="0" applyAlignment="1">
      <alignment horizontal="center"/>
    </xf>
    <xf numFmtId="0" fontId="16" fillId="0" borderId="0" xfId="0" applyNumberFormat="1" applyFont="1" applyFill="1" applyBorder="1" applyAlignment="1">
      <alignment horizontal="center"/>
    </xf>
    <xf numFmtId="0" fontId="28" fillId="0" borderId="0" xfId="0" applyFont="1"/>
    <xf numFmtId="0" fontId="28" fillId="0" borderId="0" xfId="0" applyFont="1" applyFill="1"/>
    <xf numFmtId="0" fontId="28" fillId="0" borderId="0" xfId="0" applyFont="1" applyBorder="1"/>
    <xf numFmtId="0" fontId="27" fillId="0" borderId="0" xfId="0" applyFont="1" applyBorder="1"/>
    <xf numFmtId="0" fontId="13" fillId="0" borderId="0" xfId="0" applyFont="1"/>
    <xf numFmtId="0" fontId="29" fillId="0" borderId="0" xfId="0" applyFont="1" applyAlignment="1">
      <alignment horizontal="center"/>
    </xf>
    <xf numFmtId="0" fontId="13" fillId="0" borderId="0" xfId="0" applyFont="1" applyFill="1"/>
    <xf numFmtId="164" fontId="6" fillId="0" borderId="0" xfId="1" applyNumberFormat="1" applyFont="1" applyAlignment="1"/>
    <xf numFmtId="164" fontId="6" fillId="2" borderId="0" xfId="1" applyNumberFormat="1" applyFont="1" applyFill="1"/>
    <xf numFmtId="3" fontId="8" fillId="0" borderId="0" xfId="0" applyNumberFormat="1" applyFont="1" applyFill="1" applyBorder="1" applyAlignment="1">
      <alignment horizontal="right"/>
    </xf>
    <xf numFmtId="0" fontId="26" fillId="0" borderId="0" xfId="0" applyFont="1" applyFill="1" applyBorder="1" applyAlignment="1">
      <alignment horizontal="left"/>
    </xf>
    <xf numFmtId="0" fontId="6" fillId="0" borderId="0" xfId="0" applyFont="1" applyFill="1" applyBorder="1" applyAlignment="1">
      <alignment horizontal="center" wrapText="1"/>
    </xf>
    <xf numFmtId="0" fontId="8" fillId="0" borderId="0" xfId="0" applyFont="1" applyAlignment="1">
      <alignment wrapText="1"/>
    </xf>
    <xf numFmtId="0" fontId="8" fillId="2" borderId="0" xfId="0" applyFont="1" applyFill="1"/>
    <xf numFmtId="0" fontId="8" fillId="0" borderId="3" xfId="0" applyFont="1" applyBorder="1"/>
    <xf numFmtId="10" fontId="8" fillId="0" borderId="0" xfId="5" applyNumberFormat="1" applyFont="1" applyFill="1"/>
    <xf numFmtId="164" fontId="0" fillId="0" borderId="0" xfId="1" applyNumberFormat="1" applyFont="1"/>
    <xf numFmtId="43" fontId="0" fillId="0" borderId="0" xfId="0" applyNumberFormat="1"/>
    <xf numFmtId="0" fontId="0" fillId="0" borderId="6" xfId="0" applyBorder="1"/>
    <xf numFmtId="0" fontId="0" fillId="0" borderId="0" xfId="0" applyBorder="1"/>
    <xf numFmtId="0" fontId="0" fillId="0" borderId="7" xfId="0" applyBorder="1"/>
    <xf numFmtId="0" fontId="0" fillId="0" borderId="8" xfId="0" applyBorder="1"/>
    <xf numFmtId="0" fontId="0" fillId="0" borderId="9" xfId="0" applyBorder="1"/>
    <xf numFmtId="0" fontId="0" fillId="0" borderId="10" xfId="0" applyBorder="1"/>
    <xf numFmtId="164" fontId="0" fillId="0" borderId="0" xfId="1" applyNumberFormat="1" applyFont="1" applyFill="1"/>
    <xf numFmtId="173" fontId="0" fillId="0" borderId="0" xfId="5" applyNumberFormat="1" applyFont="1"/>
    <xf numFmtId="0" fontId="5" fillId="0" borderId="0" xfId="0" applyFont="1" applyAlignment="1">
      <alignment horizontal="left"/>
    </xf>
    <xf numFmtId="0" fontId="8" fillId="2" borderId="3" xfId="0" applyFont="1" applyFill="1" applyBorder="1"/>
    <xf numFmtId="3" fontId="6" fillId="0" borderId="1" xfId="0" applyNumberFormat="1" applyFont="1" applyFill="1" applyBorder="1" applyAlignment="1">
      <alignment horizontal="right"/>
    </xf>
    <xf numFmtId="3" fontId="6" fillId="0" borderId="1" xfId="0" applyNumberFormat="1" applyFont="1" applyBorder="1" applyAlignment="1"/>
    <xf numFmtId="3" fontId="6" fillId="2" borderId="1" xfId="0" applyNumberFormat="1" applyFont="1" applyFill="1" applyBorder="1" applyAlignment="1"/>
    <xf numFmtId="3" fontId="6" fillId="0" borderId="1" xfId="0" applyNumberFormat="1" applyFont="1" applyFill="1" applyBorder="1" applyAlignment="1"/>
    <xf numFmtId="164" fontId="6" fillId="0" borderId="0" xfId="1" applyNumberFormat="1" applyFont="1" applyFill="1" applyAlignment="1"/>
    <xf numFmtId="10" fontId="14" fillId="0" borderId="0" xfId="0" applyNumberFormat="1" applyFont="1" applyFill="1"/>
    <xf numFmtId="0" fontId="8" fillId="0" borderId="3" xfId="0" applyFont="1" applyFill="1" applyBorder="1" applyAlignment="1">
      <alignment horizontal="center"/>
    </xf>
    <xf numFmtId="0" fontId="23" fillId="0" borderId="0" xfId="0" applyFont="1" applyAlignment="1">
      <alignment vertical="center" wrapText="1"/>
    </xf>
    <xf numFmtId="0" fontId="32" fillId="0" borderId="0" xfId="0" applyFont="1" applyFill="1" applyBorder="1" applyAlignment="1">
      <alignment horizontal="center"/>
    </xf>
    <xf numFmtId="0" fontId="31" fillId="0" borderId="0" xfId="0" applyFont="1" applyBorder="1" applyAlignment="1">
      <alignment horizontal="center"/>
    </xf>
    <xf numFmtId="0" fontId="31" fillId="0" borderId="0" xfId="0" applyNumberFormat="1" applyFont="1" applyBorder="1" applyAlignment="1">
      <alignment horizontal="left"/>
    </xf>
    <xf numFmtId="0" fontId="34" fillId="0" borderId="0" xfId="0" applyNumberFormat="1" applyFont="1" applyFill="1" applyAlignment="1"/>
    <xf numFmtId="0" fontId="23" fillId="0" borderId="0" xfId="0" applyNumberFormat="1" applyFont="1" applyAlignment="1">
      <alignment horizontal="center"/>
    </xf>
    <xf numFmtId="0" fontId="23" fillId="0" borderId="0" xfId="0" applyFont="1" applyFill="1" applyBorder="1"/>
    <xf numFmtId="0" fontId="23" fillId="0" borderId="0" xfId="0" applyFont="1" applyBorder="1" applyAlignment="1">
      <alignment horizontal="center"/>
    </xf>
    <xf numFmtId="0" fontId="23" fillId="0" borderId="1" xfId="0" applyNumberFormat="1" applyFont="1" applyBorder="1" applyAlignment="1"/>
    <xf numFmtId="3" fontId="23" fillId="0" borderId="1" xfId="0" applyNumberFormat="1" applyFont="1" applyBorder="1" applyAlignment="1"/>
    <xf numFmtId="3" fontId="23" fillId="0" borderId="1" xfId="0" applyNumberFormat="1" applyFont="1" applyBorder="1" applyAlignment="1">
      <alignment horizontal="center"/>
    </xf>
    <xf numFmtId="0" fontId="34" fillId="0" borderId="2" xfId="0" applyNumberFormat="1" applyFont="1" applyFill="1" applyBorder="1" applyAlignment="1"/>
    <xf numFmtId="0" fontId="23" fillId="0" borderId="2" xfId="0" applyFont="1" applyFill="1" applyBorder="1" applyAlignment="1"/>
    <xf numFmtId="3" fontId="23" fillId="0" borderId="2" xfId="0" applyNumberFormat="1" applyFont="1" applyFill="1" applyBorder="1" applyAlignment="1">
      <alignment horizontal="center"/>
    </xf>
    <xf numFmtId="3" fontId="23" fillId="0" borderId="0" xfId="0" applyNumberFormat="1" applyFont="1" applyFill="1" applyAlignment="1">
      <alignment horizontal="center"/>
    </xf>
    <xf numFmtId="0" fontId="35" fillId="0" borderId="0" xfId="0" applyFont="1" applyFill="1" applyBorder="1" applyAlignment="1">
      <alignment horizontal="center"/>
    </xf>
    <xf numFmtId="0" fontId="23" fillId="0" borderId="0" xfId="0" applyFont="1" applyFill="1" applyBorder="1" applyAlignment="1"/>
    <xf numFmtId="0" fontId="36" fillId="3" borderId="0" xfId="0" applyFont="1" applyFill="1" applyBorder="1" applyAlignment="1"/>
    <xf numFmtId="0" fontId="23" fillId="3" borderId="0" xfId="0" applyFont="1" applyFill="1" applyBorder="1" applyAlignment="1"/>
    <xf numFmtId="0" fontId="34" fillId="3" borderId="0" xfId="0" applyNumberFormat="1" applyFont="1" applyFill="1" applyBorder="1" applyAlignment="1">
      <alignment horizontal="center"/>
    </xf>
    <xf numFmtId="0" fontId="36" fillId="0" borderId="0" xfId="0" applyFont="1" applyFill="1" applyBorder="1" applyAlignment="1"/>
    <xf numFmtId="0" fontId="34" fillId="0" borderId="0" xfId="0" applyNumberFormat="1" applyFont="1" applyFill="1" applyBorder="1" applyAlignment="1">
      <alignment horizontal="center"/>
    </xf>
    <xf numFmtId="3" fontId="23" fillId="0" borderId="0" xfId="0" applyNumberFormat="1" applyFont="1" applyBorder="1" applyAlignment="1"/>
    <xf numFmtId="0" fontId="23" fillId="0" borderId="0" xfId="0" applyNumberFormat="1" applyFont="1" applyBorder="1" applyAlignment="1"/>
    <xf numFmtId="3" fontId="23" fillId="0" borderId="0" xfId="0" applyNumberFormat="1" applyFont="1" applyBorder="1" applyAlignment="1">
      <alignment horizontal="center"/>
    </xf>
    <xf numFmtId="0" fontId="34" fillId="0" borderId="0" xfId="0" applyNumberFormat="1" applyFont="1" applyFill="1" applyBorder="1" applyAlignment="1">
      <alignment horizontal="left"/>
    </xf>
    <xf numFmtId="3" fontId="23" fillId="0" borderId="0" xfId="0" applyNumberFormat="1" applyFont="1" applyFill="1" applyBorder="1" applyAlignment="1"/>
    <xf numFmtId="0" fontId="23" fillId="0" borderId="0" xfId="0" applyNumberFormat="1" applyFont="1" applyFill="1" applyBorder="1" applyAlignment="1"/>
    <xf numFmtId="0" fontId="35" fillId="0" borderId="0" xfId="0" applyFont="1" applyFill="1" applyBorder="1"/>
    <xf numFmtId="3" fontId="35" fillId="0" borderId="0" xfId="0" applyNumberFormat="1" applyFont="1" applyFill="1" applyBorder="1" applyAlignment="1">
      <alignment horizontal="center"/>
    </xf>
    <xf numFmtId="0" fontId="23" fillId="0" borderId="0" xfId="0" applyFont="1" applyFill="1" applyBorder="1" applyAlignment="1">
      <alignment horizontal="left"/>
    </xf>
    <xf numFmtId="0" fontId="23" fillId="0" borderId="0" xfId="0" applyNumberFormat="1" applyFont="1" applyBorder="1" applyAlignment="1">
      <alignment horizontal="center"/>
    </xf>
    <xf numFmtId="0" fontId="34" fillId="0" borderId="0" xfId="0" applyFont="1" applyBorder="1" applyAlignment="1">
      <alignment horizontal="left"/>
    </xf>
    <xf numFmtId="0" fontId="23" fillId="0" borderId="0" xfId="0" applyNumberFormat="1" applyFont="1" applyFill="1" applyBorder="1" applyAlignment="1">
      <alignment horizontal="left"/>
    </xf>
    <xf numFmtId="0" fontId="23" fillId="0" borderId="0" xfId="0" applyNumberFormat="1" applyFont="1" applyBorder="1" applyAlignment="1">
      <alignment horizontal="left"/>
    </xf>
    <xf numFmtId="3" fontId="34" fillId="0" borderId="0" xfId="0" applyNumberFormat="1" applyFont="1" applyBorder="1" applyAlignment="1"/>
    <xf numFmtId="3" fontId="34" fillId="0" borderId="0" xfId="0" applyNumberFormat="1" applyFont="1" applyFill="1" applyBorder="1" applyAlignment="1"/>
    <xf numFmtId="0" fontId="23" fillId="0" borderId="0" xfId="0" applyFont="1" applyFill="1" applyBorder="1" applyAlignment="1">
      <alignment horizontal="center"/>
    </xf>
    <xf numFmtId="0" fontId="34" fillId="0" borderId="0" xfId="0" applyNumberFormat="1" applyFont="1" applyBorder="1" applyAlignment="1"/>
    <xf numFmtId="0" fontId="34" fillId="0" borderId="0" xfId="0" applyFont="1" applyBorder="1" applyAlignment="1"/>
    <xf numFmtId="0" fontId="34" fillId="0" borderId="0" xfId="0" applyFont="1" applyBorder="1" applyAlignment="1">
      <alignment horizontal="center"/>
    </xf>
    <xf numFmtId="168" fontId="34" fillId="0" borderId="0" xfId="0" applyNumberFormat="1" applyFont="1" applyBorder="1" applyAlignment="1">
      <alignment horizontal="left"/>
    </xf>
    <xf numFmtId="0" fontId="23" fillId="0" borderId="0" xfId="0" applyFont="1" applyBorder="1"/>
    <xf numFmtId="168" fontId="23" fillId="0" borderId="0" xfId="0" applyNumberFormat="1" applyFont="1" applyBorder="1" applyAlignment="1">
      <alignment horizontal="left"/>
    </xf>
    <xf numFmtId="0" fontId="40" fillId="0" borderId="5" xfId="0" applyNumberFormat="1" applyFont="1" applyBorder="1" applyAlignment="1">
      <alignment horizontal="center"/>
    </xf>
    <xf numFmtId="0" fontId="40" fillId="0" borderId="0" xfId="0" applyNumberFormat="1" applyFont="1" applyBorder="1" applyAlignment="1">
      <alignment horizontal="center"/>
    </xf>
    <xf numFmtId="0" fontId="34" fillId="0" borderId="0" xfId="0" applyNumberFormat="1" applyFont="1" applyBorder="1" applyAlignment="1">
      <alignment horizontal="left"/>
    </xf>
    <xf numFmtId="0" fontId="40" fillId="0" borderId="0" xfId="0" applyNumberFormat="1" applyFont="1" applyFill="1" applyBorder="1" applyAlignment="1"/>
    <xf numFmtId="0" fontId="40" fillId="0" borderId="0" xfId="0" applyFont="1" applyFill="1" applyBorder="1" applyAlignment="1"/>
    <xf numFmtId="3" fontId="40" fillId="0" borderId="0" xfId="0" applyNumberFormat="1" applyFont="1" applyBorder="1" applyAlignment="1">
      <alignment horizontal="center"/>
    </xf>
    <xf numFmtId="0" fontId="23" fillId="0" borderId="0" xfId="0" applyNumberFormat="1" applyFont="1" applyFill="1" applyBorder="1" applyAlignment="1">
      <alignment horizontal="center"/>
    </xf>
    <xf numFmtId="3" fontId="40" fillId="0" borderId="0" xfId="0" applyNumberFormat="1" applyFont="1" applyFill="1" applyBorder="1" applyAlignment="1">
      <alignment horizontal="center"/>
    </xf>
    <xf numFmtId="0" fontId="34" fillId="0" borderId="0" xfId="0" applyNumberFormat="1" applyFont="1" applyFill="1" applyBorder="1" applyAlignment="1"/>
    <xf numFmtId="0" fontId="40" fillId="0" borderId="4" xfId="0" applyNumberFormat="1" applyFont="1" applyBorder="1" applyAlignment="1">
      <alignment horizontal="left"/>
    </xf>
    <xf numFmtId="0" fontId="34" fillId="0" borderId="0" xfId="0" applyFont="1" applyFill="1" applyBorder="1"/>
    <xf numFmtId="0" fontId="35" fillId="0" borderId="0" xfId="0" applyFont="1" applyBorder="1" applyAlignment="1">
      <alignment horizontal="center"/>
    </xf>
    <xf numFmtId="0" fontId="24" fillId="2" borderId="0" xfId="0" applyFont="1" applyFill="1" applyBorder="1" applyAlignment="1">
      <alignment horizontal="center"/>
    </xf>
    <xf numFmtId="0" fontId="40" fillId="0" borderId="4" xfId="0" applyNumberFormat="1" applyFont="1" applyBorder="1" applyAlignment="1">
      <alignment horizontal="center"/>
    </xf>
    <xf numFmtId="0" fontId="34" fillId="0" borderId="6" xfId="0" applyNumberFormat="1" applyFont="1" applyFill="1" applyBorder="1" applyAlignment="1">
      <alignment horizontal="center"/>
    </xf>
    <xf numFmtId="3" fontId="23" fillId="0" borderId="7" xfId="0" applyNumberFormat="1" applyFont="1" applyBorder="1" applyAlignment="1"/>
    <xf numFmtId="0" fontId="23" fillId="0" borderId="6" xfId="0" applyNumberFormat="1" applyFont="1" applyBorder="1" applyAlignment="1">
      <alignment horizontal="center"/>
    </xf>
    <xf numFmtId="0" fontId="35" fillId="0" borderId="0" xfId="0" applyFont="1" applyFill="1" applyBorder="1" applyAlignment="1">
      <alignment horizontal="left"/>
    </xf>
    <xf numFmtId="0" fontId="23" fillId="0" borderId="6" xfId="0" applyFont="1" applyBorder="1" applyAlignment="1">
      <alignment horizontal="center"/>
    </xf>
    <xf numFmtId="0" fontId="23" fillId="0" borderId="7" xfId="0" applyFont="1" applyBorder="1"/>
    <xf numFmtId="0" fontId="23" fillId="0" borderId="7" xfId="0" applyFont="1" applyFill="1" applyBorder="1"/>
    <xf numFmtId="3" fontId="23" fillId="0" borderId="11" xfId="0" applyNumberFormat="1" applyFont="1" applyBorder="1" applyAlignment="1"/>
    <xf numFmtId="0" fontId="23" fillId="0" borderId="7" xfId="0" applyFont="1" applyBorder="1" applyAlignment="1"/>
    <xf numFmtId="3" fontId="23" fillId="0" borderId="12" xfId="0" applyNumberFormat="1" applyFont="1" applyBorder="1" applyAlignment="1"/>
    <xf numFmtId="3" fontId="23" fillId="0" borderId="0" xfId="0" applyNumberFormat="1" applyFont="1" applyFill="1" applyBorder="1" applyAlignment="1">
      <alignment horizontal="center"/>
    </xf>
    <xf numFmtId="0" fontId="23" fillId="0" borderId="6" xfId="0" applyNumberFormat="1" applyFont="1" applyFill="1" applyBorder="1" applyAlignment="1">
      <alignment horizontal="center"/>
    </xf>
    <xf numFmtId="3" fontId="23" fillId="0" borderId="7" xfId="0" applyNumberFormat="1" applyFont="1" applyFill="1" applyBorder="1" applyAlignment="1"/>
    <xf numFmtId="0" fontId="23" fillId="0" borderId="6" xfId="0" applyNumberFormat="1" applyFont="1" applyBorder="1" applyAlignment="1">
      <alignment horizontal="left"/>
    </xf>
    <xf numFmtId="0" fontId="36" fillId="3" borderId="6" xfId="0" applyFont="1" applyFill="1" applyBorder="1" applyAlignment="1">
      <alignment horizontal="left"/>
    </xf>
    <xf numFmtId="0" fontId="23" fillId="3" borderId="7" xfId="0" applyFont="1" applyFill="1" applyBorder="1"/>
    <xf numFmtId="0" fontId="37" fillId="0" borderId="6" xfId="0" applyFont="1" applyFill="1" applyBorder="1" applyAlignment="1">
      <alignment horizontal="center"/>
    </xf>
    <xf numFmtId="0" fontId="23" fillId="0" borderId="6" xfId="0" applyFont="1" applyFill="1" applyBorder="1" applyAlignment="1">
      <alignment horizontal="center"/>
    </xf>
    <xf numFmtId="0" fontId="23" fillId="0" borderId="0" xfId="0" applyFont="1" applyFill="1" applyBorder="1" applyAlignment="1">
      <alignment horizontal="right"/>
    </xf>
    <xf numFmtId="0" fontId="23" fillId="0" borderId="7" xfId="0" applyFont="1" applyFill="1" applyBorder="1" applyAlignment="1">
      <alignment horizontal="left"/>
    </xf>
    <xf numFmtId="0" fontId="24" fillId="0" borderId="0" xfId="0" applyFont="1" applyFill="1" applyBorder="1"/>
    <xf numFmtId="3" fontId="38" fillId="0" borderId="0" xfId="0" applyNumberFormat="1" applyFont="1" applyFill="1" applyBorder="1" applyAlignment="1">
      <alignment horizontal="center"/>
    </xf>
    <xf numFmtId="0" fontId="23" fillId="5" borderId="6" xfId="0" applyNumberFormat="1" applyFont="1" applyFill="1" applyBorder="1" applyAlignment="1">
      <alignment horizontal="center"/>
    </xf>
    <xf numFmtId="3" fontId="35" fillId="0" borderId="7" xfId="0" applyNumberFormat="1" applyFont="1" applyBorder="1" applyAlignment="1">
      <alignment horizontal="right"/>
    </xf>
    <xf numFmtId="0" fontId="39" fillId="0" borderId="0" xfId="0" applyNumberFormat="1" applyFont="1" applyFill="1" applyBorder="1" applyAlignment="1">
      <alignment horizontal="left"/>
    </xf>
    <xf numFmtId="0" fontId="23" fillId="0" borderId="7" xfId="0" applyNumberFormat="1" applyFont="1" applyBorder="1" applyAlignment="1">
      <alignment horizontal="left"/>
    </xf>
    <xf numFmtId="0" fontId="23" fillId="0" borderId="0" xfId="0" applyNumberFormat="1" applyFont="1" applyFill="1" applyBorder="1" applyAlignment="1">
      <alignment horizontal="right"/>
    </xf>
    <xf numFmtId="0" fontId="38" fillId="0" borderId="0" xfId="0" applyFont="1" applyFill="1" applyBorder="1" applyAlignment="1">
      <alignment horizontal="center"/>
    </xf>
    <xf numFmtId="3" fontId="35" fillId="0" borderId="7" xfId="0" applyNumberFormat="1" applyFont="1" applyFill="1" applyBorder="1" applyAlignment="1">
      <alignment horizontal="right"/>
    </xf>
    <xf numFmtId="0" fontId="23" fillId="0" borderId="7" xfId="0" applyNumberFormat="1" applyFont="1" applyFill="1" applyBorder="1" applyAlignment="1">
      <alignment horizontal="left"/>
    </xf>
    <xf numFmtId="0" fontId="23" fillId="0" borderId="0" xfId="0" applyFont="1" applyBorder="1" applyAlignment="1">
      <alignment horizontal="left"/>
    </xf>
    <xf numFmtId="0" fontId="34" fillId="0" borderId="0" xfId="0" applyNumberFormat="1" applyFont="1" applyFill="1" applyBorder="1" applyAlignment="1">
      <alignment horizontal="right"/>
    </xf>
    <xf numFmtId="0" fontId="34" fillId="0" borderId="6" xfId="0" applyFont="1" applyBorder="1"/>
    <xf numFmtId="0" fontId="34" fillId="0" borderId="0" xfId="0" applyFont="1" applyBorder="1"/>
    <xf numFmtId="3" fontId="35" fillId="0" borderId="0" xfId="0" applyNumberFormat="1" applyFont="1" applyBorder="1" applyAlignment="1">
      <alignment horizontal="center"/>
    </xf>
    <xf numFmtId="0" fontId="34" fillId="3" borderId="0" xfId="0" applyNumberFormat="1" applyFont="1" applyFill="1" applyBorder="1" applyAlignment="1">
      <alignment horizontal="left"/>
    </xf>
    <xf numFmtId="0" fontId="23" fillId="0" borderId="7" xfId="0" applyFont="1" applyFill="1" applyBorder="1" applyAlignment="1"/>
    <xf numFmtId="0" fontId="23" fillId="0" borderId="7" xfId="0" applyNumberFormat="1" applyFont="1" applyFill="1" applyBorder="1" applyAlignment="1"/>
    <xf numFmtId="0" fontId="23" fillId="0" borderId="7" xfId="0" applyFont="1" applyBorder="1" applyAlignment="1">
      <alignment horizontal="right"/>
    </xf>
    <xf numFmtId="0" fontId="23" fillId="0" borderId="0" xfId="0" applyNumberFormat="1" applyFont="1" applyBorder="1" applyAlignment="1">
      <alignment horizontal="right"/>
    </xf>
    <xf numFmtId="0" fontId="35" fillId="0" borderId="0" xfId="0" applyNumberFormat="1" applyFont="1" applyFill="1" applyBorder="1" applyAlignment="1">
      <alignment horizontal="center"/>
    </xf>
    <xf numFmtId="0" fontId="23" fillId="0" borderId="7" xfId="0" applyNumberFormat="1" applyFont="1" applyBorder="1" applyAlignment="1"/>
    <xf numFmtId="3" fontId="23" fillId="0" borderId="0" xfId="0" applyNumberFormat="1" applyFont="1" applyBorder="1" applyAlignment="1">
      <alignment horizontal="left"/>
    </xf>
    <xf numFmtId="0" fontId="23" fillId="0" borderId="0" xfId="0" applyNumberFormat="1" applyFont="1" applyFill="1" applyBorder="1"/>
    <xf numFmtId="170" fontId="23" fillId="0" borderId="0" xfId="0" applyNumberFormat="1" applyFont="1" applyBorder="1" applyAlignment="1"/>
    <xf numFmtId="0" fontId="40" fillId="0" borderId="6" xfId="0" applyNumberFormat="1" applyFont="1" applyBorder="1" applyAlignment="1">
      <alignment horizontal="center"/>
    </xf>
    <xf numFmtId="3" fontId="34" fillId="0" borderId="7" xfId="0" applyNumberFormat="1" applyFont="1" applyBorder="1" applyAlignment="1"/>
    <xf numFmtId="0" fontId="42" fillId="0" borderId="6" xfId="0" applyFont="1" applyBorder="1" applyAlignment="1">
      <alignment horizontal="left"/>
    </xf>
    <xf numFmtId="0" fontId="23" fillId="5" borderId="7" xfId="0" applyFont="1" applyFill="1" applyBorder="1" applyAlignment="1"/>
    <xf numFmtId="0" fontId="43" fillId="2" borderId="0" xfId="0" applyFont="1" applyFill="1" applyBorder="1" applyAlignment="1"/>
    <xf numFmtId="0" fontId="40" fillId="0" borderId="13" xfId="0" applyNumberFormat="1" applyFont="1" applyBorder="1" applyAlignment="1">
      <alignment horizontal="center"/>
    </xf>
    <xf numFmtId="0" fontId="35" fillId="0" borderId="0" xfId="0" applyFont="1" applyFill="1" applyBorder="1" applyAlignment="1"/>
    <xf numFmtId="3" fontId="35" fillId="0" borderId="0" xfId="0" applyNumberFormat="1" applyFont="1" applyBorder="1" applyAlignment="1">
      <alignment horizontal="right"/>
    </xf>
    <xf numFmtId="3" fontId="35" fillId="0" borderId="0" xfId="0" applyNumberFormat="1" applyFont="1" applyFill="1" applyBorder="1" applyAlignment="1">
      <alignment horizontal="right"/>
    </xf>
    <xf numFmtId="0" fontId="34" fillId="0" borderId="0" xfId="0" applyNumberFormat="1" applyFont="1" applyBorder="1" applyAlignment="1">
      <alignment horizontal="center"/>
    </xf>
    <xf numFmtId="0" fontId="35" fillId="0" borderId="0" xfId="0" applyNumberFormat="1" applyFont="1" applyBorder="1" applyAlignment="1">
      <alignment horizontal="center"/>
    </xf>
    <xf numFmtId="165" fontId="23" fillId="0" borderId="0" xfId="3" applyFont="1" applyBorder="1" applyAlignment="1">
      <alignment vertical="center"/>
    </xf>
    <xf numFmtId="3" fontId="34" fillId="0" borderId="0" xfId="0" applyNumberFormat="1" applyFont="1" applyBorder="1" applyAlignment="1">
      <alignment horizontal="center"/>
    </xf>
    <xf numFmtId="0" fontId="34" fillId="0" borderId="0" xfId="0" applyFont="1" applyFill="1" applyBorder="1" applyAlignment="1"/>
    <xf numFmtId="0" fontId="41" fillId="0" borderId="0" xfId="0" applyNumberFormat="1" applyFont="1" applyBorder="1" applyAlignment="1">
      <alignment horizontal="center"/>
    </xf>
    <xf numFmtId="0" fontId="40" fillId="0" borderId="0" xfId="0" applyNumberFormat="1" applyFont="1" applyBorder="1" applyAlignment="1">
      <alignment horizontal="left"/>
    </xf>
    <xf numFmtId="0" fontId="40" fillId="0" borderId="0" xfId="0" applyFont="1" applyFill="1" applyBorder="1"/>
    <xf numFmtId="0" fontId="40" fillId="0" borderId="0" xfId="0" applyFont="1" applyBorder="1" applyAlignment="1">
      <alignment horizontal="center"/>
    </xf>
    <xf numFmtId="3" fontId="40" fillId="0" borderId="7" xfId="0" applyNumberFormat="1" applyFont="1" applyBorder="1" applyAlignment="1"/>
    <xf numFmtId="0" fontId="23" fillId="0" borderId="8" xfId="0" applyNumberFormat="1" applyFont="1" applyFill="1" applyBorder="1" applyAlignment="1">
      <alignment horizontal="center"/>
    </xf>
    <xf numFmtId="0" fontId="23" fillId="0" borderId="9" xfId="0" applyNumberFormat="1" applyFont="1" applyBorder="1" applyAlignment="1">
      <alignment horizontal="center"/>
    </xf>
    <xf numFmtId="0" fontId="23" fillId="0" borderId="9" xfId="0" applyFont="1" applyBorder="1" applyAlignment="1"/>
    <xf numFmtId="0" fontId="35" fillId="0" borderId="9" xfId="0" applyFont="1" applyBorder="1" applyAlignment="1">
      <alignment horizontal="center"/>
    </xf>
    <xf numFmtId="0" fontId="23" fillId="0" borderId="10" xfId="0" applyFont="1" applyFill="1" applyBorder="1"/>
    <xf numFmtId="0" fontId="23" fillId="0" borderId="9" xfId="0" applyNumberFormat="1" applyFont="1" applyFill="1" applyBorder="1" applyAlignment="1">
      <alignment horizontal="center"/>
    </xf>
    <xf numFmtId="0" fontId="23" fillId="0" borderId="9" xfId="0" applyNumberFormat="1" applyFont="1" applyFill="1" applyBorder="1" applyAlignment="1"/>
    <xf numFmtId="0" fontId="23" fillId="0" borderId="9" xfId="0" applyFont="1" applyFill="1" applyBorder="1" applyAlignment="1"/>
    <xf numFmtId="3" fontId="35" fillId="0" borderId="9" xfId="0" applyNumberFormat="1" applyFont="1" applyBorder="1" applyAlignment="1">
      <alignment horizontal="center"/>
    </xf>
    <xf numFmtId="3" fontId="23" fillId="0" borderId="9" xfId="0" applyNumberFormat="1" applyFont="1" applyBorder="1" applyAlignment="1"/>
    <xf numFmtId="0" fontId="45" fillId="0" borderId="0" xfId="0" applyFont="1" applyFill="1" applyBorder="1" applyAlignment="1">
      <alignment horizontal="left"/>
    </xf>
    <xf numFmtId="0" fontId="23" fillId="0" borderId="9" xfId="0" applyNumberFormat="1" applyFont="1" applyFill="1" applyBorder="1" applyAlignment="1">
      <alignment horizontal="right"/>
    </xf>
    <xf numFmtId="0" fontId="23" fillId="0" borderId="9" xfId="0" applyNumberFormat="1" applyFont="1" applyFill="1" applyBorder="1" applyAlignment="1">
      <alignment horizontal="left"/>
    </xf>
    <xf numFmtId="0" fontId="35" fillId="0" borderId="9" xfId="0" applyNumberFormat="1" applyFont="1" applyFill="1" applyBorder="1" applyAlignment="1">
      <alignment horizontal="center"/>
    </xf>
    <xf numFmtId="0" fontId="23" fillId="0" borderId="10" xfId="0" applyNumberFormat="1" applyFont="1" applyFill="1" applyBorder="1" applyAlignment="1">
      <alignment horizontal="left"/>
    </xf>
    <xf numFmtId="0" fontId="23" fillId="0" borderId="9" xfId="0" applyNumberFormat="1" applyFont="1" applyBorder="1" applyAlignment="1"/>
    <xf numFmtId="0" fontId="35" fillId="0" borderId="9" xfId="0" applyFont="1" applyFill="1" applyBorder="1" applyAlignment="1">
      <alignment horizontal="center"/>
    </xf>
    <xf numFmtId="3" fontId="23" fillId="0" borderId="10" xfId="0" applyNumberFormat="1" applyFont="1" applyFill="1" applyBorder="1" applyAlignment="1"/>
    <xf numFmtId="0" fontId="23" fillId="0" borderId="9" xfId="0" applyFont="1" applyBorder="1"/>
    <xf numFmtId="3" fontId="35" fillId="0" borderId="9" xfId="0" applyNumberFormat="1" applyFont="1" applyFill="1" applyBorder="1" applyAlignment="1">
      <alignment horizontal="center"/>
    </xf>
    <xf numFmtId="3" fontId="23" fillId="0" borderId="9" xfId="0" applyNumberFormat="1" applyFont="1" applyFill="1" applyBorder="1" applyAlignment="1"/>
    <xf numFmtId="0" fontId="23" fillId="0" borderId="10" xfId="0" applyNumberFormat="1" applyFont="1" applyFill="1" applyBorder="1" applyAlignment="1"/>
    <xf numFmtId="0" fontId="23" fillId="0" borderId="8" xfId="0" applyNumberFormat="1" applyFont="1" applyBorder="1" applyAlignment="1">
      <alignment horizontal="center"/>
    </xf>
    <xf numFmtId="0" fontId="23" fillId="0" borderId="9" xfId="0" applyNumberFormat="1" applyFont="1" applyFill="1" applyBorder="1"/>
    <xf numFmtId="170" fontId="23" fillId="0" borderId="9" xfId="0" applyNumberFormat="1" applyFont="1" applyBorder="1" applyAlignment="1"/>
    <xf numFmtId="0" fontId="35" fillId="0" borderId="9" xfId="0" applyFont="1" applyFill="1" applyBorder="1" applyAlignment="1"/>
    <xf numFmtId="0" fontId="23" fillId="0" borderId="7" xfId="0" applyNumberFormat="1" applyFont="1" applyFill="1" applyBorder="1" applyAlignment="1">
      <alignment horizontal="center"/>
    </xf>
    <xf numFmtId="0" fontId="23" fillId="0" borderId="10" xfId="0" applyNumberFormat="1" applyFont="1" applyFill="1" applyBorder="1" applyAlignment="1">
      <alignment horizontal="center"/>
    </xf>
    <xf numFmtId="0" fontId="28" fillId="0" borderId="7" xfId="0" applyFont="1" applyBorder="1"/>
    <xf numFmtId="0" fontId="28" fillId="0" borderId="9" xfId="0" applyFont="1" applyBorder="1"/>
    <xf numFmtId="0" fontId="28" fillId="0" borderId="6" xfId="0" applyFont="1" applyBorder="1"/>
    <xf numFmtId="0" fontId="28" fillId="0" borderId="0" xfId="0" applyFont="1" applyFill="1" applyBorder="1" applyAlignment="1">
      <alignment horizontal="center" wrapText="1"/>
    </xf>
    <xf numFmtId="0" fontId="31" fillId="0" borderId="6" xfId="0" applyFont="1" applyBorder="1" applyAlignment="1">
      <alignment horizontal="center"/>
    </xf>
    <xf numFmtId="0" fontId="31" fillId="0" borderId="6" xfId="0" applyFont="1" applyBorder="1"/>
    <xf numFmtId="0" fontId="31" fillId="0" borderId="0" xfId="0" applyFont="1" applyFill="1" applyBorder="1" applyAlignment="1">
      <alignment horizontal="center" wrapText="1"/>
    </xf>
    <xf numFmtId="0" fontId="28" fillId="0" borderId="8" xfId="0" applyFont="1" applyBorder="1"/>
    <xf numFmtId="0" fontId="28" fillId="0" borderId="10" xfId="0" applyFont="1" applyBorder="1"/>
    <xf numFmtId="0" fontId="31" fillId="0" borderId="8" xfId="0" applyFont="1" applyBorder="1" applyAlignment="1">
      <alignment horizontal="center"/>
    </xf>
    <xf numFmtId="0" fontId="46" fillId="0" borderId="0" xfId="0" applyFont="1"/>
    <xf numFmtId="0" fontId="27" fillId="6" borderId="14" xfId="0" applyFont="1" applyFill="1" applyBorder="1" applyAlignment="1">
      <alignment horizontal="center" wrapText="1"/>
    </xf>
    <xf numFmtId="0" fontId="27" fillId="6" borderId="15" xfId="0" applyFont="1" applyFill="1" applyBorder="1" applyAlignment="1">
      <alignment horizontal="center" wrapText="1"/>
    </xf>
    <xf numFmtId="0" fontId="31" fillId="0" borderId="10" xfId="0" applyFont="1" applyBorder="1" applyAlignment="1">
      <alignment horizontal="center"/>
    </xf>
    <xf numFmtId="0" fontId="27" fillId="6" borderId="16" xfId="0" applyFont="1" applyFill="1" applyBorder="1" applyAlignment="1">
      <alignment horizontal="center" wrapText="1"/>
    </xf>
    <xf numFmtId="0" fontId="31" fillId="0" borderId="9" xfId="0" applyFont="1" applyBorder="1" applyAlignment="1">
      <alignment horizontal="center"/>
    </xf>
    <xf numFmtId="0" fontId="27" fillId="0" borderId="9" xfId="0" applyFont="1" applyBorder="1"/>
    <xf numFmtId="0" fontId="47" fillId="0" borderId="0" xfId="0" applyFont="1" applyAlignment="1">
      <alignment horizontal="center"/>
    </xf>
    <xf numFmtId="0" fontId="33" fillId="6" borderId="14" xfId="0" applyFont="1" applyFill="1" applyBorder="1" applyAlignment="1">
      <alignment horizontal="center"/>
    </xf>
    <xf numFmtId="0" fontId="33" fillId="6" borderId="15" xfId="0" applyFont="1" applyFill="1" applyBorder="1" applyAlignment="1">
      <alignment horizontal="center"/>
    </xf>
    <xf numFmtId="0" fontId="28" fillId="0" borderId="0" xfId="0" applyFont="1" applyBorder="1" applyAlignment="1"/>
    <xf numFmtId="0" fontId="28" fillId="0" borderId="7" xfId="0" applyFont="1" applyBorder="1" applyAlignment="1"/>
    <xf numFmtId="0" fontId="28" fillId="0" borderId="0" xfId="0" applyFont="1" applyFill="1" applyBorder="1" applyAlignment="1">
      <alignment horizontal="center"/>
    </xf>
    <xf numFmtId="0" fontId="28" fillId="0" borderId="7" xfId="0" applyFont="1" applyFill="1" applyBorder="1" applyAlignment="1">
      <alignment horizontal="center"/>
    </xf>
    <xf numFmtId="0" fontId="28" fillId="0" borderId="9" xfId="0" applyFont="1" applyBorder="1" applyAlignment="1"/>
    <xf numFmtId="0" fontId="28" fillId="0" borderId="10" xfId="0" applyFont="1" applyBorder="1" applyAlignment="1"/>
    <xf numFmtId="0" fontId="11" fillId="6" borderId="14" xfId="0" applyFont="1" applyFill="1" applyBorder="1" applyAlignment="1">
      <alignment horizontal="center"/>
    </xf>
    <xf numFmtId="2" fontId="23" fillId="0" borderId="0" xfId="0" applyNumberFormat="1" applyFont="1" applyFill="1" applyBorder="1" applyAlignment="1">
      <alignment horizontal="center"/>
    </xf>
    <xf numFmtId="0" fontId="34" fillId="0" borderId="0" xfId="0" applyFont="1" applyFill="1" applyBorder="1" applyAlignment="1">
      <alignment horizontal="center"/>
    </xf>
    <xf numFmtId="2" fontId="34" fillId="0" borderId="6" xfId="0" applyNumberFormat="1" applyFont="1" applyFill="1" applyBorder="1" applyAlignment="1">
      <alignment horizontal="center"/>
    </xf>
    <xf numFmtId="0" fontId="31" fillId="0" borderId="0" xfId="0" applyFont="1" applyBorder="1"/>
    <xf numFmtId="0" fontId="31" fillId="0" borderId="7" xfId="0" applyFont="1" applyBorder="1" applyAlignment="1">
      <alignment horizontal="center"/>
    </xf>
    <xf numFmtId="3" fontId="6" fillId="0" borderId="0" xfId="0" applyNumberFormat="1" applyFont="1" applyAlignment="1">
      <alignment horizontal="left"/>
    </xf>
    <xf numFmtId="0" fontId="8" fillId="0" borderId="3" xfId="0" applyFont="1" applyFill="1" applyBorder="1"/>
    <xf numFmtId="0" fontId="8" fillId="4" borderId="0" xfId="0" applyNumberFormat="1" applyFont="1" applyFill="1" applyAlignment="1">
      <alignment horizontal="center"/>
    </xf>
    <xf numFmtId="0" fontId="31" fillId="3" borderId="0" xfId="0" applyFont="1" applyFill="1" applyBorder="1" applyAlignment="1">
      <alignment horizontal="center"/>
    </xf>
    <xf numFmtId="0" fontId="28" fillId="3" borderId="0" xfId="0" applyFont="1" applyFill="1" applyBorder="1"/>
    <xf numFmtId="0" fontId="28" fillId="3" borderId="7" xfId="0" applyFont="1" applyFill="1" applyBorder="1"/>
    <xf numFmtId="0" fontId="11" fillId="0" borderId="0" xfId="0" applyFont="1"/>
    <xf numFmtId="0" fontId="28" fillId="0" borderId="16" xfId="0" applyFont="1" applyBorder="1"/>
    <xf numFmtId="0" fontId="28" fillId="0" borderId="14" xfId="0" applyFont="1" applyBorder="1" applyAlignment="1">
      <alignment horizontal="center"/>
    </xf>
    <xf numFmtId="0" fontId="31" fillId="0" borderId="16" xfId="0" applyFont="1" applyBorder="1" applyAlignment="1">
      <alignment horizontal="center"/>
    </xf>
    <xf numFmtId="0" fontId="31" fillId="0" borderId="14" xfId="0" applyFont="1" applyBorder="1" applyAlignment="1">
      <alignment horizontal="center"/>
    </xf>
    <xf numFmtId="164" fontId="31" fillId="0" borderId="15" xfId="1" applyNumberFormat="1" applyFont="1" applyBorder="1" applyAlignment="1">
      <alignment horizontal="center"/>
    </xf>
    <xf numFmtId="0" fontId="31" fillId="0" borderId="15" xfId="0" applyFont="1" applyBorder="1" applyAlignment="1">
      <alignment horizontal="center"/>
    </xf>
    <xf numFmtId="0" fontId="28" fillId="0" borderId="0" xfId="0" applyFont="1" applyBorder="1" applyAlignment="1">
      <alignment horizontal="center"/>
    </xf>
    <xf numFmtId="0" fontId="28" fillId="0" borderId="6" xfId="0" applyFont="1" applyBorder="1" applyAlignment="1">
      <alignment horizontal="center"/>
    </xf>
    <xf numFmtId="164" fontId="28" fillId="0" borderId="7" xfId="1" applyNumberFormat="1" applyFont="1" applyBorder="1" applyAlignment="1">
      <alignment horizontal="center"/>
    </xf>
    <xf numFmtId="0" fontId="28" fillId="0" borderId="7" xfId="0" applyFont="1" applyBorder="1" applyAlignment="1">
      <alignment horizontal="center"/>
    </xf>
    <xf numFmtId="164" fontId="28" fillId="0" borderId="7" xfId="1" applyNumberFormat="1" applyFont="1" applyBorder="1"/>
    <xf numFmtId="164" fontId="28" fillId="0" borderId="6" xfId="1" applyNumberFormat="1" applyFont="1" applyBorder="1"/>
    <xf numFmtId="164" fontId="28" fillId="0" borderId="0" xfId="1" applyNumberFormat="1" applyFont="1" applyBorder="1"/>
    <xf numFmtId="0" fontId="28" fillId="0" borderId="9" xfId="0" applyFont="1" applyBorder="1" applyAlignment="1">
      <alignment horizontal="center"/>
    </xf>
    <xf numFmtId="164" fontId="28" fillId="0" borderId="8" xfId="1" applyNumberFormat="1" applyFont="1" applyBorder="1"/>
    <xf numFmtId="164" fontId="28" fillId="0" borderId="9" xfId="1" applyNumberFormat="1" applyFont="1" applyBorder="1"/>
    <xf numFmtId="164" fontId="28" fillId="0" borderId="10" xfId="1" applyNumberFormat="1" applyFont="1" applyBorder="1"/>
    <xf numFmtId="0" fontId="31" fillId="0" borderId="17" xfId="0" applyFont="1" applyBorder="1" applyAlignment="1">
      <alignment horizontal="center"/>
    </xf>
    <xf numFmtId="0" fontId="31" fillId="0" borderId="14" xfId="0" applyFont="1" applyFill="1" applyBorder="1" applyAlignment="1">
      <alignment horizontal="center"/>
    </xf>
    <xf numFmtId="0" fontId="31" fillId="0" borderId="15" xfId="0" applyFont="1" applyFill="1" applyBorder="1" applyAlignment="1">
      <alignment horizontal="center"/>
    </xf>
    <xf numFmtId="0" fontId="28" fillId="0" borderId="18" xfId="0" applyFont="1" applyBorder="1" applyAlignment="1">
      <alignment horizontal="center"/>
    </xf>
    <xf numFmtId="164" fontId="28" fillId="0" borderId="0" xfId="0" applyNumberFormat="1" applyFont="1" applyBorder="1"/>
    <xf numFmtId="167" fontId="28" fillId="0" borderId="7" xfId="0" applyNumberFormat="1" applyFont="1" applyBorder="1"/>
    <xf numFmtId="167" fontId="28" fillId="0" borderId="0" xfId="0" applyNumberFormat="1" applyFont="1" applyBorder="1"/>
    <xf numFmtId="164" fontId="28" fillId="0" borderId="6" xfId="0" applyNumberFormat="1" applyFont="1" applyBorder="1"/>
    <xf numFmtId="164" fontId="31" fillId="0" borderId="6" xfId="0" applyNumberFormat="1" applyFont="1" applyBorder="1"/>
    <xf numFmtId="164" fontId="31" fillId="0" borderId="18" xfId="0" applyNumberFormat="1" applyFont="1" applyBorder="1"/>
    <xf numFmtId="164" fontId="31" fillId="0" borderId="0" xfId="0" applyNumberFormat="1" applyFont="1" applyBorder="1"/>
    <xf numFmtId="164" fontId="31" fillId="0" borderId="7" xfId="1" applyNumberFormat="1" applyFont="1" applyBorder="1"/>
    <xf numFmtId="164" fontId="31" fillId="0" borderId="8" xfId="0" applyNumberFormat="1" applyFont="1" applyBorder="1"/>
    <xf numFmtId="164" fontId="31" fillId="0" borderId="19" xfId="0" applyNumberFormat="1" applyFont="1" applyBorder="1"/>
    <xf numFmtId="164" fontId="31" fillId="0" borderId="9" xfId="0" applyNumberFormat="1" applyFont="1" applyBorder="1"/>
    <xf numFmtId="164" fontId="31" fillId="0" borderId="10" xfId="1" applyNumberFormat="1" applyFont="1" applyBorder="1"/>
    <xf numFmtId="167" fontId="28" fillId="0" borderId="9" xfId="0" applyNumberFormat="1" applyFont="1" applyBorder="1"/>
    <xf numFmtId="0" fontId="28" fillId="0" borderId="0" xfId="0" applyFont="1" applyAlignment="1">
      <alignment horizontal="center"/>
    </xf>
    <xf numFmtId="164" fontId="28" fillId="0" borderId="0" xfId="1" applyNumberFormat="1" applyFont="1"/>
    <xf numFmtId="167" fontId="28" fillId="0" borderId="0" xfId="2" applyNumberFormat="1" applyFont="1"/>
    <xf numFmtId="0" fontId="23" fillId="0" borderId="0" xfId="0" applyFont="1"/>
    <xf numFmtId="0" fontId="23" fillId="0" borderId="0" xfId="0" applyFont="1" applyAlignment="1">
      <alignment horizontal="center"/>
    </xf>
    <xf numFmtId="0" fontId="31" fillId="0" borderId="17" xfId="0" applyFont="1" applyFill="1" applyBorder="1" applyAlignment="1">
      <alignment horizontal="center"/>
    </xf>
    <xf numFmtId="167" fontId="28" fillId="0" borderId="18" xfId="2" applyNumberFormat="1" applyFont="1" applyBorder="1"/>
    <xf numFmtId="167" fontId="28" fillId="0" borderId="19" xfId="2" applyNumberFormat="1" applyFont="1" applyBorder="1"/>
    <xf numFmtId="0" fontId="28" fillId="0" borderId="6" xfId="0" applyFont="1" applyFill="1" applyBorder="1"/>
    <xf numFmtId="164" fontId="28" fillId="0" borderId="6" xfId="1" applyNumberFormat="1" applyFont="1" applyFill="1" applyBorder="1"/>
    <xf numFmtId="164" fontId="28" fillId="0" borderId="0" xfId="1" applyNumberFormat="1" applyFont="1" applyFill="1" applyBorder="1"/>
    <xf numFmtId="164" fontId="28" fillId="0" borderId="7" xfId="1" applyNumberFormat="1" applyFont="1" applyFill="1" applyBorder="1"/>
    <xf numFmtId="0" fontId="6"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164" fontId="0" fillId="0" borderId="0" xfId="1" applyNumberFormat="1" applyFont="1" applyFill="1" applyBorder="1"/>
    <xf numFmtId="0" fontId="28" fillId="0" borderId="15" xfId="0" applyFont="1" applyBorder="1"/>
    <xf numFmtId="0" fontId="28" fillId="0" borderId="7" xfId="0" applyFont="1" applyFill="1" applyBorder="1"/>
    <xf numFmtId="0" fontId="48" fillId="0" borderId="0" xfId="0" applyFont="1" applyAlignment="1">
      <alignment horizontal="center"/>
    </xf>
    <xf numFmtId="0" fontId="48" fillId="0" borderId="0" xfId="0" applyFont="1"/>
    <xf numFmtId="0" fontId="49" fillId="0" borderId="0" xfId="0" applyFont="1"/>
    <xf numFmtId="0" fontId="50" fillId="0" borderId="0" xfId="0" applyFont="1" applyAlignment="1">
      <alignment horizontal="left"/>
    </xf>
    <xf numFmtId="16" fontId="48" fillId="0" borderId="0" xfId="0" applyNumberFormat="1" applyFont="1" applyAlignment="1">
      <alignment horizontal="center"/>
    </xf>
    <xf numFmtId="164" fontId="48" fillId="0" borderId="0" xfId="1" applyNumberFormat="1" applyFont="1"/>
    <xf numFmtId="167" fontId="48" fillId="0" borderId="0" xfId="2" applyNumberFormat="1" applyFont="1"/>
    <xf numFmtId="0" fontId="48" fillId="0" borderId="0" xfId="0" applyFont="1" applyAlignment="1">
      <alignment horizontal="left"/>
    </xf>
    <xf numFmtId="164" fontId="48" fillId="2" borderId="0" xfId="1" applyNumberFormat="1" applyFont="1" applyFill="1"/>
    <xf numFmtId="164" fontId="48" fillId="0" borderId="0" xfId="0" applyNumberFormat="1" applyFont="1"/>
    <xf numFmtId="173" fontId="48" fillId="0" borderId="0" xfId="5" applyNumberFormat="1" applyFont="1"/>
    <xf numFmtId="167" fontId="48" fillId="0" borderId="0" xfId="0" applyNumberFormat="1" applyFont="1"/>
    <xf numFmtId="167" fontId="48" fillId="0" borderId="0" xfId="2" applyNumberFormat="1" applyFont="1" applyAlignment="1">
      <alignment horizontal="left"/>
    </xf>
    <xf numFmtId="164" fontId="48" fillId="0" borderId="0" xfId="0" applyNumberFormat="1" applyFont="1" applyAlignment="1">
      <alignment horizontal="left"/>
    </xf>
    <xf numFmtId="164" fontId="48" fillId="0" borderId="0" xfId="0" applyNumberFormat="1" applyFont="1" applyAlignment="1">
      <alignment horizontal="center"/>
    </xf>
    <xf numFmtId="173" fontId="48" fillId="0" borderId="0" xfId="0" applyNumberFormat="1" applyFont="1"/>
    <xf numFmtId="168" fontId="48" fillId="0" borderId="0" xfId="5" applyNumberFormat="1" applyFont="1"/>
    <xf numFmtId="167" fontId="48" fillId="0" borderId="0" xfId="0" applyNumberFormat="1" applyFont="1" applyAlignment="1">
      <alignment horizontal="center"/>
    </xf>
    <xf numFmtId="0" fontId="13" fillId="0" borderId="6" xfId="0" applyFont="1" applyBorder="1"/>
    <xf numFmtId="0" fontId="23" fillId="0" borderId="7" xfId="0" applyFont="1" applyBorder="1" applyAlignment="1">
      <alignment horizontal="center"/>
    </xf>
    <xf numFmtId="164" fontId="48" fillId="0" borderId="0" xfId="1" applyNumberFormat="1" applyFont="1" applyFill="1"/>
    <xf numFmtId="173" fontId="48" fillId="2" borderId="0" xfId="5" applyNumberFormat="1" applyFont="1" applyFill="1"/>
    <xf numFmtId="167" fontId="48" fillId="0" borderId="0" xfId="2" applyNumberFormat="1" applyFont="1" applyFill="1" applyAlignment="1">
      <alignment horizontal="left"/>
    </xf>
    <xf numFmtId="0" fontId="48" fillId="0" borderId="0" xfId="0" applyFont="1" applyFill="1"/>
    <xf numFmtId="173" fontId="48" fillId="0" borderId="0" xfId="5" applyNumberFormat="1" applyFont="1" applyFill="1"/>
    <xf numFmtId="164" fontId="48" fillId="0" borderId="0" xfId="0" applyNumberFormat="1" applyFont="1" applyFill="1"/>
    <xf numFmtId="0" fontId="48" fillId="0" borderId="0" xfId="0" applyFont="1" applyBorder="1" applyAlignment="1">
      <alignment horizontal="center"/>
    </xf>
    <xf numFmtId="0" fontId="48" fillId="0" borderId="0" xfId="0" applyFont="1" applyBorder="1"/>
    <xf numFmtId="0" fontId="48" fillId="0" borderId="0" xfId="0" applyNumberFormat="1" applyFont="1" applyAlignment="1">
      <alignment horizontal="left"/>
    </xf>
    <xf numFmtId="0" fontId="48" fillId="0" borderId="0" xfId="2" applyNumberFormat="1" applyFont="1" applyFill="1" applyAlignment="1">
      <alignment horizontal="left"/>
    </xf>
    <xf numFmtId="3" fontId="8" fillId="0" borderId="0" xfId="0" applyNumberFormat="1" applyFont="1" applyAlignment="1">
      <alignment horizontal="center"/>
    </xf>
    <xf numFmtId="0" fontId="28" fillId="0" borderId="0" xfId="0" applyFont="1" applyAlignment="1">
      <alignment horizontal="right"/>
    </xf>
    <xf numFmtId="0" fontId="8" fillId="7" borderId="14" xfId="0" applyFont="1" applyFill="1" applyBorder="1" applyAlignment="1"/>
    <xf numFmtId="0" fontId="8" fillId="7" borderId="14" xfId="0" applyFont="1" applyFill="1" applyBorder="1" applyAlignment="1">
      <alignment horizontal="center"/>
    </xf>
    <xf numFmtId="0" fontId="26" fillId="7" borderId="16" xfId="0" applyFont="1" applyFill="1" applyBorder="1" applyAlignment="1">
      <alignment horizontal="left"/>
    </xf>
    <xf numFmtId="3" fontId="6" fillId="0" borderId="0" xfId="0" applyNumberFormat="1" applyFont="1" applyFill="1" applyAlignment="1"/>
    <xf numFmtId="0" fontId="7" fillId="0" borderId="0" xfId="0" applyFont="1" applyFill="1"/>
    <xf numFmtId="0" fontId="29" fillId="0" borderId="0" xfId="0" applyFont="1" applyAlignment="1">
      <alignment horizontal="right"/>
    </xf>
    <xf numFmtId="0" fontId="5" fillId="0" borderId="0" xfId="0" applyFont="1" applyAlignment="1"/>
    <xf numFmtId="0" fontId="52" fillId="0" borderId="0" xfId="0" applyFont="1" applyAlignment="1"/>
    <xf numFmtId="3" fontId="28" fillId="0" borderId="0" xfId="0" applyNumberFormat="1" applyFont="1" applyBorder="1" applyAlignment="1">
      <alignment horizontal="center"/>
    </xf>
    <xf numFmtId="3" fontId="28" fillId="0" borderId="9" xfId="0" applyNumberFormat="1" applyFont="1" applyBorder="1" applyAlignment="1">
      <alignment horizontal="center"/>
    </xf>
    <xf numFmtId="164" fontId="28" fillId="0" borderId="8" xfId="1" applyNumberFormat="1" applyFont="1" applyBorder="1" applyAlignment="1">
      <alignment horizontal="center"/>
    </xf>
    <xf numFmtId="164" fontId="28" fillId="0" borderId="9" xfId="1" applyNumberFormat="1" applyFont="1" applyBorder="1" applyAlignment="1">
      <alignment horizontal="center"/>
    </xf>
    <xf numFmtId="10" fontId="28" fillId="0" borderId="8" xfId="5" applyNumberFormat="1" applyFont="1" applyBorder="1" applyAlignment="1">
      <alignment horizontal="center"/>
    </xf>
    <xf numFmtId="164" fontId="28" fillId="0" borderId="8" xfId="0" applyNumberFormat="1" applyFont="1" applyBorder="1" applyAlignment="1">
      <alignment horizontal="center"/>
    </xf>
    <xf numFmtId="164" fontId="31" fillId="0" borderId="8" xfId="1" applyNumberFormat="1" applyFont="1" applyBorder="1" applyAlignment="1">
      <alignment horizontal="center"/>
    </xf>
    <xf numFmtId="164" fontId="48" fillId="5" borderId="0" xfId="1" applyNumberFormat="1" applyFont="1" applyFill="1"/>
    <xf numFmtId="164" fontId="48" fillId="5" borderId="0" xfId="0" applyNumberFormat="1" applyFont="1" applyFill="1"/>
    <xf numFmtId="3" fontId="28" fillId="0" borderId="6" xfId="0" applyNumberFormat="1" applyFont="1" applyBorder="1" applyAlignment="1">
      <alignment horizontal="center"/>
    </xf>
    <xf numFmtId="0" fontId="10" fillId="0" borderId="3" xfId="0" applyFont="1" applyBorder="1" applyAlignment="1">
      <alignment horizontal="center"/>
    </xf>
    <xf numFmtId="164" fontId="28" fillId="0" borderId="8" xfId="1" applyNumberFormat="1" applyFont="1" applyFill="1" applyBorder="1" applyAlignment="1">
      <alignment horizontal="right"/>
    </xf>
    <xf numFmtId="3" fontId="28" fillId="0" borderId="6" xfId="0" applyNumberFormat="1" applyFont="1" applyBorder="1" applyAlignment="1">
      <alignment horizontal="right"/>
    </xf>
    <xf numFmtId="0" fontId="28" fillId="0" borderId="6" xfId="0" applyFont="1" applyBorder="1" applyAlignment="1">
      <alignment horizontal="right"/>
    </xf>
    <xf numFmtId="3" fontId="28" fillId="0" borderId="0" xfId="0" applyNumberFormat="1" applyFont="1" applyFill="1" applyBorder="1" applyAlignment="1">
      <alignment horizontal="center"/>
    </xf>
    <xf numFmtId="0" fontId="28" fillId="0" borderId="9" xfId="0" applyFont="1" applyFill="1" applyBorder="1"/>
    <xf numFmtId="0" fontId="28" fillId="0" borderId="13" xfId="0" applyFont="1" applyBorder="1"/>
    <xf numFmtId="0" fontId="45" fillId="0" borderId="5" xfId="0" applyFont="1" applyFill="1" applyBorder="1" applyAlignment="1">
      <alignment horizontal="left"/>
    </xf>
    <xf numFmtId="3" fontId="28" fillId="0" borderId="8" xfId="0" applyNumberFormat="1" applyFont="1" applyBorder="1" applyAlignment="1">
      <alignment horizontal="center"/>
    </xf>
    <xf numFmtId="3" fontId="30" fillId="0" borderId="0" xfId="0" applyNumberFormat="1" applyFont="1"/>
    <xf numFmtId="0" fontId="28" fillId="0" borderId="0" xfId="0" applyFont="1" applyFill="1" applyBorder="1" applyAlignment="1">
      <alignment horizontal="left"/>
    </xf>
    <xf numFmtId="3" fontId="10" fillId="0" borderId="3" xfId="0" applyNumberFormat="1" applyFont="1" applyFill="1" applyBorder="1" applyAlignment="1">
      <alignment horizontal="center"/>
    </xf>
    <xf numFmtId="164" fontId="28" fillId="0" borderId="0" xfId="1" applyNumberFormat="1" applyFont="1" applyFill="1" applyBorder="1" applyAlignment="1">
      <alignment horizontal="center" wrapText="1"/>
    </xf>
    <xf numFmtId="0" fontId="23" fillId="0" borderId="0" xfId="0" applyFont="1" applyFill="1" applyBorder="1" applyAlignment="1">
      <alignment vertical="top"/>
    </xf>
    <xf numFmtId="0" fontId="35" fillId="0" borderId="0" xfId="0" applyFont="1" applyBorder="1" applyAlignment="1">
      <alignment horizontal="center" vertical="top"/>
    </xf>
    <xf numFmtId="0" fontId="23" fillId="0" borderId="7" xfId="0" applyNumberFormat="1" applyFont="1" applyFill="1" applyBorder="1" applyAlignment="1">
      <alignment horizontal="left" vertical="top"/>
    </xf>
    <xf numFmtId="3" fontId="28" fillId="0" borderId="6" xfId="0" applyNumberFormat="1" applyFont="1" applyBorder="1" applyAlignment="1">
      <alignment horizontal="center" vertical="top"/>
    </xf>
    <xf numFmtId="3" fontId="28" fillId="0" borderId="0" xfId="0" applyNumberFormat="1" applyFont="1" applyBorder="1" applyAlignment="1">
      <alignment horizontal="center" vertical="top"/>
    </xf>
    <xf numFmtId="0" fontId="23" fillId="0" borderId="0" xfId="0" applyNumberFormat="1" applyFont="1" applyFill="1" applyBorder="1" applyAlignment="1">
      <alignment vertical="top"/>
    </xf>
    <xf numFmtId="3" fontId="35" fillId="0" borderId="0" xfId="0" applyNumberFormat="1" applyFont="1" applyBorder="1" applyAlignment="1">
      <alignment horizontal="center" vertical="top"/>
    </xf>
    <xf numFmtId="0" fontId="6" fillId="0" borderId="0" xfId="0" applyFont="1" applyAlignment="1"/>
    <xf numFmtId="0" fontId="50" fillId="0" borderId="0" xfId="0" applyFont="1" applyFill="1" applyAlignment="1">
      <alignment horizontal="left"/>
    </xf>
    <xf numFmtId="0" fontId="48" fillId="0" borderId="0" xfId="0" applyFont="1" applyFill="1" applyAlignment="1">
      <alignment horizontal="center"/>
    </xf>
    <xf numFmtId="3" fontId="23" fillId="0" borderId="7" xfId="0" applyNumberFormat="1" applyFont="1" applyFill="1" applyBorder="1" applyAlignment="1">
      <alignment horizontal="center" vertical="top"/>
    </xf>
    <xf numFmtId="3" fontId="6" fillId="0" borderId="0" xfId="0" applyNumberFormat="1" applyFont="1" applyFill="1" applyBorder="1" applyAlignment="1">
      <alignment horizontal="right"/>
    </xf>
    <xf numFmtId="0" fontId="7" fillId="0" borderId="0" xfId="0" applyFont="1" applyFill="1" applyBorder="1"/>
    <xf numFmtId="0" fontId="31" fillId="2" borderId="0" xfId="0" applyFont="1" applyFill="1" applyBorder="1" applyAlignment="1">
      <alignment horizontal="center"/>
    </xf>
    <xf numFmtId="164" fontId="28" fillId="0" borderId="6" xfId="0" applyNumberFormat="1" applyFont="1" applyBorder="1" applyAlignment="1">
      <alignment horizontal="center"/>
    </xf>
    <xf numFmtId="164" fontId="28" fillId="0" borderId="0" xfId="0" applyNumberFormat="1" applyFont="1" applyBorder="1" applyAlignment="1">
      <alignment horizontal="center"/>
    </xf>
    <xf numFmtId="0" fontId="23" fillId="0" borderId="9" xfId="0" applyNumberFormat="1" applyFont="1" applyBorder="1" applyAlignment="1">
      <alignment horizontal="left"/>
    </xf>
    <xf numFmtId="0" fontId="35" fillId="0" borderId="9" xfId="0" applyNumberFormat="1" applyFont="1" applyBorder="1" applyAlignment="1">
      <alignment horizontal="center"/>
    </xf>
    <xf numFmtId="0" fontId="23" fillId="0" borderId="10" xfId="0" applyNumberFormat="1" applyFont="1" applyBorder="1" applyAlignment="1">
      <alignment horizontal="left"/>
    </xf>
    <xf numFmtId="168" fontId="28" fillId="0" borderId="9" xfId="5" applyNumberFormat="1" applyFont="1" applyBorder="1" applyAlignment="1">
      <alignment horizontal="center"/>
    </xf>
    <xf numFmtId="164" fontId="28" fillId="0" borderId="9" xfId="0" applyNumberFormat="1" applyFont="1" applyBorder="1" applyAlignment="1">
      <alignment horizontal="center"/>
    </xf>
    <xf numFmtId="168" fontId="23" fillId="0" borderId="0" xfId="5" applyNumberFormat="1" applyFont="1"/>
    <xf numFmtId="164" fontId="23" fillId="0" borderId="7" xfId="1" applyNumberFormat="1" applyFont="1" applyFill="1" applyBorder="1" applyAlignment="1">
      <alignment horizontal="left"/>
    </xf>
    <xf numFmtId="168" fontId="23" fillId="0" borderId="0" xfId="5" applyNumberFormat="1" applyFont="1" applyBorder="1"/>
    <xf numFmtId="164" fontId="34" fillId="0" borderId="0" xfId="1" applyNumberFormat="1" applyFont="1" applyBorder="1"/>
    <xf numFmtId="0" fontId="28" fillId="0" borderId="6" xfId="0" applyNumberFormat="1" applyFont="1" applyFill="1" applyBorder="1" applyAlignment="1">
      <alignment horizontal="center"/>
    </xf>
    <xf numFmtId="0" fontId="28" fillId="0" borderId="0" xfId="0" applyNumberFormat="1" applyFont="1" applyFill="1" applyBorder="1" applyAlignment="1">
      <alignment horizontal="center"/>
    </xf>
    <xf numFmtId="0" fontId="28" fillId="0" borderId="0" xfId="0" applyNumberFormat="1" applyFont="1" applyFill="1" applyBorder="1" applyAlignment="1">
      <alignment horizontal="left"/>
    </xf>
    <xf numFmtId="0" fontId="32" fillId="0" borderId="0" xfId="0" applyNumberFormat="1" applyFont="1" applyFill="1" applyBorder="1" applyAlignment="1">
      <alignment horizontal="center"/>
    </xf>
    <xf numFmtId="0" fontId="28" fillId="0" borderId="7" xfId="0" applyNumberFormat="1" applyFont="1" applyFill="1" applyBorder="1" applyAlignment="1">
      <alignment horizontal="center"/>
    </xf>
    <xf numFmtId="164" fontId="6" fillId="2" borderId="0" xfId="1" applyNumberFormat="1" applyFont="1" applyFill="1" applyAlignment="1"/>
    <xf numFmtId="164" fontId="31" fillId="0" borderId="0" xfId="1" applyNumberFormat="1" applyFont="1" applyBorder="1" applyAlignment="1">
      <alignment horizontal="center"/>
    </xf>
    <xf numFmtId="0" fontId="5" fillId="0" borderId="0" xfId="0" applyFont="1"/>
    <xf numFmtId="164" fontId="28" fillId="0" borderId="0" xfId="1" applyNumberFormat="1" applyFont="1" applyFill="1" applyBorder="1" applyAlignment="1">
      <alignment wrapText="1"/>
    </xf>
    <xf numFmtId="164" fontId="28" fillId="0" borderId="0" xfId="1" applyNumberFormat="1" applyFont="1" applyBorder="1" applyAlignment="1">
      <alignment horizontal="center"/>
    </xf>
    <xf numFmtId="164" fontId="48" fillId="2" borderId="0" xfId="0" applyNumberFormat="1" applyFont="1" applyFill="1"/>
    <xf numFmtId="167" fontId="48" fillId="5" borderId="0" xfId="2" applyNumberFormat="1" applyFont="1" applyFill="1" applyAlignment="1">
      <alignment horizontal="left"/>
    </xf>
    <xf numFmtId="0" fontId="48" fillId="0" borderId="0" xfId="0" applyFont="1" applyFill="1" applyAlignment="1">
      <alignment horizontal="left"/>
    </xf>
    <xf numFmtId="167" fontId="48" fillId="9" borderId="0" xfId="0" applyNumberFormat="1" applyFont="1" applyFill="1"/>
    <xf numFmtId="164" fontId="48" fillId="9" borderId="0" xfId="0" applyNumberFormat="1" applyFont="1" applyFill="1" applyAlignment="1">
      <alignment horizontal="left"/>
    </xf>
    <xf numFmtId="0" fontId="43" fillId="0" borderId="0" xfId="0" applyFont="1" applyFill="1" applyAlignment="1">
      <alignment horizontal="left"/>
    </xf>
    <xf numFmtId="167" fontId="48" fillId="9" borderId="0" xfId="2" applyNumberFormat="1" applyFont="1" applyFill="1"/>
    <xf numFmtId="0" fontId="53" fillId="0" borderId="0" xfId="0" applyFont="1"/>
    <xf numFmtId="41" fontId="5" fillId="0" borderId="0" xfId="0" applyNumberFormat="1" applyFont="1" applyAlignment="1">
      <alignment horizontal="center"/>
    </xf>
    <xf numFmtId="41" fontId="5" fillId="0" borderId="0" xfId="0" applyNumberFormat="1" applyFont="1" applyFill="1" applyAlignment="1">
      <alignment horizontal="center"/>
    </xf>
    <xf numFmtId="9" fontId="28" fillId="0" borderId="0" xfId="5" applyFont="1" applyBorder="1" applyAlignment="1">
      <alignment horizontal="center"/>
    </xf>
    <xf numFmtId="10" fontId="28" fillId="0" borderId="0" xfId="5" applyNumberFormat="1" applyFont="1" applyBorder="1" applyAlignment="1">
      <alignment horizontal="center"/>
    </xf>
    <xf numFmtId="164" fontId="28" fillId="0" borderId="8" xfId="0" applyNumberFormat="1" applyFont="1" applyFill="1" applyBorder="1" applyAlignment="1">
      <alignment horizontal="center"/>
    </xf>
    <xf numFmtId="164" fontId="28" fillId="6" borderId="6" xfId="0" applyNumberFormat="1" applyFont="1" applyFill="1" applyBorder="1" applyAlignment="1">
      <alignment horizontal="center"/>
    </xf>
    <xf numFmtId="164" fontId="28" fillId="6" borderId="8" xfId="0" applyNumberFormat="1" applyFont="1" applyFill="1" applyBorder="1" applyAlignment="1">
      <alignment horizontal="center"/>
    </xf>
    <xf numFmtId="164" fontId="23" fillId="0" borderId="0" xfId="1" applyNumberFormat="1" applyFont="1" applyBorder="1"/>
    <xf numFmtId="164" fontId="23" fillId="0" borderId="9" xfId="1" applyNumberFormat="1" applyFont="1" applyBorder="1"/>
    <xf numFmtId="164" fontId="34" fillId="0" borderId="9" xfId="1" applyNumberFormat="1" applyFont="1" applyBorder="1"/>
    <xf numFmtId="164" fontId="34" fillId="0" borderId="10" xfId="1" applyNumberFormat="1" applyFont="1" applyBorder="1"/>
    <xf numFmtId="0" fontId="28" fillId="0" borderId="9" xfId="0" applyFont="1" applyFill="1" applyBorder="1" applyAlignment="1">
      <alignment horizontal="left"/>
    </xf>
    <xf numFmtId="0" fontId="51" fillId="0" borderId="0" xfId="0" applyFont="1" applyFill="1" applyBorder="1"/>
    <xf numFmtId="0" fontId="45" fillId="0" borderId="0" xfId="0" applyNumberFormat="1" applyFont="1" applyFill="1" applyBorder="1" applyAlignment="1">
      <alignment horizontal="left"/>
    </xf>
    <xf numFmtId="0" fontId="28" fillId="0" borderId="14" xfId="0" applyFont="1" applyBorder="1"/>
    <xf numFmtId="0" fontId="27" fillId="0" borderId="14" xfId="0" applyFont="1" applyBorder="1"/>
    <xf numFmtId="167" fontId="28" fillId="0" borderId="6" xfId="2" applyNumberFormat="1" applyFont="1" applyBorder="1"/>
    <xf numFmtId="167" fontId="28" fillId="0" borderId="9" xfId="2" applyNumberFormat="1" applyFont="1" applyBorder="1"/>
    <xf numFmtId="164" fontId="28" fillId="0" borderId="0" xfId="1" applyNumberFormat="1" applyFont="1" applyAlignment="1">
      <alignment horizontal="center"/>
    </xf>
    <xf numFmtId="0" fontId="23" fillId="0" borderId="0" xfId="0" applyFont="1" applyFill="1" applyAlignment="1">
      <alignment vertical="center" wrapText="1"/>
    </xf>
    <xf numFmtId="0" fontId="40" fillId="0" borderId="0" xfId="0" applyFont="1" applyFill="1" applyBorder="1" applyAlignment="1">
      <alignment horizontal="center"/>
    </xf>
    <xf numFmtId="0" fontId="48" fillId="10" borderId="0" xfId="0" applyFont="1" applyFill="1" applyAlignment="1">
      <alignment horizontal="center"/>
    </xf>
    <xf numFmtId="0" fontId="48" fillId="0" borderId="0" xfId="0" applyFont="1" applyAlignment="1"/>
    <xf numFmtId="0" fontId="26" fillId="7" borderId="8" xfId="0" applyFont="1" applyFill="1" applyBorder="1" applyAlignment="1">
      <alignment horizontal="left"/>
    </xf>
    <xf numFmtId="0" fontId="48" fillId="0" borderId="0" xfId="0" applyFont="1" applyFill="1" applyAlignment="1">
      <alignment wrapText="1"/>
    </xf>
    <xf numFmtId="0" fontId="48" fillId="0" borderId="0" xfId="0" applyFont="1" applyAlignment="1">
      <alignment horizontal="center" vertical="top"/>
    </xf>
    <xf numFmtId="0" fontId="48" fillId="10" borderId="0" xfId="0" applyFont="1" applyFill="1" applyAlignment="1">
      <alignment horizontal="center" vertical="top"/>
    </xf>
    <xf numFmtId="3" fontId="10" fillId="0" borderId="0" xfId="0" applyNumberFormat="1" applyFont="1" applyFill="1" applyAlignment="1"/>
    <xf numFmtId="0" fontId="25" fillId="0" borderId="0" xfId="0" applyNumberFormat="1" applyFont="1" applyFill="1" applyBorder="1" applyAlignment="1">
      <alignment horizontal="left"/>
    </xf>
    <xf numFmtId="1" fontId="23" fillId="0" borderId="0" xfId="0" applyNumberFormat="1" applyFont="1" applyFill="1" applyBorder="1" applyAlignment="1">
      <alignment horizontal="center"/>
    </xf>
    <xf numFmtId="0" fontId="23" fillId="0" borderId="0" xfId="0" applyFont="1" applyFill="1" applyBorder="1" applyAlignment="1">
      <alignment horizontal="center" vertical="top"/>
    </xf>
    <xf numFmtId="0" fontId="23" fillId="0" borderId="9" xfId="0" applyFont="1" applyFill="1" applyBorder="1" applyAlignment="1">
      <alignment horizontal="center"/>
    </xf>
    <xf numFmtId="0" fontId="23" fillId="0" borderId="9" xfId="0" applyFont="1" applyBorder="1" applyAlignment="1">
      <alignment horizontal="center"/>
    </xf>
    <xf numFmtId="164" fontId="48" fillId="0" borderId="3" xfId="1" applyNumberFormat="1" applyFont="1" applyFill="1" applyBorder="1"/>
    <xf numFmtId="0" fontId="28" fillId="0" borderId="0" xfId="0" applyFont="1" applyFill="1" applyBorder="1"/>
    <xf numFmtId="0" fontId="4" fillId="0" borderId="0" xfId="0" applyFont="1"/>
    <xf numFmtId="164" fontId="54" fillId="0" borderId="0" xfId="0" applyNumberFormat="1" applyFont="1" applyFill="1" applyBorder="1"/>
    <xf numFmtId="164" fontId="54" fillId="0" borderId="0" xfId="1" applyNumberFormat="1" applyFont="1" applyFill="1" applyBorder="1"/>
    <xf numFmtId="164" fontId="4" fillId="0" borderId="0" xfId="0" applyNumberFormat="1" applyFont="1" applyFill="1" applyBorder="1"/>
    <xf numFmtId="0" fontId="4" fillId="0" borderId="0" xfId="0" applyFont="1" applyFill="1" applyBorder="1"/>
    <xf numFmtId="3" fontId="8" fillId="0" borderId="0" xfId="0" applyNumberFormat="1" applyFont="1" applyBorder="1" applyAlignment="1"/>
    <xf numFmtId="3" fontId="8" fillId="0" borderId="2" xfId="0" applyNumberFormat="1" applyFont="1" applyFill="1" applyBorder="1" applyAlignment="1"/>
    <xf numFmtId="3" fontId="8" fillId="0" borderId="0" xfId="0" applyNumberFormat="1" applyFont="1" applyFill="1" applyBorder="1" applyAlignment="1"/>
    <xf numFmtId="3" fontId="8" fillId="0" borderId="3" xfId="0" applyNumberFormat="1" applyFont="1" applyFill="1" applyBorder="1" applyAlignment="1"/>
    <xf numFmtId="3" fontId="6" fillId="0" borderId="2" xfId="0" applyNumberFormat="1" applyFont="1" applyFill="1" applyBorder="1" applyAlignment="1"/>
    <xf numFmtId="3" fontId="8" fillId="0" borderId="0" xfId="0" applyNumberFormat="1" applyFont="1" applyFill="1" applyAlignment="1"/>
    <xf numFmtId="0" fontId="16" fillId="0" borderId="5" xfId="0" applyNumberFormat="1" applyFont="1" applyFill="1" applyBorder="1" applyAlignment="1">
      <alignment horizontal="center"/>
    </xf>
    <xf numFmtId="3" fontId="8" fillId="0" borderId="0" xfId="0" applyNumberFormat="1" applyFont="1" applyFill="1" applyAlignment="1">
      <alignment horizontal="right"/>
    </xf>
    <xf numFmtId="3" fontId="16" fillId="0" borderId="4" xfId="0" applyNumberFormat="1" applyFont="1" applyFill="1" applyBorder="1" applyAlignment="1"/>
    <xf numFmtId="0" fontId="4" fillId="0" borderId="0" xfId="0" applyFont="1" applyFill="1"/>
    <xf numFmtId="0" fontId="4" fillId="0" borderId="0" xfId="0" applyFont="1" applyFill="1" applyAlignment="1">
      <alignment wrapText="1"/>
    </xf>
    <xf numFmtId="3" fontId="8" fillId="0" borderId="3" xfId="0" applyNumberFormat="1" applyFont="1" applyFill="1" applyBorder="1" applyAlignment="1">
      <alignment horizontal="left"/>
    </xf>
    <xf numFmtId="0" fontId="8" fillId="0" borderId="0" xfId="0" applyNumberFormat="1" applyFont="1" applyFill="1" applyBorder="1" applyAlignment="1"/>
    <xf numFmtId="3" fontId="8" fillId="0" borderId="0" xfId="0" applyNumberFormat="1" applyFont="1" applyFill="1" applyBorder="1" applyAlignment="1">
      <alignment horizontal="left"/>
    </xf>
    <xf numFmtId="3" fontId="8" fillId="0" borderId="0" xfId="0" applyNumberFormat="1" applyFont="1" applyFill="1" applyAlignment="1">
      <alignment horizontal="left"/>
    </xf>
    <xf numFmtId="0" fontId="8" fillId="0" borderId="1" xfId="0" applyFont="1" applyFill="1" applyBorder="1" applyAlignment="1">
      <alignment horizontal="left"/>
    </xf>
    <xf numFmtId="0" fontId="6" fillId="0" borderId="0" xfId="0" applyFont="1" applyFill="1" applyBorder="1" applyAlignment="1">
      <alignment horizontal="left"/>
    </xf>
    <xf numFmtId="3" fontId="6" fillId="0" borderId="2" xfId="0" applyNumberFormat="1" applyFont="1" applyFill="1" applyBorder="1" applyAlignment="1">
      <alignment horizontal="left"/>
    </xf>
    <xf numFmtId="0" fontId="23" fillId="0" borderId="6" xfId="0" applyFont="1" applyFill="1" applyBorder="1" applyAlignment="1">
      <alignment horizontal="center" vertical="top"/>
    </xf>
    <xf numFmtId="0" fontId="23" fillId="0" borderId="6" xfId="0" applyNumberFormat="1" applyFont="1" applyFill="1" applyBorder="1" applyAlignment="1">
      <alignment horizontal="center" vertical="top"/>
    </xf>
    <xf numFmtId="0" fontId="34" fillId="0" borderId="6" xfId="0" applyFont="1" applyFill="1" applyBorder="1"/>
    <xf numFmtId="0" fontId="4" fillId="0" borderId="0" xfId="0" applyFont="1" applyFill="1" applyAlignment="1">
      <alignment horizontal="center"/>
    </xf>
    <xf numFmtId="164" fontId="4" fillId="0" borderId="0" xfId="1" applyNumberFormat="1" applyFont="1" applyFill="1"/>
    <xf numFmtId="164" fontId="4" fillId="0" borderId="6" xfId="0" applyNumberFormat="1" applyFont="1" applyFill="1" applyBorder="1"/>
    <xf numFmtId="164" fontId="4" fillId="0" borderId="7" xfId="1" applyNumberFormat="1" applyFont="1" applyFill="1" applyBorder="1"/>
    <xf numFmtId="0" fontId="55" fillId="0" borderId="0" xfId="0" applyFont="1" applyFill="1" applyBorder="1"/>
    <xf numFmtId="3" fontId="56" fillId="0" borderId="0" xfId="0" applyNumberFormat="1" applyFont="1" applyFill="1" applyBorder="1" applyAlignment="1">
      <alignment horizontal="right"/>
    </xf>
    <xf numFmtId="0" fontId="6" fillId="0" borderId="2" xfId="0" applyFont="1" applyFill="1" applyBorder="1"/>
    <xf numFmtId="0" fontId="6" fillId="0" borderId="2" xfId="0" applyFont="1" applyFill="1" applyBorder="1" applyAlignment="1">
      <alignment horizontal="center"/>
    </xf>
    <xf numFmtId="3" fontId="6" fillId="0" borderId="2" xfId="0" applyNumberFormat="1" applyFont="1" applyFill="1" applyBorder="1"/>
    <xf numFmtId="0" fontId="6" fillId="0" borderId="2" xfId="0" applyFont="1" applyFill="1" applyBorder="1" applyAlignment="1"/>
    <xf numFmtId="0" fontId="6" fillId="0" borderId="2" xfId="0" applyNumberFormat="1" applyFont="1" applyFill="1" applyBorder="1" applyAlignment="1">
      <alignment horizontal="center"/>
    </xf>
    <xf numFmtId="0" fontId="6" fillId="0" borderId="2" xfId="0" applyFont="1" applyFill="1" applyBorder="1" applyAlignment="1">
      <alignment horizontal="right"/>
    </xf>
    <xf numFmtId="3" fontId="6" fillId="0" borderId="2" xfId="0" applyNumberFormat="1" applyFont="1" applyFill="1" applyBorder="1" applyAlignment="1">
      <alignment horizontal="right"/>
    </xf>
    <xf numFmtId="0" fontId="57" fillId="0" borderId="0" xfId="0" applyFont="1" applyFill="1" applyBorder="1"/>
    <xf numFmtId="0" fontId="4" fillId="0" borderId="6" xfId="0" applyFont="1" applyFill="1" applyBorder="1"/>
    <xf numFmtId="0" fontId="8" fillId="0" borderId="0" xfId="0" applyFont="1" applyFill="1" applyBorder="1" applyAlignment="1">
      <alignment wrapText="1"/>
    </xf>
    <xf numFmtId="0" fontId="5" fillId="0" borderId="14" xfId="0" applyFont="1" applyFill="1" applyBorder="1" applyAlignment="1">
      <alignment horizontal="center"/>
    </xf>
    <xf numFmtId="164" fontId="4" fillId="0" borderId="7" xfId="1" applyNumberFormat="1" applyFont="1" applyFill="1" applyBorder="1" applyAlignment="1">
      <alignment horizontal="center"/>
    </xf>
    <xf numFmtId="164" fontId="4" fillId="0" borderId="6" xfId="1" applyNumberFormat="1" applyFont="1" applyFill="1" applyBorder="1"/>
    <xf numFmtId="164" fontId="4" fillId="0" borderId="0" xfId="1" applyNumberFormat="1" applyFont="1" applyFill="1" applyBorder="1"/>
    <xf numFmtId="164" fontId="4" fillId="0" borderId="8" xfId="1" applyNumberFormat="1" applyFont="1" applyFill="1" applyBorder="1"/>
    <xf numFmtId="164" fontId="4" fillId="0" borderId="9" xfId="1" applyNumberFormat="1" applyFont="1" applyFill="1" applyBorder="1"/>
    <xf numFmtId="164" fontId="4" fillId="0" borderId="10" xfId="1" applyNumberFormat="1" applyFont="1" applyFill="1" applyBorder="1"/>
    <xf numFmtId="0" fontId="5" fillId="0" borderId="15" xfId="0" applyFont="1" applyFill="1" applyBorder="1" applyAlignment="1">
      <alignment horizontal="center"/>
    </xf>
    <xf numFmtId="0" fontId="5" fillId="0" borderId="6" xfId="0" applyFont="1" applyFill="1" applyBorder="1" applyAlignment="1">
      <alignment horizontal="center"/>
    </xf>
    <xf numFmtId="0" fontId="5" fillId="0" borderId="0" xfId="0" applyFont="1" applyFill="1" applyBorder="1" applyAlignment="1">
      <alignment horizontal="center"/>
    </xf>
    <xf numFmtId="0" fontId="5" fillId="0" borderId="7" xfId="0" applyFont="1" applyFill="1" applyBorder="1" applyAlignment="1">
      <alignment horizontal="center"/>
    </xf>
    <xf numFmtId="164" fontId="4" fillId="0" borderId="8" xfId="0" applyNumberFormat="1" applyFont="1" applyFill="1" applyBorder="1"/>
    <xf numFmtId="164" fontId="4" fillId="0" borderId="9" xfId="0" applyNumberFormat="1" applyFont="1" applyFill="1" applyBorder="1"/>
    <xf numFmtId="0" fontId="57" fillId="0" borderId="25" xfId="0" applyFont="1" applyFill="1" applyBorder="1"/>
    <xf numFmtId="0" fontId="57" fillId="0" borderId="22" xfId="0" applyFont="1" applyFill="1" applyBorder="1" applyAlignment="1">
      <alignment horizontal="center"/>
    </xf>
    <xf numFmtId="0" fontId="4" fillId="0" borderId="25" xfId="0" applyFont="1" applyFill="1" applyBorder="1"/>
    <xf numFmtId="3" fontId="4" fillId="0" borderId="22" xfId="0" applyNumberFormat="1" applyFont="1" applyFill="1" applyBorder="1" applyAlignment="1">
      <alignment horizontal="center"/>
    </xf>
    <xf numFmtId="0" fontId="4" fillId="0" borderId="22" xfId="0" applyFont="1" applyFill="1" applyBorder="1" applyAlignment="1">
      <alignment horizontal="center"/>
    </xf>
    <xf numFmtId="0" fontId="4" fillId="0" borderId="22" xfId="0" applyFont="1" applyFill="1" applyBorder="1"/>
    <xf numFmtId="0" fontId="59" fillId="11" borderId="23" xfId="0" applyFont="1" applyFill="1" applyBorder="1" applyAlignment="1">
      <alignment horizontal="left"/>
    </xf>
    <xf numFmtId="0" fontId="4" fillId="11" borderId="1" xfId="0" applyFont="1" applyFill="1" applyBorder="1"/>
    <xf numFmtId="0" fontId="4" fillId="11" borderId="24" xfId="0" applyFont="1" applyFill="1" applyBorder="1"/>
    <xf numFmtId="0" fontId="30" fillId="0" borderId="0" xfId="0" applyFont="1" applyFill="1" applyBorder="1" applyAlignment="1">
      <alignment wrapText="1"/>
    </xf>
    <xf numFmtId="3" fontId="8" fillId="0" borderId="0" xfId="0" applyNumberFormat="1" applyFont="1" applyAlignment="1"/>
    <xf numFmtId="0" fontId="4" fillId="0" borderId="21" xfId="0" applyFont="1" applyFill="1" applyBorder="1"/>
    <xf numFmtId="0" fontId="4" fillId="0" borderId="21" xfId="0" applyFont="1" applyFill="1" applyBorder="1" applyAlignment="1">
      <alignment horizontal="left"/>
    </xf>
    <xf numFmtId="0" fontId="4" fillId="2" borderId="21" xfId="0" applyFont="1" applyFill="1" applyBorder="1"/>
    <xf numFmtId="164" fontId="5" fillId="0" borderId="0" xfId="1" applyNumberFormat="1" applyFont="1" applyAlignment="1">
      <alignment horizontal="center"/>
    </xf>
    <xf numFmtId="3" fontId="4" fillId="0" borderId="6" xfId="0" applyNumberFormat="1" applyFont="1" applyBorder="1" applyAlignment="1">
      <alignment horizontal="center"/>
    </xf>
    <xf numFmtId="3" fontId="4"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0" fontId="23" fillId="0" borderId="7" xfId="0" applyNumberFormat="1" applyFont="1" applyFill="1" applyBorder="1" applyAlignment="1">
      <alignment horizontal="left" vertical="top" wrapText="1"/>
    </xf>
    <xf numFmtId="3" fontId="4" fillId="0" borderId="8" xfId="0" applyNumberFormat="1" applyFont="1" applyBorder="1" applyAlignment="1">
      <alignment horizontal="right"/>
    </xf>
    <xf numFmtId="3" fontId="4" fillId="0" borderId="9" xfId="0" applyNumberFormat="1" applyFont="1" applyBorder="1" applyAlignment="1">
      <alignment horizontal="center"/>
    </xf>
    <xf numFmtId="164" fontId="4" fillId="0" borderId="6" xfId="1" applyNumberFormat="1" applyFont="1" applyBorder="1"/>
    <xf numFmtId="0" fontId="4" fillId="0" borderId="16" xfId="0" applyFont="1" applyBorder="1"/>
    <xf numFmtId="0" fontId="5" fillId="0" borderId="14" xfId="0" applyFont="1" applyBorder="1" applyAlignment="1">
      <alignment horizontal="center"/>
    </xf>
    <xf numFmtId="0" fontId="5" fillId="0" borderId="15" xfId="0" applyFont="1" applyBorder="1" applyAlignment="1">
      <alignment horizontal="center"/>
    </xf>
    <xf numFmtId="0" fontId="4" fillId="0" borderId="15" xfId="0" applyFont="1" applyBorder="1"/>
    <xf numFmtId="0" fontId="4" fillId="0" borderId="0" xfId="0" applyFont="1" applyBorder="1" applyAlignment="1">
      <alignment horizontal="center"/>
    </xf>
    <xf numFmtId="0" fontId="4" fillId="2" borderId="6" xfId="0" applyFont="1" applyFill="1" applyBorder="1" applyAlignment="1">
      <alignment horizontal="center"/>
    </xf>
    <xf numFmtId="0" fontId="4" fillId="0" borderId="7" xfId="0" applyFont="1" applyBorder="1" applyAlignment="1">
      <alignment horizontal="center"/>
    </xf>
    <xf numFmtId="0" fontId="5" fillId="0" borderId="6" xfId="0" applyFont="1" applyBorder="1" applyAlignment="1">
      <alignment horizontal="center"/>
    </xf>
    <xf numFmtId="0" fontId="5" fillId="0" borderId="0" xfId="0" applyFont="1" applyBorder="1" applyAlignment="1">
      <alignment horizontal="center"/>
    </xf>
    <xf numFmtId="0" fontId="5" fillId="0" borderId="7" xfId="0" applyFont="1" applyBorder="1" applyAlignment="1">
      <alignment horizontal="center"/>
    </xf>
    <xf numFmtId="0" fontId="4" fillId="0" borderId="7" xfId="0" applyFont="1" applyBorder="1"/>
    <xf numFmtId="0" fontId="4" fillId="0" borderId="6" xfId="0" applyFont="1" applyBorder="1"/>
    <xf numFmtId="164" fontId="4" fillId="0" borderId="7" xfId="1" applyNumberFormat="1" applyFont="1" applyBorder="1" applyAlignment="1">
      <alignment horizontal="center"/>
    </xf>
    <xf numFmtId="0" fontId="4" fillId="0" borderId="6" xfId="0" applyFont="1" applyBorder="1" applyAlignment="1">
      <alignment horizontal="center"/>
    </xf>
    <xf numFmtId="0" fontId="4" fillId="0" borderId="0" xfId="0" applyFont="1" applyBorder="1"/>
    <xf numFmtId="164" fontId="4" fillId="0" borderId="7" xfId="1" applyNumberFormat="1" applyFont="1" applyBorder="1"/>
    <xf numFmtId="0" fontId="4" fillId="0" borderId="6" xfId="0" applyFont="1" applyFill="1" applyBorder="1" applyAlignment="1">
      <alignment horizontal="right"/>
    </xf>
    <xf numFmtId="176" fontId="4" fillId="0" borderId="6" xfId="0" applyNumberFormat="1" applyFont="1" applyBorder="1"/>
    <xf numFmtId="166" fontId="4" fillId="0" borderId="0" xfId="0" applyNumberFormat="1" applyFont="1" applyBorder="1"/>
    <xf numFmtId="164" fontId="4" fillId="2" borderId="6" xfId="1" applyNumberFormat="1" applyFont="1" applyFill="1" applyBorder="1"/>
    <xf numFmtId="164" fontId="4" fillId="0" borderId="0" xfId="1" applyNumberFormat="1" applyFont="1" applyBorder="1"/>
    <xf numFmtId="43" fontId="4" fillId="0" borderId="0" xfId="1" applyFont="1"/>
    <xf numFmtId="0" fontId="4" fillId="0" borderId="7" xfId="0" applyFont="1" applyFill="1" applyBorder="1"/>
    <xf numFmtId="0" fontId="4" fillId="0" borderId="8" xfId="0" applyFont="1" applyBorder="1"/>
    <xf numFmtId="0" fontId="4" fillId="0" borderId="9" xfId="0" applyFont="1" applyBorder="1" applyAlignment="1">
      <alignment horizontal="center"/>
    </xf>
    <xf numFmtId="164" fontId="4" fillId="0" borderId="8" xfId="1" applyNumberFormat="1" applyFont="1" applyBorder="1"/>
    <xf numFmtId="164" fontId="4" fillId="0" borderId="9" xfId="1" applyNumberFormat="1" applyFont="1" applyBorder="1"/>
    <xf numFmtId="164" fontId="4" fillId="0" borderId="10" xfId="1" applyNumberFormat="1" applyFont="1" applyBorder="1"/>
    <xf numFmtId="0" fontId="4" fillId="0" borderId="10" xfId="0" applyFont="1" applyBorder="1"/>
    <xf numFmtId="0" fontId="5" fillId="0" borderId="17" xfId="0" applyFont="1" applyBorder="1" applyAlignment="1">
      <alignment horizontal="center"/>
    </xf>
    <xf numFmtId="164" fontId="5" fillId="0" borderId="15" xfId="1" applyNumberFormat="1" applyFont="1" applyBorder="1" applyAlignment="1">
      <alignment horizontal="center"/>
    </xf>
    <xf numFmtId="0" fontId="5" fillId="0" borderId="17" xfId="0" applyFont="1" applyFill="1" applyBorder="1" applyAlignment="1">
      <alignment horizontal="center"/>
    </xf>
    <xf numFmtId="0" fontId="4" fillId="0" borderId="18" xfId="0" applyFont="1" applyBorder="1" applyAlignment="1">
      <alignment horizontal="center"/>
    </xf>
    <xf numFmtId="164" fontId="4" fillId="0" borderId="0" xfId="0" applyNumberFormat="1" applyFont="1" applyBorder="1"/>
    <xf numFmtId="164" fontId="4" fillId="0" borderId="6" xfId="0" applyNumberFormat="1" applyFont="1" applyBorder="1"/>
    <xf numFmtId="167" fontId="4" fillId="0" borderId="18" xfId="2" applyNumberFormat="1" applyFont="1" applyBorder="1"/>
    <xf numFmtId="167" fontId="4" fillId="0" borderId="7" xfId="0" applyNumberFormat="1" applyFont="1" applyBorder="1"/>
    <xf numFmtId="167" fontId="4" fillId="0" borderId="0" xfId="0" applyNumberFormat="1" applyFont="1" applyBorder="1"/>
    <xf numFmtId="164" fontId="4" fillId="0" borderId="0" xfId="0" applyNumberFormat="1" applyFont="1"/>
    <xf numFmtId="167" fontId="4" fillId="0" borderId="0" xfId="0" applyNumberFormat="1" applyFont="1"/>
    <xf numFmtId="167" fontId="4" fillId="0" borderId="18" xfId="2" applyNumberFormat="1" applyFont="1" applyFill="1" applyBorder="1"/>
    <xf numFmtId="164" fontId="5" fillId="0" borderId="0" xfId="0" applyNumberFormat="1" applyFont="1" applyBorder="1"/>
    <xf numFmtId="164" fontId="5" fillId="0" borderId="7" xfId="1" applyNumberFormat="1" applyFont="1" applyBorder="1"/>
    <xf numFmtId="164" fontId="5" fillId="0" borderId="0" xfId="0" applyNumberFormat="1" applyFont="1" applyFill="1" applyBorder="1"/>
    <xf numFmtId="164" fontId="5" fillId="0" borderId="7" xfId="1" applyNumberFormat="1" applyFont="1" applyFill="1" applyBorder="1"/>
    <xf numFmtId="164" fontId="5" fillId="0" borderId="0" xfId="1" applyNumberFormat="1" applyFont="1" applyFill="1" applyBorder="1"/>
    <xf numFmtId="164" fontId="5" fillId="0" borderId="8" xfId="0" applyNumberFormat="1" applyFont="1" applyBorder="1"/>
    <xf numFmtId="164" fontId="5" fillId="0" borderId="19" xfId="0" applyNumberFormat="1" applyFont="1" applyBorder="1"/>
    <xf numFmtId="164" fontId="5" fillId="0" borderId="9" xfId="0" applyNumberFormat="1" applyFont="1" applyBorder="1"/>
    <xf numFmtId="164" fontId="5" fillId="0" borderId="10" xfId="1" applyNumberFormat="1" applyFont="1" applyBorder="1"/>
    <xf numFmtId="164" fontId="5" fillId="0" borderId="9" xfId="0" applyNumberFormat="1" applyFont="1" applyFill="1" applyBorder="1"/>
    <xf numFmtId="164" fontId="5" fillId="0" borderId="10" xfId="1" applyNumberFormat="1" applyFont="1" applyFill="1" applyBorder="1"/>
    <xf numFmtId="164" fontId="5" fillId="0" borderId="9" xfId="1" applyNumberFormat="1" applyFont="1" applyFill="1" applyBorder="1"/>
    <xf numFmtId="167" fontId="4" fillId="0" borderId="19" xfId="2" applyNumberFormat="1" applyFont="1" applyBorder="1"/>
    <xf numFmtId="167" fontId="4" fillId="0" borderId="9" xfId="0" applyNumberFormat="1" applyFont="1" applyBorder="1"/>
    <xf numFmtId="176" fontId="4" fillId="0" borderId="6" xfId="0" applyNumberFormat="1" applyFont="1" applyFill="1" applyBorder="1"/>
    <xf numFmtId="176" fontId="4" fillId="0" borderId="6" xfId="0" applyNumberFormat="1" applyFont="1" applyFill="1" applyBorder="1" applyAlignment="1">
      <alignment horizontal="right"/>
    </xf>
    <xf numFmtId="43" fontId="4" fillId="0" borderId="0" xfId="1" applyFont="1" applyBorder="1"/>
    <xf numFmtId="167" fontId="4" fillId="0" borderId="0" xfId="0" applyNumberFormat="1" applyFont="1" applyFill="1"/>
    <xf numFmtId="173" fontId="4" fillId="0" borderId="6" xfId="0" applyNumberFormat="1" applyFont="1" applyBorder="1"/>
    <xf numFmtId="3" fontId="8" fillId="2" borderId="0" xfId="0" applyNumberFormat="1" applyFont="1" applyFill="1" applyAlignment="1"/>
    <xf numFmtId="3" fontId="8" fillId="0" borderId="1" xfId="0" applyNumberFormat="1" applyFont="1" applyFill="1" applyBorder="1" applyAlignment="1"/>
    <xf numFmtId="43" fontId="6" fillId="0" borderId="0" xfId="1" applyFont="1" applyAlignment="1"/>
    <xf numFmtId="43" fontId="6" fillId="0" borderId="0" xfId="1" applyFont="1" applyFill="1"/>
    <xf numFmtId="3" fontId="6" fillId="0" borderId="0" xfId="0" applyNumberFormat="1" applyFont="1" applyFill="1"/>
    <xf numFmtId="164" fontId="8" fillId="0" borderId="0" xfId="0" applyNumberFormat="1" applyFont="1" applyFill="1"/>
    <xf numFmtId="3" fontId="8" fillId="0" borderId="0" xfId="0" applyNumberFormat="1" applyFont="1" applyFill="1"/>
    <xf numFmtId="0" fontId="6" fillId="0" borderId="1" xfId="0" applyNumberFormat="1" applyFont="1" applyFill="1" applyBorder="1" applyAlignment="1">
      <alignment horizontal="left"/>
    </xf>
    <xf numFmtId="0" fontId="5" fillId="0" borderId="0" xfId="0" applyFont="1" applyFill="1"/>
    <xf numFmtId="0" fontId="31" fillId="0" borderId="0" xfId="0" applyFont="1" applyFill="1" applyBorder="1" applyAlignment="1">
      <alignment horizontal="center"/>
    </xf>
    <xf numFmtId="3" fontId="4" fillId="0" borderId="3" xfId="0" applyNumberFormat="1" applyFont="1" applyFill="1" applyBorder="1" applyAlignment="1">
      <alignment horizontal="center"/>
    </xf>
    <xf numFmtId="177" fontId="13" fillId="0" borderId="0" xfId="0" applyNumberFormat="1" applyFont="1" applyFill="1"/>
    <xf numFmtId="0" fontId="5" fillId="0" borderId="0" xfId="0" applyFont="1" applyFill="1" applyAlignment="1">
      <alignment horizontal="center"/>
    </xf>
    <xf numFmtId="0" fontId="16" fillId="0" borderId="0" xfId="0" applyFont="1" applyAlignment="1">
      <alignment horizontal="center"/>
    </xf>
    <xf numFmtId="0" fontId="40" fillId="0" borderId="0" xfId="0" applyFont="1" applyAlignment="1">
      <alignment horizontal="center"/>
    </xf>
    <xf numFmtId="0" fontId="5" fillId="0" borderId="0" xfId="0" applyFont="1" applyAlignment="1">
      <alignment horizontal="center"/>
    </xf>
    <xf numFmtId="0" fontId="44" fillId="6" borderId="16" xfId="0" applyFont="1" applyFill="1" applyBorder="1" applyAlignment="1">
      <alignment horizontal="center"/>
    </xf>
    <xf numFmtId="0" fontId="44" fillId="6" borderId="14" xfId="0" applyFont="1" applyFill="1" applyBorder="1" applyAlignment="1">
      <alignment horizontal="center"/>
    </xf>
    <xf numFmtId="0" fontId="27" fillId="6" borderId="14" xfId="0" applyFont="1" applyFill="1" applyBorder="1" applyAlignment="1">
      <alignment horizontal="center" wrapText="1"/>
    </xf>
    <xf numFmtId="0" fontId="27" fillId="0" borderId="0" xfId="0" applyFont="1" applyFill="1" applyBorder="1" applyAlignment="1">
      <alignment horizontal="center" wrapText="1"/>
    </xf>
    <xf numFmtId="0" fontId="28" fillId="0" borderId="0" xfId="0" applyFont="1" applyFill="1" applyBorder="1" applyAlignment="1">
      <alignment horizontal="center" wrapText="1"/>
    </xf>
    <xf numFmtId="0" fontId="31" fillId="0" borderId="0" xfId="0" applyFont="1" applyFill="1" applyBorder="1" applyAlignment="1">
      <alignment horizontal="center" wrapText="1"/>
    </xf>
    <xf numFmtId="0" fontId="31" fillId="0" borderId="9" xfId="0" applyFont="1" applyFill="1" applyBorder="1" applyAlignment="1">
      <alignment horizontal="center" wrapText="1"/>
    </xf>
    <xf numFmtId="0" fontId="28" fillId="0" borderId="9" xfId="0" applyFont="1" applyFill="1" applyBorder="1" applyAlignment="1">
      <alignment horizontal="center" wrapText="1"/>
    </xf>
    <xf numFmtId="0" fontId="28" fillId="0" borderId="7" xfId="0" applyFont="1" applyFill="1" applyBorder="1" applyAlignment="1">
      <alignment horizontal="center" wrapText="1"/>
    </xf>
    <xf numFmtId="0" fontId="28" fillId="0" borderId="10" xfId="0" applyFont="1" applyFill="1" applyBorder="1" applyAlignment="1">
      <alignment horizontal="center" wrapText="1"/>
    </xf>
    <xf numFmtId="0" fontId="4" fillId="0" borderId="6" xfId="0" applyFont="1" applyFill="1" applyBorder="1" applyAlignment="1">
      <alignment horizontal="center"/>
    </xf>
    <xf numFmtId="0" fontId="4" fillId="0" borderId="0"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4" fillId="0" borderId="14" xfId="0" applyFont="1" applyBorder="1" applyAlignment="1">
      <alignment horizontal="center"/>
    </xf>
    <xf numFmtId="0" fontId="5" fillId="0" borderId="16" xfId="0" applyFont="1" applyFill="1" applyBorder="1" applyAlignment="1">
      <alignment horizontal="center"/>
    </xf>
    <xf numFmtId="0" fontId="6" fillId="7" borderId="9" xfId="0" applyFont="1" applyFill="1" applyBorder="1" applyAlignment="1"/>
    <xf numFmtId="0" fontId="6" fillId="0" borderId="0" xfId="0" applyFont="1" applyFill="1" applyBorder="1" applyAlignment="1"/>
    <xf numFmtId="0" fontId="67" fillId="5" borderId="0" xfId="0" applyFont="1" applyFill="1" applyBorder="1" applyAlignment="1">
      <alignment horizontal="left"/>
    </xf>
    <xf numFmtId="0" fontId="67" fillId="5" borderId="0" xfId="0" applyFont="1" applyFill="1" applyBorder="1" applyAlignment="1"/>
    <xf numFmtId="0" fontId="67" fillId="5" borderId="0" xfId="0" applyFont="1" applyFill="1" applyBorder="1"/>
    <xf numFmtId="0" fontId="67" fillId="5" borderId="0" xfId="0" applyFont="1" applyFill="1" applyBorder="1" applyAlignment="1">
      <alignment horizontal="center" wrapText="1"/>
    </xf>
    <xf numFmtId="0" fontId="67" fillId="5" borderId="0" xfId="0" applyFont="1" applyFill="1"/>
    <xf numFmtId="0" fontId="8" fillId="0" borderId="1" xfId="0" applyNumberFormat="1" applyFont="1" applyBorder="1" applyAlignment="1"/>
    <xf numFmtId="3" fontId="8" fillId="0" borderId="1" xfId="0" applyNumberFormat="1" applyFont="1" applyBorder="1" applyAlignment="1"/>
    <xf numFmtId="3" fontId="8" fillId="0" borderId="1" xfId="0" applyNumberFormat="1" applyFont="1" applyBorder="1" applyAlignment="1">
      <alignment horizontal="center"/>
    </xf>
    <xf numFmtId="0" fontId="8" fillId="0" borderId="0" xfId="0" applyNumberFormat="1" applyFont="1" applyAlignment="1"/>
    <xf numFmtId="3" fontId="8" fillId="0" borderId="2" xfId="0" applyNumberFormat="1" applyFont="1" applyFill="1" applyBorder="1" applyAlignment="1">
      <alignment horizontal="center"/>
    </xf>
    <xf numFmtId="3" fontId="8" fillId="0" borderId="2" xfId="0" applyNumberFormat="1" applyFont="1" applyBorder="1" applyAlignment="1"/>
    <xf numFmtId="3" fontId="8" fillId="0" borderId="0" xfId="0" applyNumberFormat="1" applyFont="1" applyFill="1" applyAlignment="1">
      <alignment horizontal="center"/>
    </xf>
    <xf numFmtId="3" fontId="8" fillId="0" borderId="3" xfId="0" applyNumberFormat="1" applyFont="1" applyBorder="1" applyAlignment="1"/>
    <xf numFmtId="0" fontId="8" fillId="0" borderId="0" xfId="0" applyNumberFormat="1" applyFont="1" applyFill="1" applyAlignment="1"/>
    <xf numFmtId="0" fontId="8" fillId="0" borderId="0" xfId="0" applyNumberFormat="1" applyFont="1" applyFill="1" applyAlignment="1">
      <alignment horizontal="center" vertical="top"/>
    </xf>
    <xf numFmtId="0" fontId="8" fillId="0" borderId="3" xfId="0" applyNumberFormat="1" applyFont="1" applyBorder="1" applyAlignment="1"/>
    <xf numFmtId="3" fontId="8" fillId="2" borderId="3" xfId="0" applyNumberFormat="1" applyFont="1" applyFill="1" applyBorder="1" applyAlignment="1"/>
    <xf numFmtId="3" fontId="8" fillId="2" borderId="0" xfId="0" applyNumberFormat="1" applyFont="1" applyFill="1" applyBorder="1" applyAlignment="1"/>
    <xf numFmtId="174" fontId="8" fillId="0" borderId="0" xfId="5" applyNumberFormat="1" applyFont="1" applyAlignment="1"/>
    <xf numFmtId="168" fontId="8" fillId="0" borderId="0" xfId="0" applyNumberFormat="1" applyFont="1" applyAlignment="1">
      <alignment horizontal="center"/>
    </xf>
    <xf numFmtId="0" fontId="8" fillId="0" borderId="0" xfId="0" applyNumberFormat="1" applyFont="1" applyBorder="1" applyAlignment="1"/>
    <xf numFmtId="3" fontId="8" fillId="0" borderId="0" xfId="0" applyNumberFormat="1" applyFont="1" applyBorder="1" applyAlignment="1">
      <alignment horizontal="center"/>
    </xf>
    <xf numFmtId="174" fontId="8" fillId="0" borderId="0" xfId="5" applyNumberFormat="1" applyFont="1" applyBorder="1" applyAlignment="1"/>
    <xf numFmtId="0" fontId="69" fillId="0" borderId="0" xfId="0" applyFont="1" applyAlignment="1">
      <alignment horizontal="left"/>
    </xf>
    <xf numFmtId="0" fontId="69" fillId="0" borderId="0" xfId="0" applyFont="1"/>
    <xf numFmtId="0" fontId="6" fillId="0" borderId="1" xfId="0" applyFont="1" applyFill="1" applyBorder="1"/>
    <xf numFmtId="0" fontId="6" fillId="0" borderId="1" xfId="0" applyNumberFormat="1" applyFont="1" applyBorder="1" applyAlignment="1">
      <alignment horizontal="center"/>
    </xf>
    <xf numFmtId="0" fontId="6" fillId="0" borderId="0" xfId="0" applyNumberFormat="1" applyFont="1" applyFill="1" applyAlignment="1">
      <alignment horizontal="right"/>
    </xf>
    <xf numFmtId="0" fontId="6" fillId="0" borderId="1" xfId="0" applyFont="1" applyBorder="1" applyAlignment="1">
      <alignment horizontal="left"/>
    </xf>
    <xf numFmtId="0" fontId="6" fillId="0" borderId="1" xfId="0" applyFont="1" applyBorder="1" applyAlignment="1">
      <alignment horizontal="center"/>
    </xf>
    <xf numFmtId="0" fontId="6" fillId="0" borderId="0" xfId="0" applyFont="1" applyBorder="1" applyAlignment="1">
      <alignment horizontal="left"/>
    </xf>
    <xf numFmtId="0" fontId="6" fillId="0" borderId="0" xfId="0" applyFont="1" applyBorder="1"/>
    <xf numFmtId="0" fontId="68" fillId="5" borderId="0" xfId="0" applyFont="1" applyFill="1" applyAlignment="1">
      <alignment horizontal="left"/>
    </xf>
    <xf numFmtId="0" fontId="68" fillId="5" borderId="0" xfId="0" applyFont="1" applyFill="1" applyAlignment="1"/>
    <xf numFmtId="0" fontId="68" fillId="5" borderId="0" xfId="0" applyNumberFormat="1" applyFont="1" applyFill="1" applyAlignment="1">
      <alignment horizontal="left"/>
    </xf>
    <xf numFmtId="0" fontId="67" fillId="5" borderId="0" xfId="0" applyFont="1" applyFill="1" applyAlignment="1"/>
    <xf numFmtId="0" fontId="68" fillId="5" borderId="0" xfId="0" applyNumberFormat="1" applyFont="1" applyFill="1" applyAlignment="1">
      <alignment horizontal="center"/>
    </xf>
    <xf numFmtId="3" fontId="8" fillId="0" borderId="1" xfId="0" applyNumberFormat="1" applyFont="1" applyFill="1" applyBorder="1" applyAlignment="1">
      <alignment horizontal="center"/>
    </xf>
    <xf numFmtId="3" fontId="8" fillId="0" borderId="2" xfId="0" applyNumberFormat="1" applyFont="1" applyBorder="1" applyAlignment="1">
      <alignment horizontal="center"/>
    </xf>
    <xf numFmtId="0" fontId="8" fillId="0" borderId="0" xfId="0" applyNumberFormat="1" applyFont="1" applyFill="1" applyBorder="1" applyAlignment="1">
      <alignment horizontal="left"/>
    </xf>
    <xf numFmtId="0" fontId="67" fillId="5" borderId="0" xfId="0" applyFont="1" applyFill="1" applyBorder="1" applyAlignment="1">
      <alignment horizontal="center"/>
    </xf>
    <xf numFmtId="165" fontId="8" fillId="0" borderId="3" xfId="3" applyFont="1" applyFill="1" applyBorder="1" applyAlignment="1">
      <alignment vertical="center"/>
    </xf>
    <xf numFmtId="3" fontId="8" fillId="2" borderId="3" xfId="0" applyNumberFormat="1" applyFont="1" applyFill="1" applyBorder="1" applyAlignment="1">
      <alignment horizontal="right"/>
    </xf>
    <xf numFmtId="3" fontId="8" fillId="4" borderId="0" xfId="0" applyNumberFormat="1" applyFont="1" applyFill="1" applyAlignment="1"/>
    <xf numFmtId="3" fontId="8" fillId="4" borderId="0" xfId="0" applyNumberFormat="1" applyFont="1" applyFill="1" applyAlignment="1">
      <alignment horizontal="center"/>
    </xf>
    <xf numFmtId="3" fontId="8" fillId="4" borderId="3" xfId="0" applyNumberFormat="1" applyFont="1" applyFill="1" applyBorder="1" applyAlignment="1"/>
    <xf numFmtId="3" fontId="8" fillId="0" borderId="3" xfId="0" applyNumberFormat="1" applyFont="1" applyFill="1" applyBorder="1" applyAlignment="1">
      <alignment horizontal="center"/>
    </xf>
    <xf numFmtId="0" fontId="8" fillId="0" borderId="1" xfId="0" applyNumberFormat="1" applyFont="1" applyFill="1" applyBorder="1" applyAlignment="1"/>
    <xf numFmtId="9" fontId="8" fillId="0" borderId="0" xfId="0" applyNumberFormat="1" applyFont="1" applyAlignment="1"/>
    <xf numFmtId="3" fontId="8" fillId="0" borderId="0" xfId="0" applyNumberFormat="1" applyFont="1" applyAlignment="1">
      <alignment horizontal="left"/>
    </xf>
    <xf numFmtId="166" fontId="8" fillId="0" borderId="0" xfId="0" applyNumberFormat="1" applyFont="1" applyAlignment="1"/>
    <xf numFmtId="3" fontId="8" fillId="0" borderId="0" xfId="0" quotePrefix="1" applyNumberFormat="1" applyFont="1" applyAlignment="1">
      <alignment horizontal="right"/>
    </xf>
    <xf numFmtId="3" fontId="8" fillId="0" borderId="3" xfId="0" applyNumberFormat="1" applyFont="1" applyBorder="1" applyAlignment="1">
      <alignment horizontal="right"/>
    </xf>
    <xf numFmtId="166" fontId="8" fillId="0" borderId="3" xfId="0" applyNumberFormat="1" applyFont="1" applyBorder="1" applyAlignment="1"/>
    <xf numFmtId="169" fontId="8" fillId="0" borderId="0" xfId="0" applyNumberFormat="1" applyFont="1" applyAlignment="1">
      <alignment horizontal="center"/>
    </xf>
    <xf numFmtId="170" fontId="8" fillId="0" borderId="0" xfId="0" applyNumberFormat="1" applyFont="1" applyAlignment="1"/>
    <xf numFmtId="168" fontId="8" fillId="0" borderId="0" xfId="0" applyNumberFormat="1" applyFont="1" applyAlignment="1">
      <alignment horizontal="left"/>
    </xf>
    <xf numFmtId="169" fontId="8" fillId="0" borderId="0" xfId="0" applyNumberFormat="1" applyFont="1" applyAlignment="1"/>
    <xf numFmtId="174" fontId="8" fillId="0" borderId="0" xfId="5" applyNumberFormat="1" applyFont="1" applyFill="1" applyAlignment="1">
      <alignment horizontal="right"/>
    </xf>
    <xf numFmtId="0" fontId="67" fillId="0" borderId="0" xfId="0" applyFont="1" applyFill="1"/>
    <xf numFmtId="168" fontId="8" fillId="0" borderId="0" xfId="0" applyNumberFormat="1" applyFont="1" applyBorder="1" applyAlignment="1">
      <alignment horizontal="left"/>
    </xf>
    <xf numFmtId="0" fontId="16" fillId="0" borderId="4" xfId="0" applyNumberFormat="1" applyFont="1" applyFill="1" applyBorder="1" applyAlignment="1"/>
    <xf numFmtId="0" fontId="16" fillId="0" borderId="4" xfId="0" applyFont="1" applyFill="1" applyBorder="1" applyAlignment="1"/>
    <xf numFmtId="3" fontId="16" fillId="0" borderId="4" xfId="0" applyNumberFormat="1" applyFont="1" applyBorder="1" applyAlignment="1">
      <alignment horizontal="center"/>
    </xf>
    <xf numFmtId="0" fontId="16" fillId="0" borderId="0" xfId="0" applyNumberFormat="1" applyFont="1" applyFill="1" applyBorder="1" applyAlignment="1"/>
    <xf numFmtId="0" fontId="16" fillId="0" borderId="0" xfId="0" applyFont="1" applyFill="1" applyBorder="1" applyAlignment="1"/>
    <xf numFmtId="3" fontId="16" fillId="0" borderId="0" xfId="0" applyNumberFormat="1" applyFont="1" applyBorder="1" applyAlignment="1">
      <alignment horizontal="center"/>
    </xf>
    <xf numFmtId="3" fontId="16" fillId="0" borderId="0" xfId="0" applyNumberFormat="1" applyFont="1" applyBorder="1"/>
    <xf numFmtId="3" fontId="8" fillId="0" borderId="0" xfId="0" applyNumberFormat="1" applyFont="1" applyFill="1" applyBorder="1"/>
    <xf numFmtId="0" fontId="8" fillId="0" borderId="3" xfId="0" applyNumberFormat="1" applyFont="1" applyFill="1" applyBorder="1" applyAlignment="1"/>
    <xf numFmtId="0" fontId="16" fillId="0" borderId="3" xfId="0" applyFont="1" applyFill="1" applyBorder="1" applyAlignment="1"/>
    <xf numFmtId="3" fontId="8" fillId="2" borderId="3" xfId="0" applyNumberFormat="1" applyFont="1" applyFill="1" applyBorder="1"/>
    <xf numFmtId="3" fontId="16" fillId="0" borderId="0" xfId="0" applyNumberFormat="1" applyFont="1" applyFill="1" applyBorder="1" applyAlignment="1">
      <alignment horizontal="center"/>
    </xf>
    <xf numFmtId="10" fontId="8" fillId="0" borderId="0" xfId="5" applyNumberFormat="1" applyFont="1" applyFill="1" applyBorder="1"/>
    <xf numFmtId="3" fontId="16" fillId="0" borderId="3" xfId="0" applyNumberFormat="1" applyFont="1" applyBorder="1" applyAlignment="1">
      <alignment horizontal="center"/>
    </xf>
    <xf numFmtId="3" fontId="8" fillId="0" borderId="3" xfId="0" applyNumberFormat="1" applyFont="1" applyFill="1" applyBorder="1"/>
    <xf numFmtId="0" fontId="69" fillId="0" borderId="0" xfId="0" applyFont="1" applyFill="1" applyAlignment="1">
      <alignment horizontal="left"/>
    </xf>
    <xf numFmtId="164" fontId="8" fillId="2" borderId="0" xfId="1" applyNumberFormat="1" applyFont="1" applyFill="1" applyAlignment="1"/>
    <xf numFmtId="0" fontId="22" fillId="0" borderId="0" xfId="0" applyNumberFormat="1" applyFont="1" applyFill="1" applyBorder="1" applyAlignment="1">
      <alignment horizontal="center"/>
    </xf>
    <xf numFmtId="3" fontId="8" fillId="3" borderId="0" xfId="0" applyNumberFormat="1" applyFont="1" applyFill="1" applyAlignment="1">
      <alignment horizontal="center"/>
    </xf>
    <xf numFmtId="0" fontId="4" fillId="0" borderId="0" xfId="0" applyFont="1" applyFill="1" applyAlignment="1">
      <alignment horizontal="left" wrapText="1"/>
    </xf>
    <xf numFmtId="164" fontId="4" fillId="0" borderId="0" xfId="1" applyNumberFormat="1" applyFont="1"/>
    <xf numFmtId="0" fontId="4" fillId="0" borderId="0" xfId="0" applyFont="1" applyAlignment="1">
      <alignment horizontal="left"/>
    </xf>
    <xf numFmtId="37" fontId="4" fillId="0" borderId="0" xfId="0" applyNumberFormat="1" applyFont="1"/>
    <xf numFmtId="0" fontId="4" fillId="0" borderId="0" xfId="0" applyFont="1" applyFill="1" applyAlignment="1">
      <alignment horizontal="left"/>
    </xf>
    <xf numFmtId="0" fontId="4" fillId="2" borderId="0" xfId="0" applyFont="1" applyFill="1"/>
    <xf numFmtId="37" fontId="4" fillId="0" borderId="0" xfId="0" applyNumberFormat="1" applyFont="1" applyFill="1"/>
    <xf numFmtId="164" fontId="4" fillId="0" borderId="0" xfId="1" applyNumberFormat="1" applyFont="1" applyFill="1" applyAlignment="1">
      <alignment horizontal="right"/>
    </xf>
    <xf numFmtId="164" fontId="4" fillId="2" borderId="0" xfId="1" applyNumberFormat="1" applyFont="1" applyFill="1" applyAlignment="1">
      <alignment horizontal="right"/>
    </xf>
    <xf numFmtId="41" fontId="4" fillId="0" borderId="0" xfId="0" applyNumberFormat="1" applyFont="1" applyFill="1" applyAlignment="1">
      <alignment horizontal="left" wrapText="1"/>
    </xf>
    <xf numFmtId="164" fontId="4" fillId="2" borderId="0" xfId="1" applyNumberFormat="1" applyFont="1" applyFill="1"/>
    <xf numFmtId="164" fontId="4" fillId="0" borderId="0" xfId="1" applyNumberFormat="1" applyFont="1" applyAlignment="1">
      <alignment horizontal="right"/>
    </xf>
    <xf numFmtId="164" fontId="5" fillId="0" borderId="0" xfId="1" applyNumberFormat="1" applyFont="1" applyFill="1" applyAlignment="1">
      <alignment horizontal="center"/>
    </xf>
    <xf numFmtId="164" fontId="13" fillId="0" borderId="0" xfId="1" applyNumberFormat="1" applyFont="1" applyFill="1" applyAlignment="1">
      <alignment horizontal="center"/>
    </xf>
    <xf numFmtId="164" fontId="5" fillId="0" borderId="0" xfId="1" applyNumberFormat="1" applyFont="1" applyFill="1" applyAlignment="1">
      <alignment horizontal="right"/>
    </xf>
    <xf numFmtId="0" fontId="4" fillId="2" borderId="0" xfId="0" applyFont="1" applyFill="1" applyAlignment="1">
      <alignment horizontal="left" wrapText="1"/>
    </xf>
    <xf numFmtId="0" fontId="4" fillId="0" borderId="0" xfId="0" applyFont="1" applyAlignment="1">
      <alignment horizontal="left" wrapText="1"/>
    </xf>
    <xf numFmtId="164" fontId="4" fillId="2" borderId="0" xfId="1" applyNumberFormat="1" applyFont="1" applyFill="1" applyAlignment="1">
      <alignment horizontal="right" wrapText="1"/>
    </xf>
    <xf numFmtId="164" fontId="4" fillId="0" borderId="0" xfId="1" applyNumberFormat="1" applyFont="1" applyAlignment="1">
      <alignment horizontal="right" wrapText="1"/>
    </xf>
    <xf numFmtId="173" fontId="4" fillId="2" borderId="0" xfId="0" applyNumberFormat="1" applyFont="1" applyFill="1" applyAlignment="1">
      <alignment horizontal="center" wrapText="1"/>
    </xf>
    <xf numFmtId="37" fontId="4" fillId="0" borderId="0" xfId="0" applyNumberFormat="1" applyFont="1" applyAlignment="1">
      <alignment horizontal="right" wrapText="1"/>
    </xf>
    <xf numFmtId="0" fontId="5" fillId="0" borderId="0" xfId="0" applyNumberFormat="1" applyFont="1" applyFill="1" applyBorder="1" applyAlignment="1">
      <alignment horizontal="center"/>
    </xf>
    <xf numFmtId="0" fontId="4" fillId="0" borderId="0" xfId="0" applyFont="1" applyAlignment="1">
      <alignment horizontal="left" vertical="center" wrapText="1"/>
    </xf>
    <xf numFmtId="0" fontId="4" fillId="0" borderId="0" xfId="0" applyFont="1" applyAlignment="1">
      <alignment horizontal="right" wrapText="1"/>
    </xf>
    <xf numFmtId="0" fontId="4" fillId="2" borderId="0" xfId="0" applyFont="1" applyFill="1" applyAlignment="1">
      <alignment horizontal="left" vertical="center" wrapText="1"/>
    </xf>
    <xf numFmtId="0" fontId="4" fillId="0" borderId="0" xfId="0" applyNumberFormat="1" applyFont="1" applyFill="1" applyBorder="1" applyAlignment="1">
      <alignment horizontal="left"/>
    </xf>
    <xf numFmtId="164" fontId="4" fillId="0" borderId="20" xfId="1" applyNumberFormat="1" applyFont="1" applyBorder="1" applyAlignment="1">
      <alignment horizontal="right"/>
    </xf>
    <xf numFmtId="41" fontId="4" fillId="0" borderId="0" xfId="0" applyNumberFormat="1" applyFont="1" applyFill="1" applyBorder="1" applyAlignment="1">
      <alignment horizontal="right"/>
    </xf>
    <xf numFmtId="37" fontId="4" fillId="0" borderId="0" xfId="0" applyNumberFormat="1" applyFont="1" applyFill="1" applyAlignment="1">
      <alignment horizontal="right" wrapText="1"/>
    </xf>
    <xf numFmtId="164" fontId="4" fillId="0" borderId="0" xfId="1" applyNumberFormat="1" applyFont="1" applyAlignment="1"/>
    <xf numFmtId="0" fontId="4" fillId="0" borderId="0" xfId="0" applyFont="1" applyAlignment="1">
      <alignment horizontal="center"/>
    </xf>
    <xf numFmtId="0" fontId="4" fillId="0" borderId="0" xfId="0" applyFont="1" applyFill="1" applyAlignment="1"/>
    <xf numFmtId="0" fontId="4" fillId="0" borderId="0" xfId="0" applyFont="1" applyAlignment="1"/>
    <xf numFmtId="164" fontId="4" fillId="2" borderId="0" xfId="1" applyNumberFormat="1" applyFont="1" applyFill="1" applyBorder="1" applyAlignment="1">
      <alignment wrapText="1"/>
    </xf>
    <xf numFmtId="164" fontId="4" fillId="0" borderId="0" xfId="1" applyNumberFormat="1" applyFont="1" applyFill="1" applyBorder="1" applyAlignment="1">
      <alignment wrapText="1"/>
    </xf>
    <xf numFmtId="0" fontId="4" fillId="0" borderId="0" xfId="0" applyFont="1" applyAlignment="1">
      <alignment horizontal="left" vertical="center"/>
    </xf>
    <xf numFmtId="164" fontId="4" fillId="0" borderId="0" xfId="1" applyNumberFormat="1" applyFont="1" applyAlignment="1">
      <alignment vertical="center" wrapText="1"/>
    </xf>
    <xf numFmtId="0" fontId="4" fillId="0" borderId="0" xfId="0" applyFont="1" applyAlignment="1">
      <alignment vertical="top"/>
    </xf>
    <xf numFmtId="0" fontId="4" fillId="0" borderId="0" xfId="0" applyFont="1" applyAlignment="1">
      <alignment wrapText="1"/>
    </xf>
    <xf numFmtId="164" fontId="4" fillId="2" borderId="0" xfId="1" applyNumberFormat="1" applyFont="1" applyFill="1" applyAlignment="1"/>
    <xf numFmtId="164" fontId="4" fillId="2" borderId="0" xfId="1" applyNumberFormat="1" applyFont="1" applyFill="1" applyBorder="1" applyAlignment="1"/>
    <xf numFmtId="164" fontId="4" fillId="0" borderId="0" xfId="1" applyNumberFormat="1" applyFont="1" applyFill="1" applyAlignment="1"/>
    <xf numFmtId="164" fontId="4" fillId="0" borderId="0" xfId="1" applyNumberFormat="1" applyFont="1" applyFill="1" applyBorder="1" applyAlignment="1"/>
    <xf numFmtId="0" fontId="4" fillId="0" borderId="0" xfId="0" applyFont="1" applyFill="1" applyAlignment="1">
      <alignment vertical="top"/>
    </xf>
    <xf numFmtId="0" fontId="4" fillId="0" borderId="0" xfId="0" applyFont="1" applyAlignment="1">
      <alignment vertical="center" wrapText="1"/>
    </xf>
    <xf numFmtId="0" fontId="4" fillId="0" borderId="0" xfId="0" applyFont="1" applyFill="1" applyAlignment="1">
      <alignment vertical="center" wrapText="1"/>
    </xf>
    <xf numFmtId="164" fontId="4" fillId="0" borderId="0" xfId="1" applyNumberFormat="1" applyFont="1" applyBorder="1" applyAlignment="1"/>
    <xf numFmtId="0" fontId="70" fillId="5" borderId="0" xfId="0" applyFont="1" applyFill="1"/>
    <xf numFmtId="165" fontId="8" fillId="0" borderId="3" xfId="3" applyFont="1" applyBorder="1" applyAlignment="1">
      <alignment vertical="center"/>
    </xf>
    <xf numFmtId="9" fontId="8" fillId="0" borderId="0" xfId="0" applyNumberFormat="1" applyFont="1" applyFill="1" applyAlignment="1"/>
    <xf numFmtId="166" fontId="8" fillId="0" borderId="0" xfId="0" applyNumberFormat="1" applyFont="1" applyFill="1" applyAlignment="1"/>
    <xf numFmtId="164" fontId="8" fillId="0" borderId="0" xfId="1" applyNumberFormat="1" applyFont="1" applyFill="1" applyAlignment="1"/>
    <xf numFmtId="0" fontId="34" fillId="0" borderId="0" xfId="0" applyFont="1" applyAlignment="1">
      <alignment horizontal="right"/>
    </xf>
    <xf numFmtId="0" fontId="4" fillId="0" borderId="9" xfId="0" applyFont="1" applyBorder="1"/>
    <xf numFmtId="0" fontId="4" fillId="0" borderId="9" xfId="0" applyFont="1" applyFill="1" applyBorder="1"/>
    <xf numFmtId="0" fontId="4" fillId="0" borderId="0" xfId="0" applyFont="1" applyFill="1" applyBorder="1" applyAlignment="1">
      <alignment horizontal="right"/>
    </xf>
    <xf numFmtId="0" fontId="4" fillId="0" borderId="8" xfId="0" applyFont="1" applyFill="1" applyBorder="1"/>
    <xf numFmtId="37" fontId="4" fillId="0" borderId="0" xfId="0" applyNumberFormat="1" applyFont="1" applyAlignment="1">
      <alignment horizontal="center"/>
    </xf>
    <xf numFmtId="2" fontId="4" fillId="0" borderId="0" xfId="0" applyNumberFormat="1" applyFont="1" applyFill="1" applyBorder="1" applyAlignment="1">
      <alignment horizontal="center"/>
    </xf>
    <xf numFmtId="0" fontId="71" fillId="0" borderId="0" xfId="0" applyFont="1"/>
    <xf numFmtId="0" fontId="34" fillId="0" borderId="0" xfId="0" applyFont="1"/>
    <xf numFmtId="173" fontId="4" fillId="0" borderId="0" xfId="5" applyNumberFormat="1" applyFont="1"/>
    <xf numFmtId="39" fontId="4" fillId="0" borderId="0" xfId="0" applyNumberFormat="1" applyFont="1" applyFill="1"/>
    <xf numFmtId="43" fontId="4" fillId="0" borderId="0" xfId="0" applyNumberFormat="1" applyFont="1"/>
    <xf numFmtId="0" fontId="4" fillId="7" borderId="0" xfId="0" applyFont="1" applyFill="1"/>
    <xf numFmtId="0" fontId="57" fillId="0" borderId="0" xfId="0" applyFont="1" applyFill="1" applyBorder="1" applyAlignment="1">
      <alignment horizontal="center"/>
    </xf>
    <xf numFmtId="3" fontId="57" fillId="0" borderId="0" xfId="0" applyNumberFormat="1" applyFont="1" applyFill="1" applyBorder="1" applyAlignment="1">
      <alignment horizontal="center"/>
    </xf>
    <xf numFmtId="0" fontId="4" fillId="0" borderId="26" xfId="0" applyFont="1" applyFill="1" applyBorder="1"/>
    <xf numFmtId="0" fontId="4" fillId="0" borderId="3" xfId="0" applyFont="1" applyFill="1" applyBorder="1"/>
    <xf numFmtId="0" fontId="4" fillId="0" borderId="27" xfId="0" applyFont="1" applyFill="1" applyBorder="1"/>
    <xf numFmtId="0" fontId="27" fillId="6" borderId="14" xfId="0" applyFont="1" applyFill="1" applyBorder="1" applyAlignment="1">
      <alignment horizontal="center" wrapText="1"/>
    </xf>
    <xf numFmtId="0" fontId="27" fillId="0" borderId="0" xfId="0" applyFont="1" applyFill="1" applyBorder="1" applyAlignment="1">
      <alignment horizontal="center" wrapText="1"/>
    </xf>
    <xf numFmtId="0" fontId="44" fillId="0" borderId="0" xfId="0" applyFont="1" applyFill="1" applyBorder="1" applyAlignment="1">
      <alignment horizontal="center"/>
    </xf>
    <xf numFmtId="0" fontId="44" fillId="0" borderId="6" xfId="0" applyFont="1" applyFill="1" applyBorder="1" applyAlignment="1">
      <alignment horizontal="center"/>
    </xf>
    <xf numFmtId="0" fontId="44" fillId="0" borderId="7" xfId="0" applyFont="1" applyFill="1" applyBorder="1" applyAlignment="1">
      <alignment horizontal="center"/>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28" fillId="0" borderId="7" xfId="0" applyNumberFormat="1" applyFont="1" applyFill="1" applyBorder="1" applyAlignment="1">
      <alignment horizontal="left" wrapText="1"/>
    </xf>
    <xf numFmtId="164" fontId="28" fillId="0" borderId="9" xfId="0" applyNumberFormat="1" applyFont="1" applyBorder="1"/>
    <xf numFmtId="0" fontId="27" fillId="6" borderId="14" xfId="0" applyFont="1" applyFill="1" applyBorder="1" applyAlignment="1">
      <alignment horizontal="center" wrapText="1"/>
    </xf>
    <xf numFmtId="0" fontId="28" fillId="0" borderId="0" xfId="0" applyFont="1" applyFill="1" applyBorder="1" applyAlignment="1">
      <alignment horizontal="left" wrapText="1"/>
    </xf>
    <xf numFmtId="0" fontId="28" fillId="0" borderId="7" xfId="0" applyFont="1" applyFill="1" applyBorder="1" applyAlignment="1">
      <alignment horizontal="left" wrapText="1"/>
    </xf>
    <xf numFmtId="0" fontId="31" fillId="0" borderId="7" xfId="0" applyFont="1" applyFill="1" applyBorder="1" applyAlignment="1">
      <alignment horizontal="left"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0" xfId="0" applyFont="1" applyBorder="1"/>
    <xf numFmtId="167" fontId="72" fillId="0" borderId="0" xfId="0" applyNumberFormat="1" applyFont="1" applyFill="1"/>
    <xf numFmtId="37" fontId="22" fillId="0" borderId="0" xfId="0" applyNumberFormat="1" applyFont="1" applyFill="1" applyBorder="1" applyAlignment="1">
      <alignment horizontal="center"/>
    </xf>
    <xf numFmtId="10" fontId="48" fillId="0" borderId="0" xfId="0" applyNumberFormat="1" applyFont="1"/>
    <xf numFmtId="43" fontId="8" fillId="0" borderId="0" xfId="1" applyFont="1" applyFill="1"/>
    <xf numFmtId="43" fontId="4" fillId="0" borderId="0" xfId="0" applyNumberFormat="1" applyFont="1" applyFill="1" applyBorder="1"/>
    <xf numFmtId="37" fontId="8" fillId="0" borderId="0" xfId="0" applyNumberFormat="1" applyFont="1" applyAlignment="1"/>
    <xf numFmtId="0" fontId="4" fillId="0" borderId="0" xfId="0" applyFont="1" applyAlignment="1">
      <alignment horizontal="center"/>
    </xf>
    <xf numFmtId="166" fontId="8" fillId="8" borderId="0" xfId="0" applyNumberFormat="1" applyFont="1" applyFill="1" applyAlignment="1"/>
    <xf numFmtId="172" fontId="8" fillId="0" borderId="0" xfId="1" applyNumberFormat="1" applyFont="1" applyFill="1" applyBorder="1" applyAlignment="1"/>
    <xf numFmtId="43" fontId="8" fillId="0" borderId="0" xfId="0" applyNumberFormat="1" applyFont="1" applyFill="1"/>
    <xf numFmtId="37" fontId="74" fillId="0" borderId="0" xfId="0" applyNumberFormat="1" applyFont="1" applyFill="1" applyBorder="1" applyAlignment="1">
      <alignment horizontal="center"/>
    </xf>
    <xf numFmtId="164" fontId="23" fillId="0" borderId="0" xfId="1" applyNumberFormat="1" applyFont="1" applyFill="1" applyBorder="1"/>
    <xf numFmtId="43" fontId="4" fillId="0" borderId="0" xfId="1" applyFont="1" applyFill="1"/>
    <xf numFmtId="0" fontId="4"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164" fontId="7" fillId="0" borderId="0" xfId="1" applyNumberFormat="1" applyFont="1"/>
    <xf numFmtId="0" fontId="27" fillId="6" borderId="14" xfId="0" applyFont="1" applyFill="1" applyBorder="1" applyAlignment="1">
      <alignment horizontal="center"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164" fontId="48" fillId="0" borderId="0" xfId="1" applyNumberFormat="1" applyFont="1" applyFill="1" applyAlignment="1">
      <alignment horizontal="left"/>
    </xf>
    <xf numFmtId="178" fontId="0" fillId="0" borderId="0" xfId="0" applyNumberFormat="1" applyAlignment="1">
      <alignment horizontal="right"/>
    </xf>
    <xf numFmtId="164" fontId="8" fillId="0" borderId="0" xfId="1" applyNumberFormat="1" applyFont="1" applyFill="1"/>
    <xf numFmtId="43" fontId="28" fillId="0" borderId="0" xfId="1" applyFont="1"/>
    <xf numFmtId="43" fontId="4" fillId="0" borderId="0" xfId="1" applyFont="1" applyFill="1" applyBorder="1"/>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73" fontId="0" fillId="0" borderId="6" xfId="0" applyNumberFormat="1" applyBorder="1"/>
    <xf numFmtId="164" fontId="4" fillId="0" borderId="0" xfId="1" applyNumberFormat="1" applyFont="1" applyFill="1" applyBorder="1" applyAlignment="1">
      <alignment horizontal="center"/>
    </xf>
    <xf numFmtId="179" fontId="4" fillId="0" borderId="0" xfId="0" applyNumberFormat="1" applyFont="1" applyFill="1"/>
    <xf numFmtId="0" fontId="5" fillId="0" borderId="16" xfId="0" applyFont="1" applyFill="1" applyBorder="1" applyAlignment="1">
      <alignment horizontal="center"/>
    </xf>
    <xf numFmtId="0" fontId="5" fillId="12" borderId="0" xfId="0" applyFont="1" applyFill="1" applyBorder="1"/>
    <xf numFmtId="0" fontId="4" fillId="12" borderId="0" xfId="0" applyFont="1" applyFill="1" applyAlignment="1">
      <alignment horizontal="center"/>
    </xf>
    <xf numFmtId="0" fontId="4" fillId="12" borderId="0" xfId="0" applyFont="1" applyFill="1"/>
    <xf numFmtId="164" fontId="4" fillId="12" borderId="0" xfId="1" applyNumberFormat="1" applyFont="1" applyFill="1"/>
    <xf numFmtId="0" fontId="4" fillId="12" borderId="0" xfId="0" applyFont="1" applyFill="1" applyBorder="1"/>
    <xf numFmtId="0" fontId="28" fillId="0" borderId="0" xfId="0" applyFont="1" applyFill="1" applyBorder="1" applyAlignment="1">
      <alignment horizontal="center"/>
    </xf>
    <xf numFmtId="0" fontId="28"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43" fontId="8" fillId="0" borderId="0" xfId="1" applyFont="1" applyFill="1" applyBorder="1" applyAlignment="1">
      <alignment horizontal="center"/>
    </xf>
    <xf numFmtId="3" fontId="28" fillId="0" borderId="0" xfId="0" applyNumberFormat="1" applyFont="1" applyBorder="1"/>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69" fontId="6" fillId="0" borderId="2" xfId="0" applyNumberFormat="1" applyFont="1" applyFill="1" applyBorder="1" applyAlignment="1"/>
    <xf numFmtId="3" fontId="55" fillId="0" borderId="0" xfId="0" applyNumberFormat="1" applyFont="1" applyFill="1" applyBorder="1" applyAlignment="1"/>
    <xf numFmtId="164" fontId="76" fillId="0" borderId="0" xfId="1" applyNumberFormat="1" applyFont="1"/>
    <xf numFmtId="43" fontId="48" fillId="0" borderId="0" xfId="1" applyNumberFormat="1" applyFont="1" applyFill="1" applyAlignment="1">
      <alignment horizontal="left"/>
    </xf>
    <xf numFmtId="0" fontId="16" fillId="0" borderId="0" xfId="0" applyFont="1" applyAlignment="1">
      <alignment horizontal="center"/>
    </xf>
    <xf numFmtId="0" fontId="8" fillId="0" borderId="0" xfId="0" applyFont="1" applyAlignment="1">
      <alignment horizontal="center"/>
    </xf>
    <xf numFmtId="0" fontId="44" fillId="11" borderId="5" xfId="0" applyFont="1" applyFill="1" applyBorder="1" applyAlignment="1">
      <alignment horizontal="left"/>
    </xf>
    <xf numFmtId="0" fontId="77" fillId="0" borderId="0" xfId="0" applyFont="1"/>
    <xf numFmtId="0" fontId="79" fillId="0" borderId="0" xfId="0" applyFont="1" applyFill="1" applyAlignment="1">
      <alignment horizontal="left"/>
    </xf>
    <xf numFmtId="0" fontId="78" fillId="0" borderId="0" xfId="0" applyFont="1" applyAlignment="1">
      <alignment horizontal="center"/>
    </xf>
    <xf numFmtId="0" fontId="77" fillId="0" borderId="0" xfId="0" quotePrefix="1" applyFont="1" applyFill="1"/>
    <xf numFmtId="0" fontId="77" fillId="13" borderId="0" xfId="0" quotePrefix="1" applyFont="1" applyFill="1"/>
    <xf numFmtId="0" fontId="77" fillId="0" borderId="0" xfId="0" applyFont="1" applyAlignment="1">
      <alignment horizontal="center" vertical="center"/>
    </xf>
    <xf numFmtId="0" fontId="77" fillId="0" borderId="3" xfId="0" quotePrefix="1" applyFont="1" applyBorder="1" applyAlignment="1">
      <alignment horizontal="center" vertical="center" wrapText="1"/>
    </xf>
    <xf numFmtId="0" fontId="77" fillId="0" borderId="3" xfId="0" applyFont="1" applyBorder="1" applyAlignment="1">
      <alignment horizontal="center" wrapText="1"/>
    </xf>
    <xf numFmtId="164" fontId="77" fillId="0" borderId="0" xfId="0" applyNumberFormat="1" applyFont="1" applyFill="1" applyBorder="1"/>
    <xf numFmtId="164" fontId="78" fillId="0" borderId="3" xfId="0" applyNumberFormat="1" applyFont="1" applyFill="1" applyBorder="1"/>
    <xf numFmtId="164" fontId="77" fillId="0" borderId="0" xfId="0" applyNumberFormat="1" applyFont="1" applyFill="1" applyBorder="1" applyAlignment="1">
      <alignment horizontal="center"/>
    </xf>
    <xf numFmtId="42" fontId="77" fillId="0" borderId="0" xfId="0" applyNumberFormat="1" applyFont="1"/>
    <xf numFmtId="167" fontId="77" fillId="0" borderId="0" xfId="2" applyNumberFormat="1" applyFont="1"/>
    <xf numFmtId="167" fontId="77" fillId="0" borderId="0" xfId="0" applyNumberFormat="1" applyFont="1"/>
    <xf numFmtId="164" fontId="77" fillId="0" borderId="0" xfId="0" applyNumberFormat="1" applyFont="1"/>
    <xf numFmtId="0" fontId="77" fillId="0" borderId="0" xfId="0" applyFont="1" applyFill="1" applyAlignment="1">
      <alignment horizontal="left" indent="1"/>
    </xf>
    <xf numFmtId="0" fontId="77" fillId="0" borderId="0" xfId="0" applyFont="1" applyFill="1"/>
    <xf numFmtId="164" fontId="81" fillId="0" borderId="0" xfId="1" applyNumberFormat="1" applyFont="1" applyFill="1"/>
    <xf numFmtId="167" fontId="77" fillId="13" borderId="0" xfId="2" applyNumberFormat="1" applyFont="1" applyFill="1"/>
    <xf numFmtId="167" fontId="77" fillId="0" borderId="0" xfId="2" applyNumberFormat="1" applyFont="1" applyFill="1"/>
    <xf numFmtId="43" fontId="77" fillId="0" borderId="0" xfId="0" applyNumberFormat="1" applyFont="1"/>
    <xf numFmtId="164" fontId="77" fillId="13" borderId="0" xfId="1" applyNumberFormat="1" applyFont="1" applyFill="1"/>
    <xf numFmtId="164" fontId="77" fillId="13" borderId="0" xfId="0" applyNumberFormat="1" applyFont="1" applyFill="1"/>
    <xf numFmtId="0" fontId="77" fillId="0" borderId="3" xfId="0" applyFont="1" applyBorder="1"/>
    <xf numFmtId="0" fontId="78" fillId="0" borderId="0" xfId="0" applyFont="1"/>
    <xf numFmtId="167" fontId="77" fillId="0" borderId="32" xfId="2" applyNumberFormat="1" applyFont="1" applyBorder="1"/>
    <xf numFmtId="44" fontId="77" fillId="0" borderId="0" xfId="0" applyNumberFormat="1" applyFont="1"/>
    <xf numFmtId="15" fontId="77" fillId="0" borderId="0" xfId="0" quotePrefix="1" applyNumberFormat="1" applyFont="1" applyFill="1"/>
    <xf numFmtId="167" fontId="77" fillId="0" borderId="2" xfId="2" applyNumberFormat="1" applyFont="1" applyBorder="1"/>
    <xf numFmtId="167" fontId="77" fillId="0" borderId="30" xfId="2" applyNumberFormat="1" applyFont="1" applyBorder="1"/>
    <xf numFmtId="0" fontId="77" fillId="0" borderId="0" xfId="0" applyFont="1" applyAlignment="1">
      <alignment horizontal="left" indent="1"/>
    </xf>
    <xf numFmtId="172" fontId="77" fillId="13" borderId="0" xfId="1" applyNumberFormat="1" applyFont="1" applyFill="1"/>
    <xf numFmtId="0" fontId="82" fillId="0" borderId="0" xfId="0" applyFont="1"/>
    <xf numFmtId="0" fontId="77" fillId="0" borderId="0" xfId="0" applyFont="1" applyAlignment="1">
      <alignment horizontal="left" vertical="top" wrapText="1"/>
    </xf>
    <xf numFmtId="0" fontId="77" fillId="0" borderId="0" xfId="13" applyFont="1" applyFill="1" applyProtection="1"/>
    <xf numFmtId="0" fontId="77" fillId="0" borderId="0" xfId="13" applyFont="1" applyFill="1" applyAlignment="1" applyProtection="1">
      <alignment horizontal="left"/>
    </xf>
    <xf numFmtId="0" fontId="85" fillId="0" borderId="0" xfId="0" applyFont="1"/>
    <xf numFmtId="0" fontId="77" fillId="0" borderId="0" xfId="13" applyFont="1" applyFill="1" applyBorder="1" applyAlignment="1" applyProtection="1">
      <alignment horizontal="left"/>
    </xf>
    <xf numFmtId="0" fontId="86" fillId="0" borderId="0" xfId="13" applyFont="1" applyFill="1" applyAlignment="1" applyProtection="1">
      <alignment horizontal="left"/>
    </xf>
    <xf numFmtId="0" fontId="78" fillId="0" borderId="0" xfId="13" applyFont="1" applyFill="1" applyBorder="1" applyAlignment="1" applyProtection="1">
      <alignment horizontal="left"/>
    </xf>
    <xf numFmtId="164" fontId="77" fillId="0" borderId="0" xfId="13" applyNumberFormat="1" applyFont="1" applyFill="1" applyProtection="1"/>
    <xf numFmtId="164" fontId="4" fillId="0" borderId="0" xfId="7" applyNumberFormat="1" applyFont="1" applyFill="1" applyBorder="1" applyProtection="1">
      <protection locked="0"/>
    </xf>
    <xf numFmtId="164" fontId="4" fillId="0" borderId="0" xfId="7" applyNumberFormat="1" applyFont="1" applyFill="1" applyProtection="1"/>
    <xf numFmtId="168" fontId="4" fillId="0" borderId="0" xfId="5" applyNumberFormat="1" applyFont="1" applyFill="1" applyProtection="1"/>
    <xf numFmtId="0" fontId="78" fillId="0" borderId="0" xfId="0" applyFont="1" applyFill="1" applyAlignment="1">
      <alignment horizontal="left"/>
    </xf>
    <xf numFmtId="0" fontId="78" fillId="0" borderId="3" xfId="0" applyFont="1" applyFill="1" applyBorder="1" applyAlignment="1">
      <alignment horizontal="center" wrapText="1"/>
    </xf>
    <xf numFmtId="0" fontId="78" fillId="0" borderId="3" xfId="0" applyFont="1" applyFill="1" applyBorder="1" applyAlignment="1">
      <alignment horizontal="left" wrapText="1"/>
    </xf>
    <xf numFmtId="0" fontId="78" fillId="0" borderId="0" xfId="0" applyFont="1" applyFill="1" applyBorder="1" applyAlignment="1">
      <alignment horizontal="left" wrapText="1" indent="1"/>
    </xf>
    <xf numFmtId="0" fontId="78" fillId="0" borderId="0" xfId="0" applyFont="1" applyFill="1" applyBorder="1" applyAlignment="1">
      <alignment horizontal="center" wrapText="1"/>
    </xf>
    <xf numFmtId="0" fontId="78" fillId="0" borderId="0" xfId="0" applyFont="1" applyFill="1" applyBorder="1" applyAlignment="1">
      <alignment horizontal="left" wrapText="1"/>
    </xf>
    <xf numFmtId="0" fontId="77" fillId="0" borderId="0" xfId="0" applyFont="1" applyFill="1" applyAlignment="1">
      <alignment horizontal="center"/>
    </xf>
    <xf numFmtId="42" fontId="77" fillId="0" borderId="0" xfId="1" applyNumberFormat="1" applyFont="1" applyFill="1" applyBorder="1"/>
    <xf numFmtId="0" fontId="77" fillId="0" borderId="0" xfId="0" applyNumberFormat="1" applyFont="1" applyFill="1" applyBorder="1" applyAlignment="1">
      <alignment horizontal="center"/>
    </xf>
    <xf numFmtId="164" fontId="78" fillId="0" borderId="0" xfId="0" applyNumberFormat="1" applyFont="1" applyFill="1" applyBorder="1"/>
    <xf numFmtId="42" fontId="78" fillId="0" borderId="1" xfId="1" applyNumberFormat="1" applyFont="1" applyFill="1" applyBorder="1"/>
    <xf numFmtId="42" fontId="78" fillId="0" borderId="2" xfId="0" applyNumberFormat="1" applyFont="1" applyFill="1" applyBorder="1"/>
    <xf numFmtId="164" fontId="77" fillId="0" borderId="0" xfId="1" applyNumberFormat="1" applyFont="1" applyFill="1"/>
    <xf numFmtId="0" fontId="77" fillId="0" borderId="0" xfId="0" applyFont="1" applyFill="1" applyAlignment="1">
      <alignment horizontal="right"/>
    </xf>
    <xf numFmtId="164" fontId="77" fillId="0" borderId="0" xfId="1" applyNumberFormat="1" applyFont="1" applyFill="1" applyBorder="1"/>
    <xf numFmtId="0" fontId="4" fillId="0" borderId="0" xfId="14" applyFont="1" applyFill="1" applyAlignment="1" applyProtection="1">
      <alignment horizontal="left"/>
    </xf>
    <xf numFmtId="0" fontId="4" fillId="0" borderId="0" xfId="14" applyNumberFormat="1" applyFont="1" applyFill="1" applyAlignment="1" applyProtection="1">
      <alignment horizontal="left"/>
    </xf>
    <xf numFmtId="0" fontId="4" fillId="0" borderId="0" xfId="14" applyFont="1" applyFill="1" applyProtection="1"/>
    <xf numFmtId="0" fontId="4" fillId="0" borderId="0" xfId="14" applyFont="1" applyFill="1" applyAlignment="1" applyProtection="1">
      <alignment horizontal="center"/>
    </xf>
    <xf numFmtId="0" fontId="78" fillId="0" borderId="0" xfId="0" quotePrefix="1" applyFont="1" applyFill="1" applyAlignment="1">
      <alignment horizontal="left"/>
    </xf>
    <xf numFmtId="0" fontId="77" fillId="0" borderId="0" xfId="15" applyFont="1" applyFill="1" applyProtection="1"/>
    <xf numFmtId="0" fontId="77" fillId="0" borderId="0" xfId="15" applyFont="1" applyFill="1" applyAlignment="1" applyProtection="1">
      <alignment horizontal="center"/>
    </xf>
    <xf numFmtId="0" fontId="77" fillId="0" borderId="0" xfId="15" applyFont="1" applyFill="1" applyAlignment="1" applyProtection="1">
      <alignment horizontal="left"/>
    </xf>
    <xf numFmtId="0" fontId="77" fillId="0" borderId="0" xfId="15" applyNumberFormat="1" applyFont="1" applyFill="1" applyAlignment="1" applyProtection="1">
      <alignment horizontal="left"/>
    </xf>
    <xf numFmtId="0" fontId="80" fillId="0" borderId="0" xfId="15" applyFont="1" applyFill="1" applyBorder="1" applyProtection="1"/>
    <xf numFmtId="0" fontId="4" fillId="0" borderId="0" xfId="15" applyFont="1" applyFill="1" applyProtection="1"/>
    <xf numFmtId="0" fontId="78" fillId="0" borderId="3" xfId="0" applyNumberFormat="1" applyFont="1" applyFill="1" applyBorder="1" applyAlignment="1">
      <alignment horizontal="center" wrapText="1"/>
    </xf>
    <xf numFmtId="0" fontId="77" fillId="0" borderId="0" xfId="0" applyFont="1" applyFill="1" applyProtection="1"/>
    <xf numFmtId="0" fontId="83" fillId="0" borderId="0" xfId="15" applyFont="1" applyFill="1" applyBorder="1" applyAlignment="1" applyProtection="1">
      <alignment horizontal="left"/>
    </xf>
    <xf numFmtId="0" fontId="78" fillId="0" borderId="0" xfId="0" applyNumberFormat="1" applyFont="1" applyFill="1" applyBorder="1" applyAlignment="1">
      <alignment horizontal="center" wrapText="1"/>
    </xf>
    <xf numFmtId="0" fontId="83" fillId="0" borderId="0" xfId="15" applyFont="1" applyFill="1" applyBorder="1" applyAlignment="1" applyProtection="1">
      <alignment horizontal="center" wrapText="1"/>
    </xf>
    <xf numFmtId="0" fontId="87" fillId="0" borderId="0" xfId="0" applyNumberFormat="1" applyFont="1" applyFill="1" applyBorder="1"/>
    <xf numFmtId="164" fontId="4" fillId="0" borderId="0" xfId="1" applyNumberFormat="1" applyFont="1" applyFill="1" applyBorder="1" applyProtection="1">
      <protection locked="0"/>
    </xf>
    <xf numFmtId="164" fontId="77" fillId="0" borderId="0" xfId="1" applyNumberFormat="1" applyFont="1" applyFill="1" applyProtection="1"/>
    <xf numFmtId="164" fontId="77" fillId="13" borderId="0" xfId="0" applyNumberFormat="1" applyFont="1" applyFill="1" applyBorder="1"/>
    <xf numFmtId="0" fontId="77" fillId="13" borderId="0" xfId="0" applyFont="1" applyFill="1"/>
    <xf numFmtId="42" fontId="77" fillId="13" borderId="0" xfId="1" applyNumberFormat="1" applyFont="1" applyFill="1" applyBorder="1"/>
    <xf numFmtId="164" fontId="77" fillId="13" borderId="0" xfId="1" applyNumberFormat="1" applyFont="1" applyFill="1" applyBorder="1"/>
    <xf numFmtId="0" fontId="84" fillId="0" borderId="0" xfId="0" applyNumberFormat="1" applyFont="1" applyFill="1" applyBorder="1"/>
    <xf numFmtId="0" fontId="77" fillId="0" borderId="0" xfId="0" applyFont="1" applyFill="1" applyAlignment="1"/>
    <xf numFmtId="0" fontId="4" fillId="0" borderId="0" xfId="15" applyFont="1" applyFill="1" applyAlignment="1" applyProtection="1">
      <alignment horizontal="left"/>
    </xf>
    <xf numFmtId="0" fontId="82" fillId="0" borderId="0" xfId="0" applyNumberFormat="1" applyFont="1" applyAlignment="1">
      <alignment vertical="top" wrapText="1"/>
    </xf>
    <xf numFmtId="0" fontId="82" fillId="0" borderId="0" xfId="0" applyFont="1" applyAlignment="1">
      <alignment vertical="top" wrapText="1"/>
    </xf>
    <xf numFmtId="164" fontId="77" fillId="0" borderId="0" xfId="15" applyNumberFormat="1" applyFont="1" applyFill="1" applyProtection="1"/>
    <xf numFmtId="0" fontId="4" fillId="0" borderId="0" xfId="15" applyFont="1" applyFill="1" applyAlignment="1" applyProtection="1">
      <alignment horizontal="center" vertical="center"/>
    </xf>
    <xf numFmtId="0" fontId="77" fillId="0" borderId="0" xfId="15" applyFont="1" applyFill="1" applyAlignment="1" applyProtection="1">
      <alignment horizontal="center" vertical="center"/>
    </xf>
    <xf numFmtId="0" fontId="92" fillId="3" borderId="0" xfId="0" applyNumberFormat="1" applyFont="1" applyFill="1" applyAlignment="1">
      <alignment horizontal="left"/>
    </xf>
    <xf numFmtId="0" fontId="4" fillId="3" borderId="0" xfId="0" applyNumberFormat="1" applyFont="1" applyFill="1" applyAlignment="1">
      <alignment horizontal="center"/>
    </xf>
    <xf numFmtId="0" fontId="4" fillId="3" borderId="0" xfId="0" applyFont="1" applyFill="1"/>
    <xf numFmtId="0" fontId="4" fillId="3" borderId="0" xfId="0" applyNumberFormat="1" applyFont="1" applyFill="1" applyAlignment="1"/>
    <xf numFmtId="3" fontId="4" fillId="3" borderId="0" xfId="0" applyNumberFormat="1" applyFont="1" applyFill="1" applyAlignment="1">
      <alignment horizontal="center"/>
    </xf>
    <xf numFmtId="0" fontId="4" fillId="3" borderId="0" xfId="0" applyFont="1" applyFill="1" applyAlignment="1"/>
    <xf numFmtId="0" fontId="77" fillId="0" borderId="0" xfId="0" applyNumberFormat="1" applyFont="1" applyFill="1" applyProtection="1"/>
    <xf numFmtId="0" fontId="77" fillId="0" borderId="0" xfId="0" applyFont="1" applyFill="1" applyAlignment="1" applyProtection="1">
      <alignment horizontal="center"/>
    </xf>
    <xf numFmtId="0" fontId="4" fillId="0" borderId="0" xfId="17" applyFont="1"/>
    <xf numFmtId="0" fontId="93" fillId="0" borderId="0" xfId="17" applyFont="1" applyFill="1" applyAlignment="1">
      <alignment horizontal="center"/>
    </xf>
    <xf numFmtId="0" fontId="4" fillId="0" borderId="0" xfId="17" applyFont="1" applyFill="1" applyAlignment="1"/>
    <xf numFmtId="0" fontId="4" fillId="0" borderId="0" xfId="17" applyFont="1" applyFill="1" applyAlignment="1">
      <alignment horizontal="left"/>
    </xf>
    <xf numFmtId="0" fontId="4" fillId="0" borderId="0" xfId="17" applyFont="1" applyFill="1"/>
    <xf numFmtId="0" fontId="93" fillId="0" borderId="0" xfId="17" applyFont="1" applyFill="1"/>
    <xf numFmtId="0" fontId="5" fillId="0" borderId="3" xfId="17" applyFont="1" applyFill="1" applyBorder="1" applyAlignment="1">
      <alignment horizontal="left"/>
    </xf>
    <xf numFmtId="0" fontId="5" fillId="0" borderId="3" xfId="17" applyFont="1" applyFill="1" applyBorder="1"/>
    <xf numFmtId="0" fontId="5" fillId="0" borderId="3" xfId="17" applyFont="1" applyFill="1" applyBorder="1" applyAlignment="1">
      <alignment horizontal="center"/>
    </xf>
    <xf numFmtId="0" fontId="4" fillId="0" borderId="0" xfId="17" applyFont="1" applyFill="1" applyAlignment="1">
      <alignment horizontal="left" indent="1"/>
    </xf>
    <xf numFmtId="164" fontId="4" fillId="13" borderId="0" xfId="1" applyNumberFormat="1" applyFont="1" applyFill="1"/>
    <xf numFmtId="164" fontId="4" fillId="0" borderId="3" xfId="1" applyNumberFormat="1" applyFont="1" applyBorder="1"/>
    <xf numFmtId="164" fontId="4" fillId="0" borderId="3" xfId="1" applyNumberFormat="1" applyFont="1" applyFill="1" applyBorder="1"/>
    <xf numFmtId="0" fontId="93" fillId="0" borderId="0" xfId="16" applyFont="1" applyFill="1"/>
    <xf numFmtId="41" fontId="4" fillId="0" borderId="0" xfId="17" applyNumberFormat="1" applyFont="1" applyFill="1"/>
    <xf numFmtId="164" fontId="4" fillId="0" borderId="0" xfId="17" applyNumberFormat="1" applyFont="1" applyFill="1"/>
    <xf numFmtId="43" fontId="4" fillId="0" borderId="0" xfId="17" applyNumberFormat="1" applyFont="1" applyFill="1"/>
    <xf numFmtId="0" fontId="4" fillId="0" borderId="0" xfId="16" applyFont="1" applyFill="1"/>
    <xf numFmtId="164" fontId="4" fillId="0" borderId="0" xfId="18" applyNumberFormat="1" applyFont="1" applyFill="1"/>
    <xf numFmtId="0" fontId="5" fillId="0" borderId="3" xfId="16" applyFont="1" applyFill="1" applyBorder="1"/>
    <xf numFmtId="0" fontId="5" fillId="0" borderId="3" xfId="16" applyFont="1" applyFill="1" applyBorder="1" applyAlignment="1">
      <alignment horizontal="center"/>
    </xf>
    <xf numFmtId="37" fontId="4" fillId="2" borderId="0" xfId="16" applyNumberFormat="1" applyFont="1" applyFill="1"/>
    <xf numFmtId="0" fontId="4" fillId="0" borderId="0" xfId="16" applyFont="1" applyFill="1" applyAlignment="1">
      <alignment vertical="top" wrapText="1"/>
    </xf>
    <xf numFmtId="0" fontId="4" fillId="0" borderId="0" xfId="19" applyFont="1" applyFill="1" applyBorder="1"/>
    <xf numFmtId="41" fontId="5" fillId="0" borderId="0" xfId="16" applyNumberFormat="1" applyFont="1" applyFill="1" applyAlignment="1">
      <alignment horizontal="center"/>
    </xf>
    <xf numFmtId="0" fontId="5" fillId="0" borderId="0" xfId="19" applyFont="1" applyFill="1" applyBorder="1" applyAlignment="1">
      <alignment horizontal="center"/>
    </xf>
    <xf numFmtId="37" fontId="4" fillId="13" borderId="21" xfId="0" applyNumberFormat="1" applyFont="1" applyFill="1" applyBorder="1" applyAlignment="1">
      <alignment vertical="top"/>
    </xf>
    <xf numFmtId="0" fontId="4" fillId="13" borderId="21" xfId="0" applyFont="1" applyFill="1" applyBorder="1" applyAlignment="1">
      <alignment horizontal="left" vertical="top" wrapText="1"/>
    </xf>
    <xf numFmtId="0" fontId="78" fillId="0" borderId="29" xfId="16" applyFont="1" applyBorder="1"/>
    <xf numFmtId="0" fontId="4" fillId="0" borderId="31" xfId="0" applyFont="1" applyBorder="1"/>
    <xf numFmtId="0" fontId="4" fillId="0" borderId="31" xfId="0" applyFont="1" applyFill="1" applyBorder="1"/>
    <xf numFmtId="41" fontId="4" fillId="0" borderId="21" xfId="0" applyNumberFormat="1" applyFont="1" applyBorder="1"/>
    <xf numFmtId="0" fontId="4" fillId="0" borderId="21" xfId="0" applyFont="1" applyFill="1" applyBorder="1" applyAlignment="1">
      <alignment wrapText="1"/>
    </xf>
    <xf numFmtId="0" fontId="4" fillId="0" borderId="0" xfId="17" applyFont="1" applyBorder="1"/>
    <xf numFmtId="0" fontId="78" fillId="0" borderId="26" xfId="16" applyFont="1" applyBorder="1"/>
    <xf numFmtId="0" fontId="4" fillId="0" borderId="27" xfId="0" applyFont="1" applyBorder="1"/>
    <xf numFmtId="0" fontId="77" fillId="13" borderId="33" xfId="16" applyFont="1" applyFill="1" applyBorder="1"/>
    <xf numFmtId="0" fontId="4" fillId="13" borderId="27" xfId="16" applyFont="1" applyFill="1" applyBorder="1"/>
    <xf numFmtId="0" fontId="4" fillId="13" borderId="21" xfId="16" applyFont="1" applyFill="1" applyBorder="1"/>
    <xf numFmtId="41" fontId="4" fillId="13" borderId="21" xfId="0" applyNumberFormat="1" applyFont="1" applyFill="1" applyBorder="1"/>
    <xf numFmtId="41" fontId="4" fillId="2" borderId="21" xfId="0" applyNumberFormat="1" applyFont="1" applyFill="1" applyBorder="1"/>
    <xf numFmtId="0" fontId="15" fillId="2" borderId="21" xfId="16" applyFont="1" applyFill="1" applyBorder="1" applyAlignment="1">
      <alignment wrapText="1"/>
    </xf>
    <xf numFmtId="0" fontId="77" fillId="13" borderId="21" xfId="16" applyFont="1" applyFill="1" applyBorder="1"/>
    <xf numFmtId="0" fontId="4" fillId="13" borderId="31" xfId="16" applyFont="1" applyFill="1" applyBorder="1"/>
    <xf numFmtId="0" fontId="78" fillId="0" borderId="29" xfId="16" applyFont="1" applyFill="1" applyBorder="1"/>
    <xf numFmtId="0" fontId="4" fillId="0" borderId="31" xfId="16" applyFont="1" applyBorder="1"/>
    <xf numFmtId="0" fontId="4" fillId="0" borderId="31" xfId="16" applyFont="1" applyFill="1" applyBorder="1"/>
    <xf numFmtId="41" fontId="4" fillId="0" borderId="21" xfId="0" applyNumberFormat="1" applyFont="1" applyFill="1" applyBorder="1"/>
    <xf numFmtId="0" fontId="4" fillId="0" borderId="21" xfId="16" applyFont="1" applyFill="1" applyBorder="1" applyAlignment="1">
      <alignment wrapText="1"/>
    </xf>
    <xf numFmtId="0" fontId="13" fillId="0" borderId="34" xfId="17" applyFont="1" applyFill="1" applyBorder="1"/>
    <xf numFmtId="0" fontId="4" fillId="0" borderId="34" xfId="17" applyFont="1" applyBorder="1"/>
    <xf numFmtId="0" fontId="4" fillId="0" borderId="21" xfId="17" applyFont="1" applyFill="1" applyBorder="1"/>
    <xf numFmtId="41" fontId="4" fillId="0" borderId="21" xfId="17" applyNumberFormat="1" applyFont="1" applyFill="1" applyBorder="1"/>
    <xf numFmtId="0" fontId="4" fillId="0" borderId="21" xfId="17" applyFont="1" applyFill="1" applyBorder="1" applyAlignment="1">
      <alignment wrapText="1"/>
    </xf>
    <xf numFmtId="0" fontId="72" fillId="0" borderId="31" xfId="16" applyFont="1" applyFill="1" applyBorder="1" applyAlignment="1">
      <alignment horizontal="left" indent="1"/>
    </xf>
    <xf numFmtId="0" fontId="4" fillId="0" borderId="31" xfId="17" applyFont="1" applyFill="1" applyBorder="1"/>
    <xf numFmtId="173" fontId="4" fillId="2" borderId="0" xfId="16" applyNumberFormat="1" applyFont="1" applyFill="1"/>
    <xf numFmtId="0" fontId="13" fillId="0" borderId="0" xfId="17" applyFont="1" applyFill="1" applyBorder="1"/>
    <xf numFmtId="0" fontId="4" fillId="0" borderId="0" xfId="17" applyFont="1" applyFill="1" applyBorder="1"/>
    <xf numFmtId="41" fontId="4" fillId="0" borderId="0" xfId="17" applyNumberFormat="1" applyFont="1" applyFill="1" applyBorder="1"/>
    <xf numFmtId="0" fontId="4" fillId="0" borderId="0" xfId="17" applyFont="1" applyFill="1" applyBorder="1" applyAlignment="1">
      <alignment wrapText="1"/>
    </xf>
    <xf numFmtId="0" fontId="4" fillId="0" borderId="0" xfId="16" applyFont="1"/>
    <xf numFmtId="0" fontId="78" fillId="0" borderId="0" xfId="16" applyFont="1" applyFill="1" applyBorder="1"/>
    <xf numFmtId="0" fontId="4" fillId="0" borderId="0" xfId="16" applyFont="1" applyFill="1" applyBorder="1"/>
    <xf numFmtId="37" fontId="4" fillId="0" borderId="0" xfId="16" applyNumberFormat="1" applyFont="1" applyBorder="1"/>
    <xf numFmtId="37" fontId="4" fillId="0" borderId="0" xfId="16" applyNumberFormat="1" applyFont="1" applyFill="1" applyBorder="1"/>
    <xf numFmtId="37" fontId="4" fillId="0" borderId="0" xfId="16" applyNumberFormat="1" applyFont="1" applyFill="1" applyBorder="1" applyAlignment="1">
      <alignment horizontal="center"/>
    </xf>
    <xf numFmtId="0" fontId="4" fillId="0" borderId="0" xfId="16" applyFont="1" applyFill="1" applyBorder="1" applyAlignment="1">
      <alignment horizontal="center"/>
    </xf>
    <xf numFmtId="0" fontId="4" fillId="0" borderId="0" xfId="16" applyFont="1" applyFill="1" applyBorder="1" applyAlignment="1">
      <alignment wrapText="1"/>
    </xf>
    <xf numFmtId="0" fontId="4" fillId="0" borderId="0" xfId="16" applyFont="1" applyBorder="1"/>
    <xf numFmtId="37" fontId="4" fillId="0" borderId="0" xfId="16" applyNumberFormat="1" applyFont="1" applyFill="1" applyBorder="1" applyAlignment="1">
      <alignment wrapText="1"/>
    </xf>
    <xf numFmtId="0" fontId="78" fillId="0" borderId="0" xfId="16" applyFont="1" applyFill="1" applyBorder="1" applyAlignment="1">
      <alignment horizontal="left"/>
    </xf>
    <xf numFmtId="0" fontId="15" fillId="0" borderId="0" xfId="16" applyFont="1" applyFill="1" applyBorder="1" applyAlignment="1">
      <alignment wrapText="1"/>
    </xf>
    <xf numFmtId="0" fontId="4" fillId="0" borderId="0" xfId="17" applyFont="1" applyBorder="1" applyAlignment="1">
      <alignment horizontal="left"/>
    </xf>
    <xf numFmtId="37" fontId="4" fillId="0" borderId="0" xfId="17" applyNumberFormat="1" applyFont="1" applyBorder="1"/>
    <xf numFmtId="37" fontId="4" fillId="0" borderId="0" xfId="17" applyNumberFormat="1" applyFont="1" applyFill="1" applyBorder="1"/>
    <xf numFmtId="37" fontId="4" fillId="0" borderId="0" xfId="17" applyNumberFormat="1" applyFont="1" applyFill="1" applyBorder="1" applyAlignment="1">
      <alignment horizontal="center"/>
    </xf>
    <xf numFmtId="0" fontId="4" fillId="0" borderId="0" xfId="17" applyFont="1" applyFill="1" applyBorder="1" applyAlignment="1">
      <alignment horizontal="center"/>
    </xf>
    <xf numFmtId="0" fontId="5" fillId="0" borderId="0" xfId="19" applyFont="1" applyFill="1" applyBorder="1"/>
    <xf numFmtId="0" fontId="5" fillId="0" borderId="0" xfId="20" applyFont="1" applyFill="1" applyBorder="1" applyAlignment="1">
      <alignment horizontal="left"/>
    </xf>
    <xf numFmtId="41" fontId="5" fillId="0" borderId="0" xfId="20" applyNumberFormat="1" applyFont="1" applyFill="1" applyBorder="1" applyAlignment="1">
      <alignment horizontal="center"/>
    </xf>
    <xf numFmtId="41" fontId="4" fillId="0" borderId="0" xfId="20" applyNumberFormat="1" applyFont="1" applyFill="1" applyBorder="1" applyAlignment="1"/>
    <xf numFmtId="0" fontId="4" fillId="0" borderId="0" xfId="20" applyFont="1" applyFill="1" applyBorder="1" applyAlignment="1"/>
    <xf numFmtId="0" fontId="5" fillId="0" borderId="0" xfId="20" applyFont="1" applyFill="1" applyBorder="1" applyAlignment="1">
      <alignment horizontal="center"/>
    </xf>
    <xf numFmtId="0" fontId="4" fillId="0" borderId="0" xfId="20" applyFont="1" applyFill="1" applyBorder="1"/>
    <xf numFmtId="41" fontId="4" fillId="0" borderId="0" xfId="20" applyNumberFormat="1" applyFont="1" applyFill="1" applyBorder="1"/>
    <xf numFmtId="0" fontId="4" fillId="0" borderId="0" xfId="20" applyFont="1" applyFill="1"/>
    <xf numFmtId="0" fontId="93" fillId="0" borderId="0" xfId="20" applyFont="1" applyFill="1" applyBorder="1"/>
    <xf numFmtId="0" fontId="13" fillId="0" borderId="0" xfId="20" applyFont="1" applyFill="1" applyBorder="1"/>
    <xf numFmtId="0" fontId="4" fillId="13" borderId="31" xfId="0" applyFont="1" applyFill="1" applyBorder="1" applyAlignment="1">
      <alignment vertical="top"/>
    </xf>
    <xf numFmtId="0" fontId="4" fillId="13" borderId="29" xfId="0" applyFont="1" applyFill="1" applyBorder="1" applyAlignment="1">
      <alignment vertical="top"/>
    </xf>
    <xf numFmtId="0" fontId="78" fillId="0" borderId="23" xfId="16" applyFont="1" applyFill="1" applyBorder="1"/>
    <xf numFmtId="0" fontId="4" fillId="0" borderId="24" xfId="16" applyFont="1" applyBorder="1"/>
    <xf numFmtId="0" fontId="13" fillId="0" borderId="29" xfId="17" applyFont="1" applyFill="1" applyBorder="1"/>
    <xf numFmtId="0" fontId="4" fillId="0" borderId="31" xfId="17" applyFont="1" applyBorder="1"/>
    <xf numFmtId="0" fontId="72" fillId="0" borderId="27" xfId="16" applyFont="1" applyFill="1" applyBorder="1" applyAlignment="1">
      <alignment horizontal="left" indent="1"/>
    </xf>
    <xf numFmtId="0" fontId="93" fillId="0" borderId="0" xfId="16" applyFont="1" applyFill="1" applyBorder="1" applyAlignment="1"/>
    <xf numFmtId="0" fontId="72" fillId="0" borderId="0" xfId="16" applyFont="1" applyFill="1" applyBorder="1" applyAlignment="1">
      <alignment horizontal="left" indent="1"/>
    </xf>
    <xf numFmtId="0" fontId="5" fillId="0" borderId="0" xfId="16" applyFont="1" applyFill="1" applyBorder="1"/>
    <xf numFmtId="41" fontId="4" fillId="0" borderId="0" xfId="16" applyNumberFormat="1" applyFont="1" applyFill="1" applyBorder="1"/>
    <xf numFmtId="0" fontId="4" fillId="0" borderId="0" xfId="21" applyFont="1" applyFill="1"/>
    <xf numFmtId="0" fontId="4" fillId="0" borderId="0" xfId="21" applyFont="1" applyFill="1" applyBorder="1"/>
    <xf numFmtId="41" fontId="13" fillId="0" borderId="0" xfId="21" applyNumberFormat="1" applyFont="1" applyFill="1" applyBorder="1" applyAlignment="1">
      <alignment horizontal="left"/>
    </xf>
    <xf numFmtId="41" fontId="4" fillId="0" borderId="0" xfId="21" applyNumberFormat="1" applyFont="1" applyFill="1" applyBorder="1"/>
    <xf numFmtId="41" fontId="4" fillId="0" borderId="0" xfId="20" applyNumberFormat="1" applyFont="1" applyFill="1" applyBorder="1" applyAlignment="1">
      <alignment horizontal="center"/>
    </xf>
    <xf numFmtId="0" fontId="4" fillId="0" borderId="0" xfId="20" applyFont="1" applyFill="1" applyBorder="1" applyAlignment="1">
      <alignment horizontal="center"/>
    </xf>
    <xf numFmtId="0" fontId="4" fillId="13" borderId="21" xfId="0" applyFont="1" applyFill="1" applyBorder="1" applyAlignment="1">
      <alignment horizontal="left" wrapText="1"/>
    </xf>
    <xf numFmtId="164" fontId="4" fillId="2" borderId="21" xfId="1" applyNumberFormat="1" applyFont="1" applyFill="1" applyBorder="1"/>
    <xf numFmtId="0" fontId="28" fillId="13" borderId="21" xfId="0" applyFont="1" applyFill="1" applyBorder="1"/>
    <xf numFmtId="0" fontId="4" fillId="13" borderId="21" xfId="0" applyFont="1" applyFill="1" applyBorder="1"/>
    <xf numFmtId="0" fontId="15" fillId="0" borderId="21" xfId="0" applyFont="1" applyFill="1" applyBorder="1" applyAlignment="1">
      <alignment wrapText="1"/>
    </xf>
    <xf numFmtId="41" fontId="4" fillId="0" borderId="0" xfId="21" applyNumberFormat="1" applyFont="1" applyFill="1" applyBorder="1" applyAlignment="1"/>
    <xf numFmtId="0" fontId="4" fillId="0" borderId="0" xfId="19" applyFont="1" applyFill="1" applyBorder="1" applyAlignment="1"/>
    <xf numFmtId="41" fontId="57" fillId="0" borderId="0" xfId="21" applyNumberFormat="1" applyFont="1" applyFill="1" applyBorder="1"/>
    <xf numFmtId="0" fontId="5" fillId="0" borderId="0" xfId="22" applyFont="1" applyFill="1" applyBorder="1"/>
    <xf numFmtId="0" fontId="4" fillId="0" borderId="0" xfId="22" applyFont="1" applyFill="1" applyBorder="1"/>
    <xf numFmtId="41" fontId="81" fillId="0" borderId="0" xfId="22" applyNumberFormat="1" applyFont="1" applyFill="1" applyBorder="1" applyAlignment="1">
      <alignment horizontal="left"/>
    </xf>
    <xf numFmtId="41" fontId="5" fillId="0" borderId="0" xfId="0" applyNumberFormat="1" applyFont="1" applyFill="1" applyBorder="1" applyAlignment="1">
      <alignment horizontal="center"/>
    </xf>
    <xf numFmtId="0" fontId="4" fillId="0" borderId="35" xfId="0" applyFont="1" applyFill="1" applyBorder="1" applyAlignment="1">
      <alignment horizontal="left"/>
    </xf>
    <xf numFmtId="0" fontId="4" fillId="0" borderId="29" xfId="0" applyFont="1" applyFill="1" applyBorder="1"/>
    <xf numFmtId="164" fontId="4" fillId="0" borderId="21" xfId="0" applyNumberFormat="1" applyFont="1" applyFill="1" applyBorder="1" applyAlignment="1">
      <alignment wrapText="1"/>
    </xf>
    <xf numFmtId="164" fontId="4" fillId="0" borderId="29" xfId="0" applyNumberFormat="1" applyFont="1" applyFill="1" applyBorder="1" applyAlignment="1">
      <alignment wrapText="1"/>
    </xf>
    <xf numFmtId="164" fontId="4" fillId="2" borderId="21" xfId="23" applyNumberFormat="1" applyFont="1" applyFill="1" applyBorder="1" applyAlignment="1">
      <alignment wrapText="1"/>
    </xf>
    <xf numFmtId="164" fontId="4" fillId="2" borderId="29" xfId="23" applyNumberFormat="1" applyFont="1" applyFill="1" applyBorder="1" applyAlignment="1">
      <alignment wrapText="1"/>
    </xf>
    <xf numFmtId="0" fontId="4" fillId="0" borderId="21" xfId="22" applyFont="1" applyFill="1" applyBorder="1"/>
    <xf numFmtId="0" fontId="4" fillId="0" borderId="29" xfId="22" applyFont="1" applyFill="1" applyBorder="1"/>
    <xf numFmtId="40" fontId="4" fillId="0" borderId="21" xfId="0" applyNumberFormat="1" applyFont="1" applyFill="1" applyBorder="1" applyAlignment="1">
      <alignment vertical="top"/>
    </xf>
    <xf numFmtId="40" fontId="4" fillId="0" borderId="21" xfId="22" applyNumberFormat="1" applyFont="1" applyFill="1" applyBorder="1" applyAlignment="1">
      <alignment vertical="top"/>
    </xf>
    <xf numFmtId="40" fontId="4" fillId="0" borderId="29" xfId="22" applyNumberFormat="1" applyFont="1" applyFill="1" applyBorder="1" applyAlignment="1">
      <alignment vertical="top"/>
    </xf>
    <xf numFmtId="40" fontId="4" fillId="0" borderId="25" xfId="0" applyNumberFormat="1" applyFont="1" applyFill="1" applyBorder="1" applyAlignment="1">
      <alignment vertical="top"/>
    </xf>
    <xf numFmtId="40" fontId="4" fillId="0" borderId="0" xfId="0" applyNumberFormat="1" applyFont="1" applyFill="1" applyBorder="1" applyAlignment="1">
      <alignment vertical="top"/>
    </xf>
    <xf numFmtId="43" fontId="89" fillId="0" borderId="25" xfId="0" applyNumberFormat="1" applyFont="1" applyFill="1" applyBorder="1"/>
    <xf numFmtId="164" fontId="4" fillId="0" borderId="21" xfId="23" applyNumberFormat="1" applyFont="1" applyFill="1" applyBorder="1"/>
    <xf numFmtId="164" fontId="4" fillId="0" borderId="29" xfId="23" applyNumberFormat="1" applyFont="1" applyFill="1" applyBorder="1"/>
    <xf numFmtId="0" fontId="4" fillId="0" borderId="25" xfId="0" applyFont="1" applyBorder="1"/>
    <xf numFmtId="0" fontId="4" fillId="0" borderId="35" xfId="0" applyFont="1" applyFill="1" applyBorder="1"/>
    <xf numFmtId="0" fontId="4" fillId="0" borderId="36" xfId="0" applyFont="1" applyFill="1" applyBorder="1" applyAlignment="1">
      <alignment horizontal="left"/>
    </xf>
    <xf numFmtId="0" fontId="4" fillId="0" borderId="37" xfId="0" applyFont="1" applyFill="1" applyBorder="1"/>
    <xf numFmtId="164" fontId="4" fillId="0" borderId="37" xfId="0" applyNumberFormat="1" applyFont="1" applyFill="1" applyBorder="1"/>
    <xf numFmtId="164" fontId="4" fillId="0" borderId="38" xfId="0" applyNumberFormat="1" applyFont="1" applyFill="1" applyBorder="1"/>
    <xf numFmtId="0" fontId="6" fillId="7" borderId="9" xfId="0" applyNumberFormat="1" applyFont="1" applyFill="1" applyBorder="1" applyAlignment="1">
      <alignment horizontal="center"/>
    </xf>
    <xf numFmtId="0" fontId="6" fillId="0" borderId="0" xfId="0" applyNumberFormat="1" applyFont="1" applyFill="1" applyBorder="1" applyAlignment="1">
      <alignment horizontal="center"/>
    </xf>
    <xf numFmtId="0" fontId="67" fillId="5" borderId="0" xfId="0" applyNumberFormat="1" applyFont="1" applyFill="1" applyBorder="1" applyAlignment="1">
      <alignment horizontal="center"/>
    </xf>
    <xf numFmtId="3" fontId="8" fillId="0" borderId="0" xfId="0" applyNumberFormat="1" applyFont="1" applyBorder="1" applyAlignment="1">
      <alignment horizontal="right"/>
    </xf>
    <xf numFmtId="0" fontId="6" fillId="0" borderId="0" xfId="0" applyNumberFormat="1" applyFont="1" applyFill="1" applyAlignment="1">
      <alignment horizontal="left"/>
    </xf>
    <xf numFmtId="3" fontId="10" fillId="0" borderId="0" xfId="0" applyNumberFormat="1" applyFont="1" applyAlignment="1">
      <alignment horizontal="right"/>
    </xf>
    <xf numFmtId="0" fontId="56" fillId="0" borderId="0" xfId="0" applyNumberFormat="1" applyFont="1" applyFill="1" applyAlignment="1">
      <alignment horizontal="left"/>
    </xf>
    <xf numFmtId="3" fontId="10" fillId="0" borderId="0" xfId="0" applyNumberFormat="1" applyFont="1" applyFill="1" applyAlignment="1">
      <alignment horizontal="right"/>
    </xf>
    <xf numFmtId="3" fontId="10" fillId="0" borderId="1" xfId="0" applyNumberFormat="1" applyFont="1" applyBorder="1" applyAlignment="1">
      <alignment horizontal="right"/>
    </xf>
    <xf numFmtId="3" fontId="10" fillId="0" borderId="3" xfId="0" applyNumberFormat="1" applyFont="1" applyBorder="1" applyAlignment="1">
      <alignment horizontal="right"/>
    </xf>
    <xf numFmtId="3" fontId="94" fillId="0" borderId="1" xfId="0" applyNumberFormat="1" applyFont="1" applyBorder="1" applyAlignment="1">
      <alignment horizontal="right"/>
    </xf>
    <xf numFmtId="171" fontId="8" fillId="0" borderId="0" xfId="5" applyNumberFormat="1" applyFont="1" applyAlignment="1">
      <alignment horizontal="right"/>
    </xf>
    <xf numFmtId="3" fontId="6" fillId="0" borderId="0" xfId="0" applyNumberFormat="1" applyFont="1" applyBorder="1" applyAlignment="1">
      <alignment horizontal="right"/>
    </xf>
    <xf numFmtId="0" fontId="67" fillId="5" borderId="0" xfId="0" applyFont="1" applyFill="1" applyAlignment="1">
      <alignment horizontal="left"/>
    </xf>
    <xf numFmtId="0" fontId="67" fillId="5" borderId="0" xfId="0" applyNumberFormat="1" applyFont="1" applyFill="1" applyAlignment="1">
      <alignment horizontal="left"/>
    </xf>
    <xf numFmtId="0" fontId="67" fillId="5" borderId="0" xfId="0" applyNumberFormat="1" applyFont="1" applyFill="1" applyAlignment="1">
      <alignment horizontal="center"/>
    </xf>
    <xf numFmtId="3" fontId="6" fillId="0" borderId="0" xfId="0" applyNumberFormat="1" applyFont="1" applyFill="1" applyAlignment="1">
      <alignment horizontal="right"/>
    </xf>
    <xf numFmtId="3" fontId="8" fillId="2" borderId="0" xfId="0" applyNumberFormat="1" applyFont="1" applyFill="1" applyAlignment="1">
      <alignment horizontal="right"/>
    </xf>
    <xf numFmtId="173" fontId="10" fillId="0" borderId="0" xfId="0" applyNumberFormat="1" applyFont="1" applyAlignment="1">
      <alignment horizontal="right"/>
    </xf>
    <xf numFmtId="3" fontId="6" fillId="13" borderId="0" xfId="0" applyNumberFormat="1" applyFont="1" applyFill="1" applyAlignment="1">
      <alignment horizontal="right"/>
    </xf>
    <xf numFmtId="3" fontId="8" fillId="0" borderId="0" xfId="0" applyNumberFormat="1" applyFont="1" applyAlignment="1">
      <alignment horizontal="right"/>
    </xf>
    <xf numFmtId="0" fontId="6" fillId="0" borderId="2" xfId="0" applyNumberFormat="1" applyFont="1" applyFill="1" applyBorder="1" applyAlignment="1">
      <alignment horizontal="left"/>
    </xf>
    <xf numFmtId="0" fontId="8" fillId="0" borderId="0" xfId="0" applyNumberFormat="1" applyFont="1" applyFill="1"/>
    <xf numFmtId="10" fontId="8" fillId="2" borderId="0" xfId="0" applyNumberFormat="1" applyFont="1" applyFill="1"/>
    <xf numFmtId="10" fontId="8" fillId="0" borderId="0" xfId="0" applyNumberFormat="1" applyFont="1" applyFill="1"/>
    <xf numFmtId="3" fontId="10" fillId="0" borderId="0" xfId="0" applyNumberFormat="1" applyFont="1" applyBorder="1" applyAlignment="1">
      <alignment horizontal="right"/>
    </xf>
    <xf numFmtId="3" fontId="10" fillId="0" borderId="0" xfId="0" applyNumberFormat="1" applyFont="1" applyFill="1" applyBorder="1" applyAlignment="1">
      <alignment horizontal="right"/>
    </xf>
    <xf numFmtId="0" fontId="67" fillId="0" borderId="0" xfId="0" applyFont="1" applyFill="1" applyAlignment="1">
      <alignment horizontal="left"/>
    </xf>
    <xf numFmtId="37" fontId="8" fillId="0" borderId="0" xfId="0" applyNumberFormat="1" applyFont="1" applyBorder="1" applyAlignment="1">
      <alignment horizontal="left"/>
    </xf>
    <xf numFmtId="0" fontId="11" fillId="0" borderId="0" xfId="0" applyFont="1" applyBorder="1" applyAlignment="1">
      <alignment horizontal="center"/>
    </xf>
    <xf numFmtId="37" fontId="8" fillId="0" borderId="0" xfId="0" applyNumberFormat="1" applyFont="1" applyFill="1" applyBorder="1" applyAlignment="1">
      <alignment horizontal="left"/>
    </xf>
    <xf numFmtId="37" fontId="6" fillId="0" borderId="0" xfId="0" applyNumberFormat="1" applyFont="1" applyBorder="1" applyAlignment="1">
      <alignment horizontal="right"/>
    </xf>
    <xf numFmtId="37" fontId="6" fillId="0" borderId="0" xfId="0" applyNumberFormat="1" applyFont="1" applyFill="1" applyBorder="1" applyAlignment="1">
      <alignment horizontal="right"/>
    </xf>
    <xf numFmtId="0" fontId="11" fillId="0" borderId="0" xfId="0" applyFont="1" applyFill="1" applyBorder="1" applyAlignment="1">
      <alignment horizontal="center"/>
    </xf>
    <xf numFmtId="170" fontId="8" fillId="0" borderId="0" xfId="4" applyFont="1" applyFill="1" applyAlignment="1" applyProtection="1">
      <protection locked="0"/>
    </xf>
    <xf numFmtId="0" fontId="8" fillId="0" borderId="0" xfId="0" applyFont="1" applyAlignment="1">
      <alignment vertical="center"/>
    </xf>
    <xf numFmtId="0" fontId="73" fillId="0" borderId="0" xfId="0" applyFont="1" applyAlignment="1">
      <alignment vertical="center"/>
    </xf>
    <xf numFmtId="0" fontId="96" fillId="0" borderId="0" xfId="0" applyFont="1" applyAlignment="1">
      <alignment horizontal="center" vertical="center"/>
    </xf>
    <xf numFmtId="0" fontId="10" fillId="0" borderId="0" xfId="0" applyFont="1" applyFill="1" applyBorder="1" applyAlignment="1">
      <alignment horizontal="right"/>
    </xf>
    <xf numFmtId="3" fontId="8" fillId="0" borderId="0" xfId="1" applyNumberFormat="1" applyFont="1" applyFill="1" applyBorder="1" applyAlignment="1">
      <alignment horizontal="right"/>
    </xf>
    <xf numFmtId="0" fontId="97" fillId="0" borderId="0" xfId="0" applyFont="1"/>
    <xf numFmtId="170" fontId="8" fillId="0" borderId="0" xfId="4" applyFont="1" applyFill="1" applyAlignment="1" applyProtection="1"/>
    <xf numFmtId="172" fontId="8" fillId="0" borderId="0" xfId="1" applyNumberFormat="1" applyFont="1" applyFill="1"/>
    <xf numFmtId="10" fontId="8" fillId="0" borderId="0" xfId="24" applyNumberFormat="1" applyFont="1" applyAlignment="1"/>
    <xf numFmtId="172" fontId="8" fillId="0" borderId="0" xfId="0" applyNumberFormat="1" applyFont="1" applyFill="1"/>
    <xf numFmtId="0" fontId="8" fillId="0" borderId="1" xfId="0" applyNumberFormat="1" applyFont="1" applyBorder="1" applyAlignment="1">
      <alignment horizontal="left"/>
    </xf>
    <xf numFmtId="3" fontId="12" fillId="0" borderId="0" xfId="0" applyNumberFormat="1" applyFont="1" applyBorder="1" applyAlignment="1">
      <alignment horizontal="right"/>
    </xf>
    <xf numFmtId="3" fontId="8" fillId="13" borderId="0" xfId="0" applyNumberFormat="1" applyFont="1" applyFill="1"/>
    <xf numFmtId="3" fontId="8" fillId="13" borderId="3" xfId="0" applyNumberFormat="1" applyFont="1" applyFill="1" applyBorder="1"/>
    <xf numFmtId="0" fontId="12" fillId="0" borderId="3" xfId="0" applyNumberFormat="1" applyFont="1" applyFill="1" applyBorder="1" applyAlignment="1">
      <alignment horizontal="center"/>
    </xf>
    <xf numFmtId="0" fontId="7" fillId="11" borderId="4" xfId="0" applyFont="1" applyFill="1" applyBorder="1"/>
    <xf numFmtId="0" fontId="7" fillId="11" borderId="4" xfId="0" applyFont="1" applyFill="1" applyBorder="1" applyAlignment="1">
      <alignment horizontal="left"/>
    </xf>
    <xf numFmtId="0" fontId="7" fillId="11" borderId="13" xfId="0" applyFont="1" applyFill="1" applyBorder="1" applyAlignment="1">
      <alignment horizontal="left"/>
    </xf>
    <xf numFmtId="0" fontId="85" fillId="15" borderId="0" xfId="0" applyNumberFormat="1" applyFont="1" applyFill="1" applyBorder="1" applyAlignment="1">
      <alignment horizontal="center"/>
    </xf>
    <xf numFmtId="0" fontId="85" fillId="15" borderId="0" xfId="0" applyNumberFormat="1" applyFont="1" applyFill="1" applyBorder="1" applyAlignment="1">
      <alignment horizontal="left"/>
    </xf>
    <xf numFmtId="2" fontId="85" fillId="15" borderId="0" xfId="0" applyNumberFormat="1" applyFont="1" applyFill="1" applyBorder="1" applyAlignment="1">
      <alignment horizontal="center"/>
    </xf>
    <xf numFmtId="164" fontId="53" fillId="15" borderId="0" xfId="25" applyNumberFormat="1" applyFont="1" applyFill="1" applyBorder="1" applyAlignment="1">
      <alignment horizontal="center"/>
    </xf>
    <xf numFmtId="164" fontId="85" fillId="15" borderId="0" xfId="25" applyNumberFormat="1" applyFont="1" applyFill="1" applyBorder="1"/>
    <xf numFmtId="164" fontId="85" fillId="15" borderId="0" xfId="0" applyNumberFormat="1" applyFont="1" applyFill="1" applyBorder="1"/>
    <xf numFmtId="0" fontId="53" fillId="15" borderId="0" xfId="0" applyFont="1" applyFill="1" applyBorder="1" applyAlignment="1">
      <alignment horizontal="center"/>
    </xf>
    <xf numFmtId="0" fontId="85" fillId="15" borderId="0" xfId="0" applyFont="1" applyFill="1" applyBorder="1" applyAlignment="1">
      <alignment horizontal="center"/>
    </xf>
    <xf numFmtId="0" fontId="85" fillId="15" borderId="7" xfId="0" applyFont="1" applyFill="1" applyBorder="1" applyAlignment="1">
      <alignment horizontal="center"/>
    </xf>
    <xf numFmtId="0" fontId="53" fillId="15" borderId="0" xfId="0" applyNumberFormat="1" applyFont="1" applyFill="1" applyBorder="1" applyAlignment="1">
      <alignment horizontal="left"/>
    </xf>
    <xf numFmtId="1" fontId="85" fillId="15" borderId="0" xfId="0" applyNumberFormat="1" applyFont="1" applyFill="1" applyBorder="1" applyAlignment="1">
      <alignment horizontal="center"/>
    </xf>
    <xf numFmtId="37" fontId="85" fillId="15" borderId="0" xfId="0" applyNumberFormat="1" applyFont="1" applyFill="1" applyBorder="1"/>
    <xf numFmtId="0" fontId="85" fillId="15" borderId="0" xfId="0" applyNumberFormat="1" applyFont="1" applyFill="1" applyBorder="1" applyAlignment="1"/>
    <xf numFmtId="0" fontId="85" fillId="15" borderId="7" xfId="0" applyNumberFormat="1" applyFont="1" applyFill="1" applyBorder="1" applyAlignment="1"/>
    <xf numFmtId="0" fontId="98" fillId="15" borderId="0" xfId="0" applyNumberFormat="1" applyFont="1" applyFill="1" applyBorder="1" applyAlignment="1">
      <alignment horizontal="left"/>
    </xf>
    <xf numFmtId="164" fontId="53" fillId="15" borderId="3" xfId="25" applyNumberFormat="1" applyFont="1" applyFill="1" applyBorder="1" applyAlignment="1">
      <alignment horizontal="center"/>
    </xf>
    <xf numFmtId="164" fontId="85" fillId="15" borderId="0" xfId="25" applyNumberFormat="1" applyFont="1" applyFill="1" applyBorder="1" applyAlignment="1">
      <alignment horizontal="center"/>
    </xf>
    <xf numFmtId="167" fontId="85" fillId="13" borderId="0" xfId="26" applyNumberFormat="1" applyFont="1" applyFill="1" applyBorder="1"/>
    <xf numFmtId="167" fontId="85" fillId="15" borderId="0" xfId="26" applyNumberFormat="1" applyFont="1" applyFill="1" applyBorder="1" applyAlignment="1">
      <alignment horizontal="center"/>
    </xf>
    <xf numFmtId="10" fontId="85" fillId="13" borderId="0" xfId="24" applyNumberFormat="1" applyFont="1" applyFill="1" applyBorder="1" applyAlignment="1">
      <alignment horizontal="center"/>
    </xf>
    <xf numFmtId="164" fontId="85" fillId="15" borderId="0" xfId="25" quotePrefix="1" applyNumberFormat="1" applyFont="1" applyFill="1" applyBorder="1" applyAlignment="1">
      <alignment horizontal="center"/>
    </xf>
    <xf numFmtId="167" fontId="85" fillId="15" borderId="0" xfId="26" applyNumberFormat="1" applyFont="1" applyFill="1" applyBorder="1"/>
    <xf numFmtId="0" fontId="30" fillId="15" borderId="0" xfId="25" applyNumberFormat="1" applyFont="1" applyFill="1" applyBorder="1" applyAlignment="1"/>
    <xf numFmtId="0" fontId="30" fillId="15" borderId="7" xfId="25" applyNumberFormat="1" applyFont="1" applyFill="1" applyBorder="1" applyAlignment="1"/>
    <xf numFmtId="0" fontId="85" fillId="15" borderId="0" xfId="0" applyNumberFormat="1" applyFont="1" applyFill="1" applyBorder="1" applyAlignment="1">
      <alignment horizontal="left" indent="1"/>
    </xf>
    <xf numFmtId="164" fontId="85" fillId="13" borderId="0" xfId="1" applyNumberFormat="1" applyFont="1" applyFill="1" applyBorder="1"/>
    <xf numFmtId="0" fontId="30" fillId="15" borderId="0" xfId="26" applyNumberFormat="1" applyFont="1" applyFill="1" applyBorder="1" applyAlignment="1"/>
    <xf numFmtId="0" fontId="30" fillId="15" borderId="7" xfId="26" applyNumberFormat="1" applyFont="1" applyFill="1" applyBorder="1" applyAlignment="1"/>
    <xf numFmtId="0" fontId="30" fillId="0" borderId="0" xfId="0" applyNumberFormat="1" applyFont="1" applyBorder="1" applyAlignment="1">
      <alignment horizontal="left" indent="1"/>
    </xf>
    <xf numFmtId="0" fontId="53" fillId="15" borderId="0" xfId="0" applyNumberFormat="1" applyFont="1" applyFill="1" applyBorder="1" applyAlignment="1">
      <alignment horizontal="left" vertical="top"/>
    </xf>
    <xf numFmtId="167" fontId="85" fillId="15" borderId="2" xfId="26" applyNumberFormat="1" applyFont="1" applyFill="1" applyBorder="1"/>
    <xf numFmtId="0" fontId="85" fillId="15" borderId="9" xfId="0" applyNumberFormat="1" applyFont="1" applyFill="1" applyBorder="1" applyAlignment="1">
      <alignment horizontal="center"/>
    </xf>
    <xf numFmtId="164" fontId="85" fillId="15" borderId="9" xfId="25" applyNumberFormat="1" applyFont="1" applyFill="1" applyBorder="1"/>
    <xf numFmtId="164" fontId="85" fillId="15" borderId="9" xfId="0" applyNumberFormat="1" applyFont="1" applyFill="1" applyBorder="1"/>
    <xf numFmtId="0" fontId="53" fillId="15" borderId="9" xfId="0" applyFont="1" applyFill="1" applyBorder="1" applyAlignment="1">
      <alignment horizontal="center"/>
    </xf>
    <xf numFmtId="0" fontId="85" fillId="15" borderId="9" xfId="0" applyFont="1" applyFill="1" applyBorder="1" applyAlignment="1">
      <alignment horizontal="center"/>
    </xf>
    <xf numFmtId="0" fontId="85" fillId="15" borderId="10" xfId="0" applyFont="1" applyFill="1" applyBorder="1" applyAlignment="1">
      <alignment horizontal="center"/>
    </xf>
    <xf numFmtId="0" fontId="97" fillId="0" borderId="0" xfId="15" applyFont="1" applyFill="1" applyProtection="1"/>
    <xf numFmtId="0" fontId="97" fillId="0" borderId="0" xfId="15" applyFont="1" applyFill="1" applyAlignment="1" applyProtection="1">
      <alignment horizontal="left"/>
    </xf>
    <xf numFmtId="0" fontId="97" fillId="0" borderId="0" xfId="15" applyNumberFormat="1" applyFont="1" applyFill="1" applyAlignment="1" applyProtection="1">
      <alignment horizontal="left"/>
    </xf>
    <xf numFmtId="0" fontId="100" fillId="0" borderId="0" xfId="15" applyFont="1" applyFill="1" applyBorder="1" applyProtection="1"/>
    <xf numFmtId="0" fontId="97" fillId="0" borderId="0" xfId="15" applyFont="1" applyFill="1" applyAlignment="1" applyProtection="1">
      <alignment horizontal="center"/>
    </xf>
    <xf numFmtId="0" fontId="99" fillId="0" borderId="0" xfId="0" applyFont="1" applyFill="1" applyAlignment="1">
      <alignment horizontal="left"/>
    </xf>
    <xf numFmtId="0" fontId="78" fillId="0" borderId="0" xfId="0" applyFont="1" applyFill="1" applyAlignment="1">
      <alignment horizontal="right"/>
    </xf>
    <xf numFmtId="164" fontId="77" fillId="0" borderId="0" xfId="0" applyNumberFormat="1" applyFont="1" applyFill="1" applyBorder="1" applyAlignment="1">
      <alignment horizontal="right"/>
    </xf>
    <xf numFmtId="41" fontId="5" fillId="0" borderId="0" xfId="22" applyNumberFormat="1" applyFont="1" applyFill="1" applyBorder="1" applyAlignment="1">
      <alignment horizontal="center" wrapText="1"/>
    </xf>
    <xf numFmtId="0" fontId="67" fillId="0" borderId="0" xfId="0" applyFont="1" applyFill="1" applyBorder="1" applyAlignment="1">
      <alignment horizontal="center" wrapText="1"/>
    </xf>
    <xf numFmtId="43" fontId="67" fillId="0" borderId="0" xfId="0" applyNumberFormat="1" applyFont="1" applyFill="1"/>
    <xf numFmtId="0" fontId="8" fillId="0" borderId="0" xfId="0" applyFont="1" applyFill="1" applyBorder="1" applyAlignment="1">
      <alignment horizontal="right"/>
    </xf>
    <xf numFmtId="0" fontId="97" fillId="0" borderId="0" xfId="0" applyFont="1" applyFill="1"/>
    <xf numFmtId="0" fontId="5" fillId="0" borderId="0" xfId="16" applyFont="1" applyFill="1" applyAlignment="1">
      <alignment horizontal="center"/>
    </xf>
    <xf numFmtId="41" fontId="5" fillId="0" borderId="3" xfId="16" applyNumberFormat="1" applyFont="1" applyFill="1" applyBorder="1" applyAlignment="1">
      <alignment horizontal="center"/>
    </xf>
    <xf numFmtId="3" fontId="8" fillId="2" borderId="0" xfId="1" applyNumberFormat="1" applyFont="1" applyFill="1" applyAlignment="1"/>
    <xf numFmtId="3" fontId="8" fillId="0" borderId="1" xfId="1" applyNumberFormat="1" applyFont="1" applyFill="1" applyBorder="1" applyAlignment="1">
      <alignment horizontal="right"/>
    </xf>
    <xf numFmtId="3" fontId="8" fillId="2" borderId="3" xfId="1" applyNumberFormat="1" applyFont="1" applyFill="1" applyBorder="1" applyAlignment="1"/>
    <xf numFmtId="0" fontId="5" fillId="0" borderId="0" xfId="20" applyFont="1" applyFill="1" applyBorder="1"/>
    <xf numFmtId="0" fontId="5" fillId="0" borderId="0" xfId="16" applyFont="1" applyFill="1"/>
    <xf numFmtId="0" fontId="4" fillId="0" borderId="0" xfId="16" applyFont="1" applyFill="1" applyAlignment="1">
      <alignment horizontal="left" indent="1"/>
    </xf>
    <xf numFmtId="0" fontId="4" fillId="0" borderId="26" xfId="16" applyFont="1" applyFill="1" applyBorder="1" applyAlignment="1">
      <alignment horizontal="left" indent="1"/>
    </xf>
    <xf numFmtId="0" fontId="4" fillId="0" borderId="29" xfId="16" applyFont="1" applyFill="1" applyBorder="1" applyAlignment="1">
      <alignment horizontal="left" indent="1"/>
    </xf>
    <xf numFmtId="0" fontId="5" fillId="0" borderId="29" xfId="16" applyFont="1" applyFill="1" applyBorder="1" applyAlignment="1"/>
    <xf numFmtId="3" fontId="8" fillId="0" borderId="0" xfId="1" applyNumberFormat="1" applyFont="1" applyFill="1"/>
    <xf numFmtId="3" fontId="8" fillId="0" borderId="3" xfId="1" applyNumberFormat="1" applyFont="1" applyFill="1" applyBorder="1"/>
    <xf numFmtId="0" fontId="78" fillId="0" borderId="0" xfId="0" applyFont="1" applyBorder="1" applyAlignment="1">
      <alignment horizontal="left" vertical="center" indent="1"/>
    </xf>
    <xf numFmtId="0" fontId="85" fillId="15" borderId="6" xfId="0" applyNumberFormat="1" applyFont="1" applyFill="1" applyBorder="1" applyAlignment="1">
      <alignment horizontal="center"/>
    </xf>
    <xf numFmtId="0" fontId="98" fillId="15" borderId="6" xfId="0" applyNumberFormat="1" applyFont="1" applyFill="1" applyBorder="1" applyAlignment="1">
      <alignment horizontal="left"/>
    </xf>
    <xf numFmtId="0" fontId="85" fillId="15" borderId="6" xfId="0" applyNumberFormat="1" applyFont="1" applyFill="1" applyBorder="1" applyAlignment="1">
      <alignment horizontal="left" vertical="center"/>
    </xf>
    <xf numFmtId="0" fontId="85" fillId="15" borderId="8" xfId="0" applyNumberFormat="1" applyFont="1" applyFill="1" applyBorder="1" applyAlignment="1">
      <alignment horizontal="left" vertical="center"/>
    </xf>
    <xf numFmtId="0" fontId="4" fillId="0" borderId="0" xfId="0" applyFont="1" applyAlignment="1">
      <alignment horizontal="left" vertical="top" wrapText="1"/>
    </xf>
    <xf numFmtId="0" fontId="4" fillId="0" borderId="0" xfId="0" applyFont="1" applyAlignment="1">
      <alignment horizontal="center"/>
    </xf>
    <xf numFmtId="0" fontId="101" fillId="16" borderId="0" xfId="0" applyFont="1" applyFill="1"/>
    <xf numFmtId="0" fontId="101" fillId="16" borderId="0" xfId="0" applyFont="1" applyFill="1" applyAlignment="1"/>
    <xf numFmtId="0" fontId="79" fillId="0" borderId="3" xfId="0" applyFont="1" applyFill="1" applyBorder="1" applyAlignment="1">
      <alignment horizontal="center" wrapText="1"/>
    </xf>
    <xf numFmtId="167" fontId="77" fillId="0" borderId="2" xfId="2" applyNumberFormat="1" applyFont="1" applyFill="1" applyBorder="1"/>
    <xf numFmtId="167" fontId="77" fillId="0" borderId="1" xfId="2" applyNumberFormat="1" applyFont="1" applyFill="1" applyBorder="1"/>
    <xf numFmtId="0" fontId="48" fillId="13" borderId="0" xfId="9" applyNumberFormat="1" applyFont="1" applyFill="1" applyAlignment="1">
      <alignment horizontal="left"/>
    </xf>
    <xf numFmtId="0" fontId="48" fillId="13" borderId="0" xfId="9" applyFont="1" applyFill="1" applyAlignment="1">
      <alignment horizontal="center"/>
    </xf>
    <xf numFmtId="0" fontId="75" fillId="13" borderId="0" xfId="9" applyFill="1"/>
    <xf numFmtId="0" fontId="48" fillId="13" borderId="0" xfId="9" applyFont="1" applyFill="1" applyAlignment="1">
      <alignment horizontal="right"/>
    </xf>
    <xf numFmtId="164" fontId="48" fillId="13" borderId="3" xfId="1" applyNumberFormat="1" applyFont="1" applyFill="1" applyBorder="1"/>
    <xf numFmtId="0" fontId="79" fillId="15" borderId="0" xfId="0" applyFont="1" applyFill="1" applyBorder="1" applyAlignment="1">
      <alignment horizontal="center"/>
    </xf>
    <xf numFmtId="0" fontId="102" fillId="15" borderId="0" xfId="0" applyNumberFormat="1" applyFont="1" applyFill="1" applyBorder="1" applyAlignment="1">
      <alignment horizontal="center"/>
    </xf>
    <xf numFmtId="0" fontId="102" fillId="15" borderId="0" xfId="0" applyNumberFormat="1" applyFont="1" applyFill="1" applyBorder="1" applyAlignment="1">
      <alignment horizontal="left"/>
    </xf>
    <xf numFmtId="0" fontId="79" fillId="15" borderId="28" xfId="0" applyNumberFormat="1" applyFont="1" applyFill="1" applyBorder="1" applyAlignment="1">
      <alignment horizontal="left"/>
    </xf>
    <xf numFmtId="0" fontId="4" fillId="13" borderId="29" xfId="27" applyFill="1" applyBorder="1" applyAlignment="1">
      <alignment vertical="top"/>
    </xf>
    <xf numFmtId="0" fontId="4" fillId="13" borderId="27" xfId="27" applyFill="1" applyBorder="1"/>
    <xf numFmtId="0" fontId="4" fillId="13" borderId="21" xfId="27" applyFill="1" applyBorder="1"/>
    <xf numFmtId="41" fontId="4" fillId="2" borderId="21" xfId="27" applyNumberFormat="1" applyFill="1" applyBorder="1"/>
    <xf numFmtId="0" fontId="77" fillId="13" borderId="33" xfId="16" applyFont="1" applyFill="1" applyBorder="1"/>
    <xf numFmtId="0" fontId="5" fillId="0" borderId="0" xfId="0" applyFont="1" applyAlignment="1">
      <alignment horizontal="center"/>
    </xf>
    <xf numFmtId="0" fontId="5" fillId="0" borderId="16" xfId="0" applyFont="1" applyBorder="1" applyAlignment="1">
      <alignment horizontal="center"/>
    </xf>
    <xf numFmtId="0" fontId="4" fillId="0" borderId="0" xfId="0" applyFont="1" applyAlignment="1">
      <alignment horizontal="center"/>
    </xf>
    <xf numFmtId="3" fontId="8" fillId="2" borderId="0" xfId="0" applyNumberFormat="1" applyFont="1" applyFill="1"/>
    <xf numFmtId="164" fontId="4" fillId="2" borderId="0" xfId="1" applyNumberFormat="1" applyFill="1" applyAlignment="1">
      <alignment horizontal="right" wrapText="1"/>
    </xf>
    <xf numFmtId="164" fontId="4" fillId="2" borderId="0" xfId="1" applyNumberFormat="1" applyFill="1" applyAlignment="1">
      <alignment horizontal="right"/>
    </xf>
    <xf numFmtId="164" fontId="4" fillId="2" borderId="3" xfId="1" applyNumberFormat="1" applyFill="1" applyBorder="1" applyAlignment="1">
      <alignment horizontal="right"/>
    </xf>
    <xf numFmtId="43" fontId="4" fillId="0" borderId="0" xfId="1" applyAlignment="1">
      <alignment horizontal="right"/>
    </xf>
    <xf numFmtId="164" fontId="4" fillId="2" borderId="0" xfId="1" applyNumberFormat="1" applyFill="1" applyAlignment="1">
      <alignment wrapText="1"/>
    </xf>
    <xf numFmtId="164" fontId="4" fillId="2" borderId="0" xfId="1" applyNumberFormat="1" applyFill="1" applyAlignment="1">
      <alignment vertical="center" wrapText="1"/>
    </xf>
    <xf numFmtId="164" fontId="4" fillId="2" borderId="0" xfId="1" applyNumberFormat="1" applyFill="1"/>
    <xf numFmtId="164" fontId="4" fillId="0" borderId="0" xfId="1" applyNumberFormat="1"/>
    <xf numFmtId="3" fontId="4" fillId="0" borderId="0" xfId="0" applyNumberFormat="1" applyFont="1" applyAlignment="1">
      <alignment horizontal="center"/>
    </xf>
    <xf numFmtId="3" fontId="28" fillId="0" borderId="0" xfId="0" applyNumberFormat="1" applyFont="1" applyAlignment="1">
      <alignment horizontal="center"/>
    </xf>
    <xf numFmtId="164" fontId="28" fillId="0" borderId="0" xfId="1" applyNumberFormat="1" applyFont="1" applyAlignment="1">
      <alignment horizontal="center" wrapText="1"/>
    </xf>
    <xf numFmtId="3" fontId="57" fillId="0" borderId="22" xfId="0" applyNumberFormat="1" applyFont="1" applyBorder="1" applyAlignment="1">
      <alignment horizontal="center"/>
    </xf>
    <xf numFmtId="182" fontId="31" fillId="0" borderId="8" xfId="1" applyNumberFormat="1" applyFont="1" applyBorder="1" applyAlignment="1">
      <alignment horizontal="center"/>
    </xf>
    <xf numFmtId="182" fontId="23" fillId="0" borderId="0" xfId="1" applyNumberFormat="1" applyFont="1" applyAlignment="1">
      <alignment horizontal="center"/>
    </xf>
    <xf numFmtId="164" fontId="23" fillId="0" borderId="0" xfId="1" applyNumberFormat="1" applyFont="1" applyAlignment="1">
      <alignment horizontal="center"/>
    </xf>
    <xf numFmtId="164" fontId="28" fillId="0" borderId="0" xfId="0" applyNumberFormat="1" applyFont="1"/>
    <xf numFmtId="164" fontId="4" fillId="0" borderId="7" xfId="1" applyNumberFormat="1" applyBorder="1" applyAlignment="1">
      <alignment horizontal="center"/>
    </xf>
    <xf numFmtId="0" fontId="4" fillId="0" borderId="6" xfId="0" applyFont="1" applyBorder="1" applyAlignment="1">
      <alignment horizontal="right"/>
    </xf>
    <xf numFmtId="164" fontId="4" fillId="0" borderId="7" xfId="1" applyNumberFormat="1" applyBorder="1"/>
    <xf numFmtId="164" fontId="4" fillId="0" borderId="6" xfId="1" applyNumberFormat="1" applyBorder="1"/>
    <xf numFmtId="164" fontId="4" fillId="0" borderId="8" xfId="1" applyNumberFormat="1" applyBorder="1"/>
    <xf numFmtId="164" fontId="4" fillId="0" borderId="9" xfId="1" applyNumberFormat="1" applyBorder="1"/>
    <xf numFmtId="164" fontId="4" fillId="0" borderId="10" xfId="1" applyNumberFormat="1" applyBorder="1"/>
    <xf numFmtId="164" fontId="4" fillId="0" borderId="8" xfId="0" applyNumberFormat="1" applyFont="1" applyBorder="1"/>
    <xf numFmtId="164" fontId="4" fillId="0" borderId="9" xfId="0" applyNumberFormat="1" applyFont="1" applyBorder="1"/>
    <xf numFmtId="164" fontId="4" fillId="0" borderId="0" xfId="1" applyNumberFormat="1" applyBorder="1"/>
    <xf numFmtId="164" fontId="4" fillId="0" borderId="9" xfId="1" applyNumberFormat="1" applyBorder="1" applyAlignment="1">
      <alignment horizontal="center"/>
    </xf>
    <xf numFmtId="0" fontId="77" fillId="0" borderId="3" xfId="0" applyFont="1" applyBorder="1" applyAlignment="1">
      <alignment horizontal="center" wrapText="1"/>
    </xf>
    <xf numFmtId="164" fontId="4" fillId="2" borderId="21" xfId="23" applyNumberFormat="1" applyFill="1" applyBorder="1" applyAlignment="1">
      <alignment wrapText="1"/>
    </xf>
    <xf numFmtId="164" fontId="4" fillId="2" borderId="29" xfId="23" applyNumberFormat="1" applyFill="1" applyBorder="1" applyAlignment="1">
      <alignment wrapText="1"/>
    </xf>
    <xf numFmtId="5" fontId="4" fillId="0" borderId="0" xfId="0" applyNumberFormat="1" applyFont="1" applyFill="1"/>
    <xf numFmtId="0" fontId="60" fillId="0" borderId="0" xfId="16" applyFont="1"/>
    <xf numFmtId="0" fontId="61" fillId="0" borderId="0" xfId="16" applyFont="1"/>
    <xf numFmtId="0" fontId="62" fillId="0" borderId="0" xfId="16" applyFont="1"/>
    <xf numFmtId="0" fontId="63" fillId="0" borderId="0" xfId="16" applyFont="1"/>
    <xf numFmtId="0" fontId="106" fillId="0" borderId="0" xfId="16" applyFont="1"/>
    <xf numFmtId="0" fontId="107" fillId="0" borderId="0" xfId="16" applyFont="1"/>
    <xf numFmtId="0" fontId="107" fillId="0" borderId="0" xfId="16" applyFont="1" applyAlignment="1">
      <alignment horizontal="right"/>
    </xf>
    <xf numFmtId="49" fontId="64" fillId="0" borderId="0" xfId="16" applyNumberFormat="1" applyFont="1" applyAlignment="1">
      <alignment horizontal="left" indent="1"/>
    </xf>
    <xf numFmtId="2" fontId="64" fillId="0" borderId="0" xfId="16" applyNumberFormat="1" applyFont="1"/>
    <xf numFmtId="0" fontId="107" fillId="0" borderId="3" xfId="16" applyFont="1" applyBorder="1" applyAlignment="1">
      <alignment horizontal="right"/>
    </xf>
    <xf numFmtId="49" fontId="61" fillId="0" borderId="0" xfId="16" applyNumberFormat="1" applyFont="1" applyAlignment="1">
      <alignment horizontal="left" indent="1"/>
    </xf>
    <xf numFmtId="2" fontId="108" fillId="0" borderId="0" xfId="16" applyNumberFormat="1" applyFont="1" applyAlignment="1">
      <alignment horizontal="left"/>
    </xf>
    <xf numFmtId="0" fontId="108" fillId="0" borderId="0" xfId="16" applyFont="1"/>
    <xf numFmtId="0" fontId="108" fillId="0" borderId="0" xfId="16" applyFont="1" applyAlignment="1">
      <alignment horizontal="right"/>
    </xf>
    <xf numFmtId="0" fontId="62" fillId="0" borderId="0" xfId="16" applyFont="1" applyAlignment="1">
      <alignment horizontal="right"/>
    </xf>
    <xf numFmtId="2" fontId="61" fillId="0" borderId="0" xfId="16" applyNumberFormat="1" applyFont="1"/>
    <xf numFmtId="49" fontId="65" fillId="0" borderId="0" xfId="16" applyNumberFormat="1" applyFont="1" applyAlignment="1">
      <alignment horizontal="left" indent="1"/>
    </xf>
    <xf numFmtId="0" fontId="66" fillId="0" borderId="0" xfId="16" applyFont="1"/>
    <xf numFmtId="2" fontId="66" fillId="0" borderId="0" xfId="16" applyNumberFormat="1" applyFont="1"/>
    <xf numFmtId="0" fontId="60" fillId="0" borderId="0" xfId="16" applyFont="1" applyAlignment="1">
      <alignment horizontal="right"/>
    </xf>
    <xf numFmtId="0" fontId="107" fillId="0" borderId="3" xfId="16" applyFont="1" applyBorder="1"/>
    <xf numFmtId="2" fontId="108" fillId="0" borderId="0" xfId="16" applyNumberFormat="1" applyFont="1" applyAlignment="1">
      <alignment horizontal="right"/>
    </xf>
    <xf numFmtId="2" fontId="62" fillId="0" borderId="0" xfId="16" applyNumberFormat="1" applyFont="1" applyAlignment="1">
      <alignment horizontal="right"/>
    </xf>
    <xf numFmtId="0" fontId="109" fillId="0" borderId="0" xfId="16" applyFont="1"/>
    <xf numFmtId="0" fontId="4" fillId="0" borderId="0" xfId="16"/>
    <xf numFmtId="0" fontId="4" fillId="0" borderId="0" xfId="16" applyAlignment="1">
      <alignment horizontal="right"/>
    </xf>
    <xf numFmtId="0" fontId="61" fillId="0" borderId="0" xfId="16" applyFont="1" applyAlignment="1">
      <alignment horizontal="right"/>
    </xf>
    <xf numFmtId="16" fontId="8" fillId="0" borderId="0" xfId="0" quotePrefix="1" applyNumberFormat="1" applyFont="1" applyFill="1"/>
    <xf numFmtId="43" fontId="48" fillId="0" borderId="0" xfId="0" applyNumberFormat="1" applyFont="1"/>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5" fillId="0" borderId="16" xfId="0" applyFont="1" applyFill="1" applyBorder="1" applyAlignment="1">
      <alignment horizontal="center"/>
    </xf>
    <xf numFmtId="0" fontId="4" fillId="0" borderId="0" xfId="0" applyFont="1" applyAlignment="1">
      <alignment horizontal="center"/>
    </xf>
    <xf numFmtId="10" fontId="8" fillId="0" borderId="0" xfId="0" applyNumberFormat="1" applyFont="1" applyFill="1" applyBorder="1" applyAlignment="1">
      <alignment horizontal="right"/>
    </xf>
    <xf numFmtId="10" fontId="8" fillId="0" borderId="0" xfId="0" applyNumberFormat="1" applyFont="1" applyFill="1" applyBorder="1"/>
    <xf numFmtId="172" fontId="8" fillId="0" borderId="0" xfId="1" applyNumberFormat="1" applyFont="1" applyFill="1" applyBorder="1"/>
    <xf numFmtId="172" fontId="8" fillId="0" borderId="0" xfId="0" applyNumberFormat="1" applyFont="1" applyFill="1" applyBorder="1"/>
    <xf numFmtId="164" fontId="6" fillId="0" borderId="0" xfId="1" applyNumberFormat="1" applyFont="1" applyFill="1" applyBorder="1" applyAlignment="1">
      <alignment horizontal="right"/>
    </xf>
    <xf numFmtId="164" fontId="6" fillId="0" borderId="0" xfId="1" applyNumberFormat="1" applyFont="1" applyFill="1" applyBorder="1" applyAlignment="1"/>
    <xf numFmtId="173" fontId="6" fillId="0" borderId="0" xfId="5" applyNumberFormat="1" applyFont="1" applyFill="1" applyBorder="1" applyAlignment="1"/>
    <xf numFmtId="174" fontId="8" fillId="0" borderId="0" xfId="5" applyNumberFormat="1" applyFont="1" applyFill="1" applyBorder="1" applyAlignment="1"/>
    <xf numFmtId="0" fontId="67" fillId="0" borderId="0" xfId="0" applyFont="1" applyFill="1" applyBorder="1"/>
    <xf numFmtId="3" fontId="8" fillId="0" borderId="0" xfId="1" applyNumberFormat="1" applyFont="1" applyFill="1" applyBorder="1" applyAlignment="1"/>
    <xf numFmtId="173" fontId="8" fillId="0" borderId="0" xfId="0" applyNumberFormat="1" applyFont="1" applyFill="1" applyBorder="1" applyAlignment="1">
      <alignment horizontal="right"/>
    </xf>
    <xf numFmtId="171" fontId="8" fillId="0" borderId="0" xfId="5" applyNumberFormat="1" applyFont="1" applyFill="1" applyBorder="1" applyAlignment="1">
      <alignment horizontal="right"/>
    </xf>
    <xf numFmtId="173" fontId="10" fillId="0" borderId="0" xfId="0" applyNumberFormat="1" applyFont="1" applyFill="1" applyBorder="1" applyAlignment="1">
      <alignment horizontal="right"/>
    </xf>
    <xf numFmtId="164" fontId="6" fillId="0" borderId="0" xfId="1" applyNumberFormat="1" applyFont="1" applyFill="1" applyBorder="1"/>
    <xf numFmtId="164" fontId="8" fillId="0" borderId="0" xfId="1" applyNumberFormat="1" applyFont="1" applyFill="1" applyBorder="1"/>
    <xf numFmtId="3" fontId="8" fillId="0" borderId="0" xfId="0" applyNumberFormat="1" applyFont="1" applyFill="1" applyBorder="1" applyAlignment="1">
      <alignment horizontal="center"/>
    </xf>
    <xf numFmtId="9" fontId="8" fillId="0" borderId="0" xfId="0" applyNumberFormat="1" applyFont="1" applyFill="1" applyBorder="1" applyAlignment="1"/>
    <xf numFmtId="166" fontId="8" fillId="0" borderId="0" xfId="0" applyNumberFormat="1" applyFont="1" applyFill="1" applyBorder="1" applyAlignment="1"/>
    <xf numFmtId="166" fontId="6" fillId="0" borderId="0" xfId="0" applyNumberFormat="1" applyFont="1" applyFill="1" applyBorder="1" applyAlignment="1"/>
    <xf numFmtId="10" fontId="8" fillId="0" borderId="0" xfId="24" applyNumberFormat="1" applyFont="1" applyFill="1" applyBorder="1" applyAlignment="1"/>
    <xf numFmtId="3" fontId="12" fillId="0" borderId="0" xfId="0" applyNumberFormat="1" applyFont="1" applyFill="1" applyBorder="1" applyAlignment="1">
      <alignment horizontal="right"/>
    </xf>
    <xf numFmtId="3" fontId="16" fillId="0" borderId="0" xfId="0" applyNumberFormat="1" applyFont="1" applyFill="1" applyBorder="1"/>
    <xf numFmtId="164" fontId="8" fillId="0" borderId="0" xfId="1" applyNumberFormat="1" applyFont="1" applyFill="1" applyBorder="1" applyAlignment="1"/>
    <xf numFmtId="43" fontId="6" fillId="0" borderId="0" xfId="1" applyFont="1" applyFill="1" applyBorder="1" applyAlignment="1"/>
    <xf numFmtId="181" fontId="6" fillId="0" borderId="0" xfId="0" applyNumberFormat="1" applyFont="1" applyFill="1" applyBorder="1" applyAlignment="1">
      <alignment horizontal="right"/>
    </xf>
    <xf numFmtId="37" fontId="16" fillId="0" borderId="0" xfId="0" applyNumberFormat="1" applyFont="1" applyFill="1" applyBorder="1" applyAlignment="1">
      <alignment horizontal="center"/>
    </xf>
    <xf numFmtId="41" fontId="77" fillId="0" borderId="0" xfId="0" applyNumberFormat="1" applyFont="1"/>
    <xf numFmtId="0" fontId="4" fillId="13" borderId="31" xfId="27" applyFill="1" applyBorder="1" applyAlignment="1">
      <alignment vertical="top"/>
    </xf>
    <xf numFmtId="37" fontId="4" fillId="13" borderId="21" xfId="27" applyNumberFormat="1" applyFill="1" applyBorder="1" applyAlignment="1">
      <alignment vertical="top"/>
    </xf>
    <xf numFmtId="182" fontId="4" fillId="13" borderId="21" xfId="1" applyNumberFormat="1" applyFont="1" applyFill="1" applyBorder="1" applyAlignment="1">
      <alignment vertical="top"/>
    </xf>
    <xf numFmtId="0" fontId="4" fillId="13" borderId="21" xfId="27" applyFill="1" applyBorder="1" applyAlignment="1">
      <alignment horizontal="left" vertical="top" wrapText="1"/>
    </xf>
    <xf numFmtId="0" fontId="4" fillId="13" borderId="21" xfId="27" applyFill="1" applyBorder="1" applyAlignment="1">
      <alignment vertical="top"/>
    </xf>
    <xf numFmtId="164" fontId="4" fillId="13" borderId="21" xfId="46" applyNumberFormat="1" applyFill="1" applyBorder="1" applyAlignment="1">
      <alignment vertical="top"/>
    </xf>
    <xf numFmtId="164" fontId="4" fillId="2" borderId="21" xfId="46" applyNumberFormat="1" applyFill="1" applyBorder="1"/>
    <xf numFmtId="164" fontId="4" fillId="2" borderId="21" xfId="46" applyNumberFormat="1" applyFill="1" applyBorder="1" applyAlignment="1">
      <alignment vertical="top"/>
    </xf>
    <xf numFmtId="180" fontId="4" fillId="13" borderId="29" xfId="31" applyNumberFormat="1" applyFill="1" applyBorder="1" applyAlignment="1" applyProtection="1">
      <alignment horizontal="left" vertical="top" wrapText="1"/>
      <protection locked="0"/>
    </xf>
    <xf numFmtId="0" fontId="28" fillId="13" borderId="21" xfId="27" applyFont="1" applyFill="1" applyBorder="1"/>
    <xf numFmtId="37" fontId="4" fillId="13" borderId="21" xfId="27" applyNumberFormat="1" applyFill="1" applyBorder="1"/>
    <xf numFmtId="0" fontId="4" fillId="13" borderId="21" xfId="27" applyFill="1" applyBorder="1" applyAlignment="1">
      <alignment horizontal="left" wrapText="1"/>
    </xf>
    <xf numFmtId="37" fontId="4" fillId="2" borderId="21" xfId="27" applyNumberFormat="1" applyFill="1" applyBorder="1"/>
    <xf numFmtId="37" fontId="4" fillId="2" borderId="21" xfId="27" applyNumberFormat="1" applyFill="1" applyBorder="1" applyAlignment="1">
      <alignment vertical="top"/>
    </xf>
    <xf numFmtId="41" fontId="4" fillId="0" borderId="0" xfId="16" applyNumberFormat="1" applyFont="1" applyFill="1" applyBorder="1" applyAlignment="1">
      <alignment horizontal="center"/>
    </xf>
    <xf numFmtId="0" fontId="4" fillId="2" borderId="21" xfId="0" applyFont="1" applyFill="1" applyBorder="1" applyAlignment="1">
      <alignment vertical="top" wrapText="1"/>
    </xf>
    <xf numFmtId="3" fontId="97" fillId="0" borderId="0" xfId="0" applyNumberFormat="1" applyFont="1" applyFill="1"/>
    <xf numFmtId="0" fontId="8" fillId="0" borderId="0" xfId="0" applyFont="1" applyAlignment="1">
      <alignment horizontal="center"/>
    </xf>
    <xf numFmtId="0" fontId="6" fillId="0" borderId="0" xfId="0" applyFont="1" applyAlignment="1">
      <alignment horizontal="left"/>
    </xf>
    <xf numFmtId="0" fontId="10" fillId="0" borderId="0" xfId="0" applyFont="1" applyAlignment="1">
      <alignment horizontal="center"/>
    </xf>
    <xf numFmtId="181" fontId="6" fillId="2" borderId="0" xfId="0" applyNumberFormat="1" applyFont="1" applyFill="1" applyAlignment="1">
      <alignment horizontal="right"/>
    </xf>
    <xf numFmtId="0" fontId="95" fillId="0" borderId="0" xfId="0" applyFont="1"/>
    <xf numFmtId="37" fontId="8" fillId="0" borderId="0" xfId="0" applyNumberFormat="1" applyFont="1" applyAlignment="1">
      <alignment horizontal="left"/>
    </xf>
    <xf numFmtId="37" fontId="6" fillId="8" borderId="0" xfId="0" applyNumberFormat="1" applyFont="1" applyFill="1" applyAlignment="1">
      <alignment horizontal="right"/>
    </xf>
    <xf numFmtId="0" fontId="11" fillId="0" borderId="0" xfId="0" applyFont="1" applyAlignment="1">
      <alignment horizontal="center"/>
    </xf>
    <xf numFmtId="37" fontId="6" fillId="0" borderId="0" xfId="0" applyNumberFormat="1" applyFont="1" applyAlignment="1">
      <alignment horizontal="right"/>
    </xf>
    <xf numFmtId="0" fontId="16" fillId="0" borderId="5" xfId="0" applyFont="1" applyBorder="1" applyAlignment="1">
      <alignment horizontal="center"/>
    </xf>
    <xf numFmtId="0" fontId="16" fillId="0" borderId="4" xfId="0" applyFont="1" applyBorder="1" applyAlignment="1">
      <alignment horizontal="left"/>
    </xf>
    <xf numFmtId="0" fontId="4" fillId="13" borderId="29" xfId="27" applyFill="1" applyBorder="1" applyAlignment="1"/>
    <xf numFmtId="0" fontId="4" fillId="13" borderId="21" xfId="0" applyFont="1" applyFill="1" applyBorder="1" applyAlignment="1">
      <alignment horizontal="left"/>
    </xf>
    <xf numFmtId="164" fontId="4" fillId="0" borderId="9" xfId="1" applyNumberFormat="1" applyFont="1" applyBorder="1" applyAlignment="1">
      <alignment horizontal="center"/>
    </xf>
    <xf numFmtId="3" fontId="8" fillId="13" borderId="0" xfId="0" applyNumberFormat="1" applyFont="1" applyFill="1" applyAlignment="1">
      <alignment horizontal="right"/>
    </xf>
    <xf numFmtId="0" fontId="6" fillId="0" borderId="0" xfId="0" applyFont="1" applyFill="1" applyBorder="1" applyAlignment="1">
      <alignment horizontal="center" wrapText="1"/>
    </xf>
    <xf numFmtId="0" fontId="8" fillId="0" borderId="0" xfId="0" applyNumberFormat="1" applyFont="1" applyFill="1" applyAlignment="1">
      <alignment horizontal="left" vertical="top" wrapText="1"/>
    </xf>
    <xf numFmtId="0" fontId="6" fillId="7" borderId="15" xfId="0" applyFont="1" applyFill="1" applyBorder="1" applyAlignment="1">
      <alignment horizontal="center" wrapText="1"/>
    </xf>
    <xf numFmtId="0" fontId="6" fillId="7" borderId="10" xfId="0" applyFont="1" applyFill="1" applyBorder="1" applyAlignment="1">
      <alignment horizontal="center" wrapText="1"/>
    </xf>
    <xf numFmtId="0" fontId="6" fillId="2" borderId="17" xfId="0" applyFont="1" applyFill="1" applyBorder="1" applyAlignment="1">
      <alignment horizontal="center" wrapText="1"/>
    </xf>
    <xf numFmtId="0" fontId="6" fillId="2" borderId="19" xfId="0" applyFont="1" applyFill="1" applyBorder="1" applyAlignment="1">
      <alignment horizontal="center" wrapText="1"/>
    </xf>
    <xf numFmtId="0" fontId="78" fillId="0" borderId="0" xfId="16" applyFont="1" applyFill="1" applyBorder="1" applyAlignment="1">
      <alignment horizontal="left" vertical="top" wrapText="1"/>
    </xf>
    <xf numFmtId="0" fontId="78" fillId="0" borderId="0" xfId="16" applyFont="1" applyBorder="1" applyAlignment="1">
      <alignment horizontal="left" vertical="top" wrapText="1"/>
    </xf>
    <xf numFmtId="0" fontId="5" fillId="0" borderId="0" xfId="16" applyFont="1" applyAlignment="1">
      <alignment horizontal="center"/>
    </xf>
    <xf numFmtId="0" fontId="5" fillId="0" borderId="0" xfId="17" applyFont="1" applyAlignment="1">
      <alignment horizontal="center"/>
    </xf>
    <xf numFmtId="0" fontId="5" fillId="0" borderId="0" xfId="16" applyFont="1" applyFill="1" applyAlignment="1">
      <alignment horizontal="center"/>
    </xf>
    <xf numFmtId="0" fontId="4" fillId="0" borderId="0" xfId="16" applyFont="1" applyFill="1" applyAlignment="1">
      <alignment horizontal="left" vertical="top" wrapText="1"/>
    </xf>
    <xf numFmtId="0" fontId="78" fillId="0" borderId="0" xfId="0" applyFont="1" applyBorder="1" applyAlignment="1">
      <alignment horizontal="center" vertical="center"/>
    </xf>
    <xf numFmtId="0" fontId="78" fillId="0" borderId="3" xfId="0" applyFont="1" applyBorder="1" applyAlignment="1">
      <alignment horizontal="center" vertical="center"/>
    </xf>
    <xf numFmtId="0" fontId="78" fillId="0" borderId="0" xfId="0" applyFont="1" applyBorder="1" applyAlignment="1">
      <alignment horizontal="left" vertical="center"/>
    </xf>
    <xf numFmtId="0" fontId="78" fillId="0" borderId="3" xfId="0" applyFont="1" applyBorder="1" applyAlignment="1">
      <alignment horizontal="left" vertical="center"/>
    </xf>
    <xf numFmtId="0" fontId="100" fillId="14" borderId="0" xfId="0" applyFont="1" applyFill="1" applyAlignment="1">
      <alignment horizontal="center"/>
    </xf>
    <xf numFmtId="0" fontId="97" fillId="0" borderId="29" xfId="0" applyFont="1" applyFill="1" applyBorder="1" applyAlignment="1">
      <alignment horizontal="center"/>
    </xf>
    <xf numFmtId="0" fontId="97" fillId="0" borderId="30" xfId="0" applyFont="1" applyFill="1" applyBorder="1" applyAlignment="1">
      <alignment horizontal="center"/>
    </xf>
    <xf numFmtId="0" fontId="97" fillId="0" borderId="31" xfId="0" applyFont="1" applyFill="1" applyBorder="1" applyAlignment="1">
      <alignment horizontal="center"/>
    </xf>
    <xf numFmtId="0" fontId="78" fillId="0" borderId="0" xfId="0" applyFont="1" applyBorder="1" applyAlignment="1">
      <alignment horizontal="left" vertical="center" indent="1"/>
    </xf>
    <xf numFmtId="0" fontId="78" fillId="0" borderId="3" xfId="0" applyFont="1" applyBorder="1" applyAlignment="1">
      <alignment horizontal="left" vertical="center" indent="1"/>
    </xf>
    <xf numFmtId="0" fontId="78" fillId="0" borderId="0" xfId="0" applyFont="1" applyBorder="1" applyAlignment="1">
      <alignment horizontal="left" vertical="center" wrapText="1"/>
    </xf>
    <xf numFmtId="0" fontId="78" fillId="0" borderId="3" xfId="0" applyFont="1" applyBorder="1" applyAlignment="1">
      <alignment horizontal="left" vertical="center" wrapText="1"/>
    </xf>
    <xf numFmtId="0" fontId="77" fillId="0" borderId="0" xfId="0" applyFont="1" applyBorder="1" applyAlignment="1">
      <alignment horizontal="center" vertical="center" wrapText="1"/>
    </xf>
    <xf numFmtId="0" fontId="77" fillId="0" borderId="3" xfId="0" applyFont="1" applyBorder="1" applyAlignment="1">
      <alignment horizontal="center" vertical="center" wrapText="1"/>
    </xf>
    <xf numFmtId="0" fontId="77" fillId="0" borderId="0" xfId="0" applyFont="1" applyBorder="1" applyAlignment="1">
      <alignment horizontal="center" wrapText="1"/>
    </xf>
    <xf numFmtId="0" fontId="77" fillId="0" borderId="3" xfId="0" applyFont="1" applyBorder="1" applyAlignment="1">
      <alignment horizontal="center" wrapText="1"/>
    </xf>
    <xf numFmtId="0" fontId="4" fillId="0" borderId="0" xfId="0" applyFont="1" applyAlignment="1">
      <alignment horizontal="left" vertical="top" wrapText="1"/>
    </xf>
    <xf numFmtId="0" fontId="77" fillId="0" borderId="0" xfId="0" applyFont="1" applyBorder="1" applyAlignment="1">
      <alignment horizontal="left" vertical="center" wrapText="1" indent="1"/>
    </xf>
    <xf numFmtId="0" fontId="77" fillId="0" borderId="3" xfId="0" applyFont="1" applyBorder="1" applyAlignment="1">
      <alignment horizontal="left" vertical="center" wrapText="1" indent="1"/>
    </xf>
    <xf numFmtId="0" fontId="99" fillId="0" borderId="0" xfId="0" applyFont="1" applyFill="1" applyAlignment="1">
      <alignment horizontal="center"/>
    </xf>
    <xf numFmtId="0" fontId="4" fillId="0" borderId="0" xfId="15" applyFont="1" applyFill="1" applyAlignment="1" applyProtection="1">
      <alignment horizontal="left" vertical="top" wrapText="1"/>
    </xf>
    <xf numFmtId="0" fontId="77" fillId="0" borderId="0" xfId="15" applyFont="1" applyFill="1" applyAlignment="1" applyProtection="1">
      <alignment horizontal="left" vertical="top" wrapText="1"/>
    </xf>
    <xf numFmtId="0" fontId="88" fillId="14" borderId="29" xfId="0" applyFont="1" applyFill="1" applyBorder="1" applyAlignment="1">
      <alignment horizontal="center"/>
    </xf>
    <xf numFmtId="0" fontId="88" fillId="14" borderId="30" xfId="0" applyFont="1" applyFill="1" applyBorder="1" applyAlignment="1">
      <alignment horizontal="center"/>
    </xf>
    <xf numFmtId="0" fontId="88" fillId="14" borderId="31" xfId="0" applyFont="1" applyFill="1" applyBorder="1" applyAlignment="1">
      <alignment horizontal="center"/>
    </xf>
    <xf numFmtId="0" fontId="99" fillId="0" borderId="29" xfId="0" applyFont="1" applyFill="1" applyBorder="1" applyAlignment="1">
      <alignment horizontal="center"/>
    </xf>
    <xf numFmtId="0" fontId="99" fillId="0" borderId="30" xfId="0" applyFont="1" applyFill="1" applyBorder="1" applyAlignment="1">
      <alignment horizontal="center"/>
    </xf>
    <xf numFmtId="0" fontId="99" fillId="0" borderId="31" xfId="0" applyFont="1" applyFill="1" applyBorder="1" applyAlignment="1">
      <alignment horizontal="center"/>
    </xf>
    <xf numFmtId="0" fontId="77" fillId="0" borderId="0" xfId="13" applyFont="1" applyFill="1" applyAlignment="1" applyProtection="1">
      <alignment horizontal="left" vertical="top" wrapText="1"/>
    </xf>
    <xf numFmtId="0" fontId="16" fillId="0" borderId="0" xfId="0" applyFont="1" applyAlignment="1">
      <alignment horizontal="center"/>
    </xf>
    <xf numFmtId="0" fontId="4" fillId="0" borderId="0" xfId="0" applyFont="1" applyAlignment="1"/>
    <xf numFmtId="0" fontId="6" fillId="0" borderId="0" xfId="0" applyFont="1" applyAlignment="1">
      <alignment horizontal="center"/>
    </xf>
    <xf numFmtId="0" fontId="8" fillId="0" borderId="0" xfId="0" applyFont="1" applyAlignment="1">
      <alignment horizontal="center"/>
    </xf>
    <xf numFmtId="0" fontId="5" fillId="0" borderId="0" xfId="0" applyFont="1" applyAlignment="1">
      <alignment horizontal="center"/>
    </xf>
    <xf numFmtId="0" fontId="31" fillId="0" borderId="0" xfId="0" applyFont="1" applyFill="1" applyBorder="1" applyAlignment="1">
      <alignment horizontal="center" wrapText="1"/>
    </xf>
    <xf numFmtId="0" fontId="28" fillId="0" borderId="0" xfId="0" applyFont="1" applyFill="1" applyBorder="1" applyAlignment="1">
      <alignment horizontal="center" wrapText="1"/>
    </xf>
    <xf numFmtId="0" fontId="31" fillId="0" borderId="9" xfId="0" applyFont="1" applyFill="1" applyBorder="1" applyAlignment="1">
      <alignment horizontal="center" wrapText="1"/>
    </xf>
    <xf numFmtId="0" fontId="28" fillId="0" borderId="9" xfId="0" applyFont="1" applyFill="1" applyBorder="1" applyAlignment="1">
      <alignment horizontal="center" wrapText="1"/>
    </xf>
    <xf numFmtId="0" fontId="44" fillId="6" borderId="16" xfId="0" applyFont="1" applyFill="1" applyBorder="1" applyAlignment="1">
      <alignment horizontal="center"/>
    </xf>
    <xf numFmtId="0" fontId="44" fillId="6" borderId="14" xfId="0" applyFont="1" applyFill="1" applyBorder="1" applyAlignment="1">
      <alignment horizontal="center"/>
    </xf>
    <xf numFmtId="0" fontId="44" fillId="6" borderId="15" xfId="0" applyFont="1" applyFill="1" applyBorder="1" applyAlignment="1">
      <alignment horizontal="center"/>
    </xf>
    <xf numFmtId="0" fontId="27" fillId="6" borderId="14" xfId="0" applyFont="1" applyFill="1" applyBorder="1" applyAlignment="1">
      <alignment horizontal="center" wrapText="1"/>
    </xf>
    <xf numFmtId="0" fontId="33" fillId="6" borderId="14" xfId="0" applyFont="1" applyFill="1" applyBorder="1" applyAlignment="1">
      <alignment horizontal="center" wrapText="1"/>
    </xf>
    <xf numFmtId="0" fontId="28" fillId="0" borderId="14" xfId="0" applyFont="1" applyBorder="1" applyAlignment="1">
      <alignment horizontal="center" wrapText="1"/>
    </xf>
    <xf numFmtId="0" fontId="28" fillId="0" borderId="0" xfId="0" applyFont="1" applyAlignment="1">
      <alignment horizontal="center" wrapText="1"/>
    </xf>
    <xf numFmtId="0" fontId="28" fillId="0" borderId="9" xfId="0" applyFont="1" applyBorder="1" applyAlignment="1">
      <alignment horizontal="center" wrapText="1"/>
    </xf>
    <xf numFmtId="0" fontId="27" fillId="0" borderId="0" xfId="0" applyFont="1" applyFill="1" applyBorder="1" applyAlignment="1">
      <alignment horizontal="center" wrapText="1"/>
    </xf>
    <xf numFmtId="0" fontId="44" fillId="6" borderId="16" xfId="0" applyFont="1" applyFill="1" applyBorder="1" applyAlignment="1">
      <alignment horizontal="center" wrapText="1"/>
    </xf>
    <xf numFmtId="0" fontId="44" fillId="6" borderId="14" xfId="0" applyFont="1" applyFill="1" applyBorder="1" applyAlignment="1">
      <alignment horizontal="center" wrapText="1"/>
    </xf>
    <xf numFmtId="0" fontId="44" fillId="6" borderId="15" xfId="0" applyFont="1" applyFill="1" applyBorder="1" applyAlignment="1">
      <alignment horizontal="center" wrapText="1"/>
    </xf>
    <xf numFmtId="0" fontId="45" fillId="6" borderId="16" xfId="0" applyFont="1" applyFill="1" applyBorder="1" applyAlignment="1">
      <alignment horizontal="center"/>
    </xf>
    <xf numFmtId="0" fontId="45" fillId="6" borderId="14" xfId="0" applyFont="1" applyFill="1" applyBorder="1" applyAlignment="1">
      <alignment horizontal="center"/>
    </xf>
    <xf numFmtId="0" fontId="44" fillId="0" borderId="0" xfId="0" applyFont="1" applyFill="1" applyBorder="1" applyAlignment="1">
      <alignment horizontal="center"/>
    </xf>
    <xf numFmtId="0" fontId="40" fillId="0" borderId="0" xfId="0" applyFont="1" applyAlignment="1">
      <alignment horizontal="center"/>
    </xf>
    <xf numFmtId="0" fontId="85" fillId="15" borderId="0" xfId="0" applyNumberFormat="1" applyFont="1" applyFill="1" applyBorder="1" applyAlignment="1">
      <alignment horizontal="left" vertical="top" wrapText="1"/>
    </xf>
    <xf numFmtId="0" fontId="85" fillId="15" borderId="0" xfId="0" applyNumberFormat="1" applyFont="1" applyFill="1" applyBorder="1" applyAlignment="1">
      <alignment horizontal="left" vertical="center" wrapText="1"/>
    </xf>
    <xf numFmtId="0" fontId="30" fillId="15" borderId="0" xfId="0" applyNumberFormat="1" applyFont="1" applyFill="1" applyBorder="1" applyAlignment="1">
      <alignment horizontal="left" vertical="top" wrapText="1"/>
    </xf>
    <xf numFmtId="0" fontId="85" fillId="15" borderId="9" xfId="0" applyNumberFormat="1" applyFont="1" applyFill="1" applyBorder="1" applyAlignment="1">
      <alignment horizontal="left" vertical="center" wrapText="1"/>
    </xf>
    <xf numFmtId="0" fontId="44" fillId="11" borderId="5" xfId="0" applyFont="1" applyFill="1" applyBorder="1" applyAlignment="1">
      <alignment horizontal="left"/>
    </xf>
    <xf numFmtId="0" fontId="44" fillId="11" borderId="4" xfId="0" applyFont="1" applyFill="1" applyBorder="1" applyAlignment="1">
      <alignment horizontal="left"/>
    </xf>
    <xf numFmtId="0" fontId="44" fillId="11" borderId="13" xfId="0" applyFont="1" applyFill="1" applyBorder="1" applyAlignment="1">
      <alignment horizontal="left"/>
    </xf>
    <xf numFmtId="0" fontId="24" fillId="6" borderId="16" xfId="0" applyFont="1" applyFill="1" applyBorder="1" applyAlignment="1">
      <alignment horizontal="center"/>
    </xf>
    <xf numFmtId="0" fontId="4" fillId="0" borderId="14" xfId="0" applyFont="1" applyBorder="1" applyAlignment="1">
      <alignment horizontal="center"/>
    </xf>
    <xf numFmtId="0" fontId="24" fillId="6" borderId="14" xfId="0" applyFont="1" applyFill="1" applyBorder="1" applyAlignment="1">
      <alignment horizontal="center"/>
    </xf>
    <xf numFmtId="0" fontId="4" fillId="0" borderId="14" xfId="0" applyFont="1" applyBorder="1" applyAlignment="1">
      <alignment wrapText="1"/>
    </xf>
    <xf numFmtId="0" fontId="4" fillId="0" borderId="15" xfId="0" applyFont="1" applyBorder="1" applyAlignment="1">
      <alignment wrapText="1"/>
    </xf>
    <xf numFmtId="0" fontId="28" fillId="0" borderId="0" xfId="0" applyFont="1" applyAlignment="1">
      <alignment horizontal="left" wrapText="1"/>
    </xf>
    <xf numFmtId="0" fontId="4" fillId="0" borderId="0" xfId="0" applyFont="1" applyAlignment="1">
      <alignment horizontal="left" wrapText="1"/>
    </xf>
    <xf numFmtId="0" fontId="4" fillId="0" borderId="7" xfId="0" applyFont="1" applyBorder="1" applyAlignment="1">
      <alignment horizontal="left" wrapText="1"/>
    </xf>
    <xf numFmtId="0" fontId="5" fillId="0" borderId="0" xfId="0" applyFont="1" applyAlignment="1">
      <alignment horizontal="left" wrapText="1"/>
    </xf>
    <xf numFmtId="0" fontId="5" fillId="0" borderId="7" xfId="0" applyFont="1" applyBorder="1" applyAlignment="1">
      <alignment horizontal="left" wrapText="1"/>
    </xf>
    <xf numFmtId="0" fontId="4" fillId="0" borderId="0" xfId="0" applyFont="1" applyFill="1" applyBorder="1" applyAlignment="1">
      <alignment horizontal="left" wrapText="1"/>
    </xf>
    <xf numFmtId="0" fontId="4" fillId="0" borderId="7" xfId="0" applyFont="1" applyFill="1" applyBorder="1" applyAlignment="1">
      <alignment horizontal="left" wrapText="1"/>
    </xf>
    <xf numFmtId="0" fontId="5" fillId="0" borderId="0" xfId="0" applyFont="1" applyFill="1" applyBorder="1" applyAlignment="1">
      <alignment horizontal="left" wrapText="1"/>
    </xf>
    <xf numFmtId="0" fontId="5" fillId="0" borderId="7" xfId="0" applyFont="1" applyFill="1" applyBorder="1" applyAlignment="1">
      <alignment horizontal="left" wrapText="1"/>
    </xf>
    <xf numFmtId="0" fontId="28" fillId="0" borderId="7" xfId="0" applyFont="1" applyFill="1" applyBorder="1" applyAlignment="1">
      <alignment horizontal="center" wrapText="1"/>
    </xf>
    <xf numFmtId="0" fontId="28" fillId="0" borderId="0" xfId="0" applyFont="1" applyFill="1" applyBorder="1" applyAlignment="1">
      <alignment horizontal="left" wrapText="1"/>
    </xf>
    <xf numFmtId="0" fontId="28" fillId="0" borderId="7" xfId="0" applyFont="1" applyFill="1" applyBorder="1" applyAlignment="1">
      <alignment horizontal="left" wrapText="1"/>
    </xf>
    <xf numFmtId="0" fontId="31" fillId="0" borderId="0" xfId="0" applyFont="1" applyFill="1" applyBorder="1" applyAlignment="1">
      <alignment horizontal="left" wrapText="1"/>
    </xf>
    <xf numFmtId="0" fontId="31" fillId="0" borderId="7" xfId="0" applyFont="1" applyFill="1" applyBorder="1" applyAlignment="1">
      <alignment horizontal="left" wrapText="1"/>
    </xf>
    <xf numFmtId="0" fontId="28" fillId="0" borderId="15" xfId="0" applyFont="1" applyBorder="1" applyAlignment="1">
      <alignment horizontal="center" wrapText="1"/>
    </xf>
    <xf numFmtId="0" fontId="28" fillId="0" borderId="10" xfId="0" applyFont="1" applyFill="1" applyBorder="1" applyAlignment="1">
      <alignment horizontal="center" wrapText="1"/>
    </xf>
    <xf numFmtId="0" fontId="28" fillId="0" borderId="0" xfId="0" applyFont="1" applyFill="1" applyBorder="1" applyAlignment="1">
      <alignment horizontal="center"/>
    </xf>
    <xf numFmtId="0" fontId="28" fillId="0" borderId="7" xfId="0" applyFont="1" applyFill="1" applyBorder="1" applyAlignment="1">
      <alignment horizontal="center"/>
    </xf>
    <xf numFmtId="164" fontId="28" fillId="0" borderId="9" xfId="0" applyNumberFormat="1" applyFont="1" applyFill="1" applyBorder="1" applyAlignment="1">
      <alignment horizontal="center" wrapText="1"/>
    </xf>
    <xf numFmtId="0" fontId="33" fillId="6" borderId="15" xfId="0" applyFont="1" applyFill="1" applyBorder="1" applyAlignment="1">
      <alignment horizontal="center" wrapText="1"/>
    </xf>
    <xf numFmtId="0" fontId="26" fillId="0" borderId="0" xfId="0" applyFont="1" applyFill="1" applyAlignment="1">
      <alignment horizontal="left" vertical="top" textRotation="180" wrapText="1"/>
    </xf>
    <xf numFmtId="0" fontId="26" fillId="0" borderId="0" xfId="0" applyFont="1" applyFill="1" applyAlignment="1"/>
    <xf numFmtId="0" fontId="4" fillId="0" borderId="9" xfId="0" applyFont="1" applyBorder="1" applyAlignment="1">
      <alignment horizontal="left" wrapText="1"/>
    </xf>
    <xf numFmtId="0" fontId="4" fillId="0" borderId="10" xfId="0" applyFont="1" applyBorder="1" applyAlignment="1">
      <alignment horizontal="left" wrapText="1"/>
    </xf>
    <xf numFmtId="3" fontId="28" fillId="0" borderId="0" xfId="0" applyNumberFormat="1" applyFont="1" applyBorder="1" applyAlignment="1">
      <alignment horizontal="left" wrapText="1"/>
    </xf>
    <xf numFmtId="0" fontId="4" fillId="0" borderId="0" xfId="0" applyFont="1" applyBorder="1" applyAlignment="1">
      <alignment wrapText="1"/>
    </xf>
    <xf numFmtId="0" fontId="4" fillId="0" borderId="7" xfId="0" applyFont="1" applyBorder="1" applyAlignment="1">
      <alignment wrapText="1"/>
    </xf>
    <xf numFmtId="0" fontId="5" fillId="0" borderId="0" xfId="0" applyFont="1" applyFill="1" applyAlignment="1">
      <alignment horizontal="left" wrapText="1"/>
    </xf>
    <xf numFmtId="0" fontId="28" fillId="0" borderId="7" xfId="0" applyFont="1" applyBorder="1" applyAlignment="1">
      <alignment horizontal="left" wrapText="1"/>
    </xf>
    <xf numFmtId="164" fontId="28" fillId="0" borderId="9" xfId="1" applyNumberFormat="1" applyFont="1" applyFill="1" applyBorder="1" applyAlignment="1">
      <alignment horizontal="center" wrapText="1"/>
    </xf>
    <xf numFmtId="164" fontId="28" fillId="0" borderId="10" xfId="1" applyNumberFormat="1" applyFont="1" applyFill="1" applyBorder="1" applyAlignment="1">
      <alignment horizontal="center" wrapText="1"/>
    </xf>
    <xf numFmtId="0" fontId="28" fillId="0" borderId="7" xfId="0" applyFont="1" applyBorder="1" applyAlignment="1">
      <alignment horizontal="center" wrapText="1"/>
    </xf>
    <xf numFmtId="0" fontId="31" fillId="0" borderId="0" xfId="0" applyFont="1" applyFill="1" applyBorder="1" applyAlignment="1">
      <alignment horizontal="left" vertical="top" wrapText="1"/>
    </xf>
    <xf numFmtId="0" fontId="31" fillId="0" borderId="7" xfId="0" applyFont="1" applyFill="1" applyBorder="1" applyAlignment="1">
      <alignment horizontal="left" vertical="top" wrapText="1"/>
    </xf>
    <xf numFmtId="0" fontId="5" fillId="0" borderId="9" xfId="0" applyFont="1" applyBorder="1" applyAlignment="1">
      <alignment horizontal="left" wrapText="1"/>
    </xf>
    <xf numFmtId="0" fontId="5" fillId="0" borderId="10" xfId="0" applyFont="1" applyBorder="1" applyAlignment="1">
      <alignment horizontal="left" wrapText="1"/>
    </xf>
    <xf numFmtId="0" fontId="31" fillId="0" borderId="7" xfId="0" applyFont="1" applyFill="1" applyBorder="1" applyAlignment="1">
      <alignment horizontal="center" wrapText="1"/>
    </xf>
    <xf numFmtId="0" fontId="28" fillId="0" borderId="10" xfId="0" applyFont="1" applyBorder="1" applyAlignment="1">
      <alignment horizontal="center" wrapText="1"/>
    </xf>
    <xf numFmtId="44" fontId="28" fillId="0" borderId="0" xfId="2" applyFont="1" applyFill="1" applyBorder="1" applyAlignment="1">
      <alignment horizontal="left" wrapText="1"/>
    </xf>
    <xf numFmtId="44" fontId="28" fillId="0" borderId="7" xfId="2" applyFont="1" applyFill="1" applyBorder="1" applyAlignment="1">
      <alignment horizontal="left" wrapText="1"/>
    </xf>
    <xf numFmtId="0" fontId="27" fillId="6" borderId="15" xfId="0" applyFont="1" applyFill="1" applyBorder="1" applyAlignment="1">
      <alignment horizontal="center" wrapText="1"/>
    </xf>
    <xf numFmtId="0" fontId="4" fillId="0" borderId="9" xfId="0" applyFont="1" applyFill="1" applyBorder="1" applyAlignment="1">
      <alignment horizontal="left" wrapText="1"/>
    </xf>
    <xf numFmtId="0" fontId="4" fillId="0" borderId="10" xfId="0" applyFont="1" applyFill="1" applyBorder="1" applyAlignment="1">
      <alignment horizontal="left" wrapText="1"/>
    </xf>
    <xf numFmtId="164" fontId="34" fillId="0" borderId="8" xfId="1" applyNumberFormat="1" applyFont="1" applyFill="1" applyBorder="1" applyAlignment="1">
      <alignment horizontal="center"/>
    </xf>
    <xf numFmtId="164" fontId="4" fillId="0" borderId="9" xfId="1" applyNumberFormat="1" applyFont="1" applyFill="1" applyBorder="1" applyAlignment="1">
      <alignment horizontal="center"/>
    </xf>
    <xf numFmtId="164" fontId="34" fillId="0" borderId="9" xfId="1" applyNumberFormat="1" applyFont="1" applyFill="1" applyBorder="1" applyAlignment="1">
      <alignment horizontal="center"/>
    </xf>
    <xf numFmtId="164" fontId="34" fillId="0" borderId="6" xfId="1" applyNumberFormat="1" applyFont="1" applyFill="1" applyBorder="1" applyAlignment="1">
      <alignment horizontal="center"/>
    </xf>
    <xf numFmtId="164" fontId="4" fillId="0" borderId="0" xfId="1" applyNumberFormat="1" applyFont="1" applyFill="1" applyBorder="1" applyAlignment="1">
      <alignment horizontal="center"/>
    </xf>
    <xf numFmtId="164" fontId="34" fillId="0" borderId="0" xfId="1" applyNumberFormat="1" applyFont="1" applyFill="1" applyBorder="1" applyAlignment="1">
      <alignment horizontal="center"/>
    </xf>
    <xf numFmtId="2" fontId="34"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0" fontId="4" fillId="0" borderId="0" xfId="0" applyFont="1" applyFill="1" applyBorder="1" applyAlignment="1">
      <alignment horizontal="center"/>
    </xf>
    <xf numFmtId="0" fontId="16" fillId="0" borderId="0" xfId="0" applyFont="1" applyAlignment="1"/>
    <xf numFmtId="0" fontId="48" fillId="0" borderId="0" xfId="0" applyFont="1" applyAlignment="1">
      <alignment wrapText="1"/>
    </xf>
    <xf numFmtId="0" fontId="5" fillId="0" borderId="16" xfId="0" applyFont="1" applyBorder="1" applyAlignment="1">
      <alignment horizontal="center" wrapText="1"/>
    </xf>
    <xf numFmtId="0" fontId="4" fillId="0" borderId="14" xfId="0" applyFont="1" applyBorder="1" applyAlignment="1">
      <alignment horizontal="center" wrapText="1"/>
    </xf>
    <xf numFmtId="0" fontId="4" fillId="0" borderId="15" xfId="0" applyFont="1" applyBorder="1" applyAlignment="1">
      <alignment horizontal="center" wrapText="1"/>
    </xf>
    <xf numFmtId="0" fontId="5" fillId="0" borderId="16" xfId="0" applyFont="1" applyFill="1" applyBorder="1" applyAlignment="1">
      <alignment horizontal="center" wrapText="1"/>
    </xf>
    <xf numFmtId="0" fontId="4" fillId="0" borderId="14" xfId="0" applyFont="1" applyFill="1" applyBorder="1" applyAlignment="1">
      <alignment horizontal="center" wrapText="1"/>
    </xf>
    <xf numFmtId="0" fontId="4" fillId="0" borderId="15" xfId="0" applyFont="1" applyFill="1" applyBorder="1" applyAlignment="1">
      <alignment horizontal="center" wrapText="1"/>
    </xf>
    <xf numFmtId="0" fontId="5" fillId="0" borderId="14" xfId="0" applyFont="1" applyFill="1" applyBorder="1" applyAlignment="1">
      <alignment horizontal="center" wrapText="1"/>
    </xf>
    <xf numFmtId="0" fontId="5" fillId="0" borderId="15" xfId="0" applyFont="1" applyFill="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4" fillId="0" borderId="15" xfId="0" applyFont="1" applyBorder="1" applyAlignment="1">
      <alignment horizontal="center"/>
    </xf>
    <xf numFmtId="0" fontId="5" fillId="0" borderId="16" xfId="0" applyFont="1" applyFill="1" applyBorder="1" applyAlignment="1">
      <alignment horizontal="center"/>
    </xf>
    <xf numFmtId="0" fontId="4" fillId="0" borderId="14" xfId="0" applyFont="1" applyFill="1" applyBorder="1" applyAlignment="1">
      <alignment horizontal="center"/>
    </xf>
    <xf numFmtId="0" fontId="4" fillId="0" borderId="15" xfId="0" applyFont="1" applyFill="1" applyBorder="1" applyAlignment="1">
      <alignment horizontal="center"/>
    </xf>
    <xf numFmtId="0" fontId="4" fillId="0" borderId="0" xfId="0" applyFont="1" applyAlignment="1">
      <alignment horizontal="center"/>
    </xf>
    <xf numFmtId="0" fontId="53" fillId="0" borderId="0" xfId="0" applyFont="1" applyAlignment="1">
      <alignment horizontal="center"/>
    </xf>
    <xf numFmtId="0" fontId="60" fillId="0" borderId="0" xfId="16" applyFont="1" applyAlignment="1">
      <alignment horizontal="center"/>
    </xf>
    <xf numFmtId="0" fontId="73" fillId="0" borderId="0" xfId="16" applyFont="1" applyAlignment="1">
      <alignment horizontal="left" vertical="top" wrapText="1"/>
    </xf>
  </cellXfs>
  <cellStyles count="47">
    <cellStyle name="Comma" xfId="1" builtinId="3"/>
    <cellStyle name="Comma [0] 2" xfId="29" xr:uid="{C6DC47A9-03E1-40F4-8D59-33A54FE83F9A}"/>
    <cellStyle name="Comma 10 10 2" xfId="23" xr:uid="{B1FBBBF2-15F9-4E7B-B945-E86A81096B9B}"/>
    <cellStyle name="Comma 10 11" xfId="25" xr:uid="{ACBB846C-A497-4ABA-8BE5-BEE670B9869C}"/>
    <cellStyle name="Comma 10 2 2 3" xfId="46" xr:uid="{27B3ACC4-E830-4B38-801C-360ACBD3CC2F}"/>
    <cellStyle name="Comma 11 5" xfId="18" xr:uid="{00E0F50A-7D74-4D7A-B003-65954CE12943}"/>
    <cellStyle name="Comma 11 5 2" xfId="41" xr:uid="{5F8C5951-80EC-419F-A998-A1A78C757CED}"/>
    <cellStyle name="Comma 158" xfId="38" xr:uid="{A0DF21C3-9398-4D73-94BF-E31F2D6A8FC5}"/>
    <cellStyle name="Comma 2" xfId="10" xr:uid="{00000000-0005-0000-0000-000001000000}"/>
    <cellStyle name="Comma 3" xfId="7" xr:uid="{00000000-0005-0000-0000-000002000000}"/>
    <cellStyle name="Comma 3 2 2 2" xfId="40" xr:uid="{4CAA1CE0-0467-4225-BB4A-2469E2C4A06E}"/>
    <cellStyle name="Comma 4" xfId="39" xr:uid="{5217ED15-B2ED-4391-9490-B27B035D1A8F}"/>
    <cellStyle name="Currency" xfId="2" builtinId="4"/>
    <cellStyle name="Currency [0] 2" xfId="28" xr:uid="{1D81E8DC-A28C-47C9-92A9-BC6726CE8C7B}"/>
    <cellStyle name="Currency 2" xfId="11" xr:uid="{00000000-0005-0000-0000-000004000000}"/>
    <cellStyle name="Currency 2 10" xfId="26" xr:uid="{04D5D954-1820-4BF6-9D63-D427B9DF4018}"/>
    <cellStyle name="Currency 3" xfId="8" xr:uid="{00000000-0005-0000-0000-000005000000}"/>
    <cellStyle name="Currency 4" xfId="30" xr:uid="{868B3564-A7E7-4362-B70D-6979B32FF8B4}"/>
    <cellStyle name="Normal" xfId="0" builtinId="0"/>
    <cellStyle name="Normal 10 2" xfId="16" xr:uid="{1107EA75-FE61-4C78-B20C-99FCF036C840}"/>
    <cellStyle name="Normal 10 2 18" xfId="27" xr:uid="{8EEAB536-8828-4984-94C0-3E9C82532CBC}"/>
    <cellStyle name="Normal 10 2 2" xfId="17" xr:uid="{A9F240EF-59DA-4335-80F3-5E91B91BE306}"/>
    <cellStyle name="Normal 10 2 2 3" xfId="20" xr:uid="{4336250A-795D-4BEC-8FE1-87F422F44DEA}"/>
    <cellStyle name="Normal 11" xfId="22" xr:uid="{354A5658-E2F5-428D-AEB6-C0DD15B768F6}"/>
    <cellStyle name="Normal 156" xfId="19" xr:uid="{6C1E73A1-8B30-4E6E-A711-029683407F31}"/>
    <cellStyle name="Normal 156 2" xfId="42" xr:uid="{70FC9994-4D70-4BB3-9BD1-94D2E5BBA27B}"/>
    <cellStyle name="Normal 2" xfId="9" xr:uid="{00000000-0005-0000-0000-000007000000}"/>
    <cellStyle name="Normal 2 10" xfId="45" xr:uid="{CACE750B-AFF6-42F1-8772-701653B91664}"/>
    <cellStyle name="Normal 2 2" xfId="44" xr:uid="{E4CC35A5-2D9F-4195-8FB2-BA2C670AB842}"/>
    <cellStyle name="Normal 3" xfId="6" xr:uid="{00000000-0005-0000-0000-000008000000}"/>
    <cellStyle name="Normal 5" xfId="13" xr:uid="{C831D463-2AF4-46F4-90CB-B2131F228C18}"/>
    <cellStyle name="Normal 5 60" xfId="15" xr:uid="{3B5363CD-DCBC-4A22-AD14-C9E4CD9F81C0}"/>
    <cellStyle name="Normal 55 4" xfId="21" xr:uid="{E246B0AA-A71B-4CD7-B3B6-5F30907FBFF4}"/>
    <cellStyle name="Normal 55 4 2" xfId="43" xr:uid="{FF88AE84-6BDA-4EB9-8B78-7D9DB270AC9B}"/>
    <cellStyle name="Normal 6 12" xfId="14" xr:uid="{1EFF9654-FD8D-411E-A297-239361CF5260}"/>
    <cellStyle name="Normal_1995 FCWS" xfId="3" xr:uid="{00000000-0005-0000-0000-000009000000}"/>
    <cellStyle name="Normal_2002 Sch M Adds and Deducts 8-14-03" xfId="31" xr:uid="{A00B4CC2-8376-497E-B757-739DC0697808}"/>
    <cellStyle name="Normal_FN1 Ratebase Draft SPP template (6-11-04) v2" xfId="4" xr:uid="{00000000-0005-0000-0000-00000A000000}"/>
    <cellStyle name="Percent" xfId="5" builtinId="5"/>
    <cellStyle name="Percent 2" xfId="12" xr:uid="{00000000-0005-0000-0000-00000C000000}"/>
    <cellStyle name="Percent 2 10" xfId="24" xr:uid="{EF640663-66B7-4B9E-B625-BD08D7885D6E}"/>
    <cellStyle name="PSChar" xfId="32" xr:uid="{0EF09A37-E8DE-44A3-98D3-59723F6A41C4}"/>
    <cellStyle name="PSDate" xfId="33" xr:uid="{8B51A511-5BA7-4571-83E6-A09539974DBD}"/>
    <cellStyle name="PSDec" xfId="34" xr:uid="{9E398A7A-65A4-4B04-B81E-6F30C5B17750}"/>
    <cellStyle name="PSHeading" xfId="35" xr:uid="{21883F36-9634-4D4F-8309-924EE83EA29F}"/>
    <cellStyle name="PSInt" xfId="36" xr:uid="{B1D67382-F1E0-4CFF-8867-4A99F87824EB}"/>
    <cellStyle name="PSSpacer" xfId="37" xr:uid="{E11153FA-C4BE-4362-B58C-9FA97109C4FB}"/>
  </cellStyles>
  <dxfs count="0"/>
  <tableStyles count="0" defaultTableStyle="TableStyleMedium9" defaultPivotStyle="PivotStyleLight16"/>
  <colors>
    <mruColors>
      <color rgb="FFFFFF00"/>
      <color rgb="FF00CC66"/>
      <color rgb="FF66FF66"/>
      <color rgb="FFFF99CC"/>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117" Type="http://schemas.openxmlformats.org/officeDocument/2006/relationships/calcChain" Target="calcChain.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87" Type="http://schemas.openxmlformats.org/officeDocument/2006/relationships/externalLink" Target="externalLinks/externalLink72.xml"/><Relationship Id="rId102" Type="http://schemas.openxmlformats.org/officeDocument/2006/relationships/externalLink" Target="externalLinks/externalLink87.xml"/><Relationship Id="rId110" Type="http://schemas.openxmlformats.org/officeDocument/2006/relationships/externalLink" Target="externalLinks/externalLink95.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13" Type="http://schemas.openxmlformats.org/officeDocument/2006/relationships/externalLink" Target="externalLinks/externalLink98.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16" Type="http://schemas.openxmlformats.org/officeDocument/2006/relationships/sharedStrings" Target="sharedStrings.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11" Type="http://schemas.openxmlformats.org/officeDocument/2006/relationships/externalLink" Target="externalLinks/externalLink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cell r="E225"/>
          <cell r="F225"/>
          <cell r="G225"/>
          <cell r="H225"/>
          <cell r="I225"/>
          <cell r="J225"/>
          <cell r="K225"/>
          <cell r="L225"/>
          <cell r="M225"/>
          <cell r="N225"/>
          <cell r="O225"/>
          <cell r="P225"/>
          <cell r="Q225"/>
          <cell r="R225"/>
        </row>
        <row r="226">
          <cell r="C226">
            <v>0</v>
          </cell>
          <cell r="D226"/>
          <cell r="E226"/>
          <cell r="F226"/>
          <cell r="G226"/>
          <cell r="H226"/>
          <cell r="I226"/>
          <cell r="J226"/>
          <cell r="K226"/>
          <cell r="L226"/>
          <cell r="M226"/>
          <cell r="N226"/>
          <cell r="O226"/>
          <cell r="P226"/>
          <cell r="Q226"/>
          <cell r="R226"/>
        </row>
        <row r="227">
          <cell r="C227">
            <v>0</v>
          </cell>
          <cell r="D227"/>
          <cell r="E227"/>
          <cell r="F227"/>
          <cell r="G227"/>
          <cell r="H227"/>
          <cell r="I227"/>
          <cell r="J227"/>
          <cell r="K227"/>
          <cell r="L227"/>
          <cell r="M227"/>
          <cell r="N227"/>
          <cell r="O227"/>
          <cell r="P227"/>
          <cell r="Q227"/>
          <cell r="R227"/>
        </row>
        <row r="228">
          <cell r="C228">
            <v>0</v>
          </cell>
          <cell r="D228"/>
          <cell r="E228"/>
          <cell r="F228"/>
          <cell r="G228"/>
          <cell r="H228"/>
          <cell r="I228"/>
          <cell r="J228"/>
          <cell r="K228"/>
          <cell r="L228"/>
          <cell r="M228"/>
          <cell r="N228"/>
          <cell r="O228"/>
          <cell r="P228"/>
          <cell r="Q228"/>
          <cell r="R228"/>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cell r="E251"/>
          <cell r="F251"/>
          <cell r="G251"/>
          <cell r="H251"/>
          <cell r="I251"/>
          <cell r="J251"/>
          <cell r="K251"/>
          <cell r="L251"/>
          <cell r="M251"/>
          <cell r="N251"/>
          <cell r="O251"/>
          <cell r="P251"/>
          <cell r="Q251"/>
          <cell r="R251">
            <v>0</v>
          </cell>
        </row>
        <row r="252">
          <cell r="C252">
            <v>0</v>
          </cell>
          <cell r="D252"/>
          <cell r="E252"/>
          <cell r="F252"/>
          <cell r="G252"/>
          <cell r="H252"/>
          <cell r="I252"/>
          <cell r="J252"/>
          <cell r="K252"/>
          <cell r="L252"/>
          <cell r="M252"/>
          <cell r="N252"/>
          <cell r="O252"/>
          <cell r="P252"/>
          <cell r="Q252"/>
          <cell r="R252">
            <v>0</v>
          </cell>
        </row>
        <row r="253">
          <cell r="C253">
            <v>0</v>
          </cell>
          <cell r="D253"/>
          <cell r="E253"/>
          <cell r="F253"/>
          <cell r="G253"/>
          <cell r="H253"/>
          <cell r="I253"/>
          <cell r="J253"/>
          <cell r="K253"/>
          <cell r="L253"/>
          <cell r="M253"/>
          <cell r="N253"/>
          <cell r="O253"/>
          <cell r="P253"/>
          <cell r="Q253"/>
          <cell r="R253">
            <v>0</v>
          </cell>
        </row>
        <row r="254">
          <cell r="C254">
            <v>0</v>
          </cell>
          <cell r="D254"/>
          <cell r="E254"/>
          <cell r="F254"/>
          <cell r="G254"/>
          <cell r="H254"/>
          <cell r="I254"/>
          <cell r="J254"/>
          <cell r="K254"/>
          <cell r="L254"/>
          <cell r="M254"/>
          <cell r="N254"/>
          <cell r="O254"/>
          <cell r="P254"/>
          <cell r="Q254"/>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cell r="E277"/>
          <cell r="F277"/>
          <cell r="G277"/>
          <cell r="H277"/>
          <cell r="I277"/>
          <cell r="J277"/>
          <cell r="K277"/>
          <cell r="L277"/>
          <cell r="M277"/>
          <cell r="N277"/>
          <cell r="O277"/>
          <cell r="P277"/>
          <cell r="Q277"/>
          <cell r="R277">
            <v>0</v>
          </cell>
        </row>
        <row r="278">
          <cell r="C278">
            <v>0</v>
          </cell>
          <cell r="D278"/>
          <cell r="E278"/>
          <cell r="F278"/>
          <cell r="G278"/>
          <cell r="H278"/>
          <cell r="I278"/>
          <cell r="J278"/>
          <cell r="K278"/>
          <cell r="L278"/>
          <cell r="M278"/>
          <cell r="N278"/>
          <cell r="O278"/>
          <cell r="P278"/>
          <cell r="Q278"/>
          <cell r="R278">
            <v>0</v>
          </cell>
        </row>
        <row r="279">
          <cell r="C279">
            <v>0</v>
          </cell>
          <cell r="D279"/>
          <cell r="E279"/>
          <cell r="F279"/>
          <cell r="G279"/>
          <cell r="H279"/>
          <cell r="I279"/>
          <cell r="J279"/>
          <cell r="K279"/>
          <cell r="L279"/>
          <cell r="M279"/>
          <cell r="N279"/>
          <cell r="O279"/>
          <cell r="P279"/>
          <cell r="Q279"/>
          <cell r="R279">
            <v>0</v>
          </cell>
        </row>
        <row r="280">
          <cell r="C280">
            <v>0</v>
          </cell>
          <cell r="D280"/>
          <cell r="E280"/>
          <cell r="F280"/>
          <cell r="G280"/>
          <cell r="H280"/>
          <cell r="I280"/>
          <cell r="J280"/>
          <cell r="K280"/>
          <cell r="L280"/>
          <cell r="M280"/>
          <cell r="N280"/>
          <cell r="O280"/>
          <cell r="P280"/>
          <cell r="Q280"/>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A1:IK384"/>
  <sheetViews>
    <sheetView tabSelected="1" zoomScale="80" zoomScaleNormal="80" workbookViewId="0">
      <selection activeCell="D21" sqref="D21"/>
    </sheetView>
  </sheetViews>
  <sheetFormatPr defaultColWidth="9.1796875" defaultRowHeight="15.5"/>
  <cols>
    <col min="1" max="1" width="13.7265625" style="39" customWidth="1"/>
    <col min="2" max="2" width="5.7265625" style="9" customWidth="1"/>
    <col min="3" max="3" width="57.453125" style="9" customWidth="1"/>
    <col min="4" max="4" width="34.81640625" style="9" customWidth="1"/>
    <col min="5" max="5" width="25.81640625" style="962" bestFit="1" customWidth="1"/>
    <col min="6" max="6" width="43.54296875" style="21" customWidth="1"/>
    <col min="7" max="7" width="3.81640625" style="21" customWidth="1"/>
    <col min="8" max="8" width="22.1796875" style="21" customWidth="1"/>
    <col min="9" max="9" width="16" style="27" customWidth="1"/>
    <col min="10" max="10" width="22.1796875" style="21" customWidth="1"/>
    <col min="11" max="11" width="12.1796875" style="27" bestFit="1" customWidth="1"/>
    <col min="12" max="12" width="17" style="27" bestFit="1" customWidth="1"/>
    <col min="13" max="17" width="9.1796875" style="27"/>
    <col min="18" max="18" width="17" style="27" bestFit="1" customWidth="1"/>
    <col min="19" max="16384" width="9.1796875" style="27"/>
  </cols>
  <sheetData>
    <row r="1" spans="1:10">
      <c r="A1" s="148"/>
      <c r="H1" s="42"/>
      <c r="J1" s="42"/>
    </row>
    <row r="2" spans="1:10" ht="18">
      <c r="A2" s="148"/>
      <c r="D2" s="961" t="s">
        <v>622</v>
      </c>
      <c r="H2" s="42"/>
      <c r="J2" s="42"/>
    </row>
    <row r="3" spans="1:10" ht="25.5" customHeight="1" thickBot="1">
      <c r="J3" s="65"/>
    </row>
    <row r="4" spans="1:10" ht="27" customHeight="1">
      <c r="A4" s="454" t="s">
        <v>64</v>
      </c>
      <c r="B4" s="452"/>
      <c r="C4" s="452"/>
      <c r="D4" s="452"/>
      <c r="E4" s="453"/>
      <c r="F4" s="1475" t="s">
        <v>647</v>
      </c>
      <c r="H4" s="1477">
        <v>2020</v>
      </c>
      <c r="J4" s="1473"/>
    </row>
    <row r="5" spans="1:10" ht="27" customHeight="1" thickBot="1">
      <c r="A5" s="549" t="s">
        <v>646</v>
      </c>
      <c r="B5" s="730"/>
      <c r="C5" s="730"/>
      <c r="D5" s="730"/>
      <c r="E5" s="1202" t="s">
        <v>340</v>
      </c>
      <c r="F5" s="1476"/>
      <c r="H5" s="1478"/>
      <c r="J5" s="1473"/>
    </row>
    <row r="6" spans="1:10" s="136" customFormat="1" ht="23.25" customHeight="1">
      <c r="A6" s="154" t="s">
        <v>45</v>
      </c>
      <c r="B6" s="731"/>
      <c r="C6" s="731"/>
      <c r="D6" s="731"/>
      <c r="E6" s="1203"/>
      <c r="F6" s="155"/>
      <c r="G6" s="138"/>
      <c r="H6" s="155"/>
      <c r="J6" s="155"/>
    </row>
    <row r="7" spans="1:10" s="791" customFormat="1">
      <c r="A7" s="732" t="s">
        <v>211</v>
      </c>
      <c r="B7" s="733"/>
      <c r="C7" s="733"/>
      <c r="D7" s="733"/>
      <c r="E7" s="1204"/>
      <c r="F7" s="734"/>
      <c r="G7" s="734"/>
      <c r="H7" s="735"/>
      <c r="J7" s="1301"/>
    </row>
    <row r="8" spans="1:10">
      <c r="A8" s="59"/>
      <c r="B8" s="47"/>
      <c r="C8" s="47"/>
      <c r="D8" s="47"/>
      <c r="E8" s="1203"/>
      <c r="F8" s="65"/>
      <c r="G8" s="65"/>
      <c r="H8" s="71"/>
      <c r="J8" s="71"/>
    </row>
    <row r="9" spans="1:10">
      <c r="A9" s="19"/>
      <c r="B9" s="7" t="s">
        <v>218</v>
      </c>
      <c r="E9" s="450"/>
      <c r="F9" s="626"/>
      <c r="G9" s="626"/>
      <c r="H9" s="626"/>
      <c r="J9" s="568"/>
    </row>
    <row r="10" spans="1:10">
      <c r="A10" s="8">
        <v>1</v>
      </c>
      <c r="B10" s="8"/>
      <c r="C10" s="65" t="s">
        <v>163</v>
      </c>
      <c r="D10" s="132"/>
      <c r="E10" s="56"/>
      <c r="F10" s="626" t="s">
        <v>173</v>
      </c>
      <c r="G10" s="9"/>
      <c r="H10" s="1347">
        <v>21168480</v>
      </c>
      <c r="I10" s="136"/>
      <c r="J10" s="800"/>
    </row>
    <row r="11" spans="1:10">
      <c r="A11" s="962"/>
      <c r="J11" s="65"/>
    </row>
    <row r="12" spans="1:10">
      <c r="A12" s="8">
        <f>+A10+1</f>
        <v>2</v>
      </c>
      <c r="B12" s="8"/>
      <c r="C12" s="65" t="s">
        <v>164</v>
      </c>
      <c r="D12" s="65"/>
      <c r="E12" s="108"/>
      <c r="F12" s="65" t="s">
        <v>174</v>
      </c>
      <c r="G12" s="9"/>
      <c r="H12" s="1347">
        <v>159038874</v>
      </c>
      <c r="I12" s="136"/>
      <c r="J12" s="800"/>
    </row>
    <row r="13" spans="1:10">
      <c r="A13" s="8">
        <f>+A12+1</f>
        <v>3</v>
      </c>
      <c r="B13" s="8"/>
      <c r="C13" s="65" t="s">
        <v>212</v>
      </c>
      <c r="D13" s="65"/>
      <c r="F13" s="65" t="s">
        <v>175</v>
      </c>
      <c r="G13" s="9"/>
      <c r="H13" s="1347">
        <v>27614816</v>
      </c>
      <c r="I13" s="136"/>
      <c r="J13" s="800"/>
    </row>
    <row r="14" spans="1:10">
      <c r="A14" s="8">
        <f>+A13+1</f>
        <v>4</v>
      </c>
      <c r="B14" s="8"/>
      <c r="C14" s="737" t="s">
        <v>322</v>
      </c>
      <c r="D14" s="738"/>
      <c r="E14" s="739"/>
      <c r="F14" s="738" t="str">
        <f>"(Line "&amp;A12&amp;" - "&amp;A13&amp;")"</f>
        <v>(Line 2 - 3)</v>
      </c>
      <c r="G14" s="32"/>
      <c r="H14" s="738">
        <f>+H12-H13</f>
        <v>131424058</v>
      </c>
      <c r="J14" s="568"/>
    </row>
    <row r="15" spans="1:10">
      <c r="A15" s="8"/>
      <c r="B15" s="8"/>
      <c r="C15" s="740"/>
      <c r="E15" s="450"/>
      <c r="F15" s="490"/>
      <c r="G15" s="9"/>
      <c r="H15" s="626"/>
      <c r="J15" s="568"/>
    </row>
    <row r="16" spans="1:10" ht="16" thickBot="1">
      <c r="A16" s="8">
        <v>5</v>
      </c>
      <c r="B16" s="15" t="s">
        <v>295</v>
      </c>
      <c r="C16" s="15"/>
      <c r="D16" s="72"/>
      <c r="E16" s="741"/>
      <c r="F16" s="742" t="str">
        <f>"(Line "&amp;A10&amp;" / "&amp;A14&amp;")"</f>
        <v>(Line 1 / 4)</v>
      </c>
      <c r="G16" s="73"/>
      <c r="H16" s="67">
        <f>+H10/H14</f>
        <v>0.16107005309484509</v>
      </c>
      <c r="I16" s="136"/>
      <c r="J16" s="1420"/>
    </row>
    <row r="17" spans="1:10" ht="16" thickTop="1">
      <c r="A17" s="8"/>
      <c r="B17" s="8"/>
      <c r="C17" s="7"/>
      <c r="D17" s="26"/>
      <c r="E17" s="743"/>
      <c r="F17" s="9"/>
      <c r="G17" s="9"/>
      <c r="H17" s="13"/>
      <c r="J17" s="1420"/>
    </row>
    <row r="18" spans="1:10">
      <c r="A18" s="962"/>
      <c r="B18" s="7" t="s">
        <v>316</v>
      </c>
      <c r="D18" s="21"/>
      <c r="J18" s="65"/>
    </row>
    <row r="19" spans="1:10">
      <c r="A19" s="44">
        <f>+A16+1</f>
        <v>6</v>
      </c>
      <c r="B19" s="21"/>
      <c r="C19" s="65" t="s">
        <v>333</v>
      </c>
      <c r="E19" s="123"/>
      <c r="F19" s="65" t="s">
        <v>55</v>
      </c>
      <c r="H19" s="698">
        <f>+'5 - Cost Support'!H9</f>
        <v>8797978013.4799995</v>
      </c>
      <c r="I19" s="136"/>
      <c r="J19" s="568"/>
    </row>
    <row r="20" spans="1:10">
      <c r="A20" s="44">
        <f>+A19+1</f>
        <v>7</v>
      </c>
      <c r="B20" s="21"/>
      <c r="C20" s="65" t="s">
        <v>213</v>
      </c>
      <c r="E20" s="123" t="str">
        <f>"(Note "&amp;B$311&amp;")"</f>
        <v>(Note A)</v>
      </c>
      <c r="F20" s="744" t="str">
        <f>"(Line "&amp;A$46&amp;")"</f>
        <v>(Line 24)</v>
      </c>
      <c r="H20" s="571">
        <f>+H46</f>
        <v>802099159.28999996</v>
      </c>
      <c r="I20" s="136"/>
      <c r="J20" s="568"/>
    </row>
    <row r="21" spans="1:10">
      <c r="A21" s="44">
        <f>+A20+1</f>
        <v>8</v>
      </c>
      <c r="B21" s="21"/>
      <c r="C21" s="31" t="s">
        <v>217</v>
      </c>
      <c r="D21" s="32"/>
      <c r="E21" s="115"/>
      <c r="F21" s="699" t="str">
        <f>"(Sum Lines "&amp;A19&amp;" &amp; "&amp;A20&amp;")"</f>
        <v>(Sum Lines 6 &amp; 7)</v>
      </c>
      <c r="G21" s="30"/>
      <c r="H21" s="699">
        <f>SUM(H19:H20)</f>
        <v>9600077172.7700005</v>
      </c>
      <c r="I21" s="136"/>
      <c r="J21" s="568"/>
    </row>
    <row r="22" spans="1:10">
      <c r="A22" s="56"/>
      <c r="B22" s="21"/>
      <c r="C22" s="65"/>
      <c r="E22" s="131"/>
      <c r="F22" s="65"/>
      <c r="H22" s="571"/>
      <c r="J22" s="568"/>
    </row>
    <row r="23" spans="1:10">
      <c r="A23" s="44">
        <f>+A21+1</f>
        <v>9</v>
      </c>
      <c r="B23" s="21"/>
      <c r="C23" s="65" t="s">
        <v>161</v>
      </c>
      <c r="F23" s="65" t="s">
        <v>55</v>
      </c>
      <c r="H23" s="698">
        <f>+'5 - Cost Support'!H10</f>
        <v>2966818141.8099999</v>
      </c>
      <c r="I23" s="136"/>
      <c r="J23" s="568"/>
    </row>
    <row r="24" spans="1:10">
      <c r="A24" s="44">
        <f>+A23+1</f>
        <v>10</v>
      </c>
      <c r="B24" s="21"/>
      <c r="C24" s="65" t="s">
        <v>341</v>
      </c>
      <c r="E24" s="123" t="str">
        <f>"(Note "&amp;B$311&amp;")"</f>
        <v>(Note A)</v>
      </c>
      <c r="F24" s="568" t="s">
        <v>354</v>
      </c>
      <c r="H24" s="698">
        <v>55505365</v>
      </c>
      <c r="I24" s="136"/>
      <c r="J24" s="568"/>
    </row>
    <row r="25" spans="1:10">
      <c r="A25" s="44">
        <f>+A24+1</f>
        <v>11</v>
      </c>
      <c r="B25" s="21"/>
      <c r="C25" s="65" t="s">
        <v>311</v>
      </c>
      <c r="E25" s="123" t="str">
        <f>"(Note "&amp;B$311&amp;")"</f>
        <v>(Note A)</v>
      </c>
      <c r="F25" s="626" t="s">
        <v>165</v>
      </c>
      <c r="H25" s="698">
        <f>+'5 - Cost Support'!H12</f>
        <v>0</v>
      </c>
      <c r="I25" s="136"/>
      <c r="J25" s="568"/>
    </row>
    <row r="26" spans="1:10">
      <c r="A26" s="44">
        <f>+A25+1</f>
        <v>12</v>
      </c>
      <c r="C26" s="47" t="s">
        <v>342</v>
      </c>
      <c r="E26" s="123" t="str">
        <f>"(Note "&amp;B$311&amp;")"</f>
        <v>(Note A)</v>
      </c>
      <c r="F26" s="571" t="s">
        <v>55</v>
      </c>
      <c r="H26" s="698">
        <f>+'5 - Cost Support'!H13</f>
        <v>260798599.71000001</v>
      </c>
      <c r="I26" s="136"/>
      <c r="J26" s="568"/>
    </row>
    <row r="27" spans="1:10">
      <c r="A27" s="44">
        <f>+A26+1</f>
        <v>13</v>
      </c>
      <c r="C27" s="31" t="s">
        <v>216</v>
      </c>
      <c r="D27" s="32"/>
      <c r="E27" s="110"/>
      <c r="F27" s="738" t="str">
        <f>"(Sum Lines "&amp;A23&amp;" to "&amp;A26&amp;")"</f>
        <v>(Sum Lines 9 to 12)</v>
      </c>
      <c r="G27" s="30"/>
      <c r="H27" s="699">
        <f>SUM(H23:H26)</f>
        <v>3283122106.52</v>
      </c>
      <c r="I27" s="136"/>
      <c r="J27" s="568"/>
    </row>
    <row r="28" spans="1:10" ht="17.5" customHeight="1">
      <c r="A28" s="962"/>
      <c r="C28" s="47"/>
      <c r="F28" s="626"/>
      <c r="H28" s="53"/>
      <c r="J28" s="800"/>
    </row>
    <row r="29" spans="1:10">
      <c r="A29" s="8">
        <f>+A27+1</f>
        <v>14</v>
      </c>
      <c r="B29" s="21"/>
      <c r="C29" s="30" t="s">
        <v>307</v>
      </c>
      <c r="D29" s="30"/>
      <c r="E29" s="110"/>
      <c r="F29" s="738" t="str">
        <f>"(Line "&amp;A21&amp;" - "&amp;A27&amp;")"</f>
        <v>(Line 8 - 13)</v>
      </c>
      <c r="G29" s="30"/>
      <c r="H29" s="738">
        <f>+H21-H27</f>
        <v>6316955066.25</v>
      </c>
      <c r="I29" s="136"/>
      <c r="J29" s="568"/>
    </row>
    <row r="30" spans="1:10">
      <c r="A30" s="962"/>
      <c r="B30" s="21"/>
      <c r="C30" s="21"/>
      <c r="D30" s="21"/>
      <c r="J30" s="65"/>
    </row>
    <row r="31" spans="1:10">
      <c r="A31" s="44">
        <f>+A29+1</f>
        <v>15</v>
      </c>
      <c r="B31" s="21"/>
      <c r="C31" s="21" t="s">
        <v>214</v>
      </c>
      <c r="D31" s="21"/>
      <c r="F31" s="744" t="str">
        <f>"(Line "&amp;A53&amp;" - Line "&amp;A51&amp;")"</f>
        <v>(Line 29 - Line 28)</v>
      </c>
      <c r="H31" s="53">
        <f>+H53-H51</f>
        <v>2128490162.0962782</v>
      </c>
      <c r="I31" s="136"/>
      <c r="J31" s="800"/>
    </row>
    <row r="32" spans="1:10" ht="16" thickBot="1">
      <c r="A32" s="8">
        <f>+A31+1</f>
        <v>16</v>
      </c>
      <c r="B32" s="17" t="s">
        <v>144</v>
      </c>
      <c r="C32" s="17"/>
      <c r="D32" s="68"/>
      <c r="E32" s="111"/>
      <c r="F32" s="742" t="str">
        <f>"(Line "&amp;A31&amp;" / "&amp;A21&amp;")"</f>
        <v>(Line 15 / 8)</v>
      </c>
      <c r="G32" s="68"/>
      <c r="H32" s="67">
        <f>+H31/(H21)</f>
        <v>0.221715942881543</v>
      </c>
      <c r="J32" s="1420"/>
    </row>
    <row r="33" spans="1:12" ht="16" thickTop="1">
      <c r="A33" s="962"/>
      <c r="F33" s="1"/>
      <c r="J33" s="65"/>
    </row>
    <row r="34" spans="1:12">
      <c r="A34" s="44">
        <f>+A32+1</f>
        <v>17</v>
      </c>
      <c r="B34" s="8"/>
      <c r="C34" s="745" t="s">
        <v>215</v>
      </c>
      <c r="D34" s="26"/>
      <c r="E34" s="743"/>
      <c r="F34" s="744" t="str">
        <f>"(Line "&amp;A69&amp;" - Line "&amp;A51&amp;")"</f>
        <v>(Line 39 - Line 28)</v>
      </c>
      <c r="G34" s="9"/>
      <c r="H34" s="53">
        <f>+H69-H51</f>
        <v>1596524811.5463831</v>
      </c>
      <c r="I34" s="136"/>
      <c r="J34" s="800"/>
    </row>
    <row r="35" spans="1:12" ht="16" thickBot="1">
      <c r="A35" s="8">
        <f>+A34+1</f>
        <v>18</v>
      </c>
      <c r="B35" s="17" t="s">
        <v>308</v>
      </c>
      <c r="C35" s="17"/>
      <c r="D35" s="68"/>
      <c r="E35" s="111"/>
      <c r="F35" s="742" t="str">
        <f>"(Line "&amp;A34&amp;" / "&amp;A29&amp;")"</f>
        <v>(Line 17 / 14)</v>
      </c>
      <c r="G35" s="68"/>
      <c r="H35" s="67">
        <f>+H34/H29</f>
        <v>0.25273645210431184</v>
      </c>
      <c r="I35" s="136"/>
      <c r="J35" s="1420"/>
    </row>
    <row r="36" spans="1:12" ht="16" thickTop="1">
      <c r="A36" s="23"/>
      <c r="B36" s="8"/>
      <c r="C36" s="7"/>
      <c r="D36" s="26"/>
      <c r="E36" s="743"/>
      <c r="F36" s="9"/>
      <c r="G36" s="9"/>
      <c r="H36" s="13"/>
      <c r="J36" s="1420"/>
    </row>
    <row r="37" spans="1:12" s="791" customFormat="1">
      <c r="A37" s="732" t="s">
        <v>306</v>
      </c>
      <c r="B37" s="733"/>
      <c r="C37" s="733"/>
      <c r="D37" s="733"/>
      <c r="E37" s="1204"/>
      <c r="F37" s="734"/>
      <c r="G37" s="734"/>
      <c r="H37" s="735"/>
      <c r="J37" s="1301"/>
    </row>
    <row r="38" spans="1:12">
      <c r="A38" s="74"/>
      <c r="B38" s="75"/>
      <c r="C38" s="47"/>
      <c r="D38" s="47"/>
      <c r="E38" s="1203"/>
      <c r="F38" s="65"/>
      <c r="G38" s="65"/>
      <c r="H38" s="71"/>
      <c r="J38" s="71"/>
    </row>
    <row r="39" spans="1:12">
      <c r="A39" s="962"/>
      <c r="B39" s="7" t="s">
        <v>263</v>
      </c>
      <c r="E39" s="743"/>
      <c r="F39" s="571"/>
      <c r="G39" s="19"/>
      <c r="H39" s="626"/>
      <c r="J39" s="568"/>
    </row>
    <row r="40" spans="1:12">
      <c r="A40" s="44">
        <f>+A35+1</f>
        <v>19</v>
      </c>
      <c r="B40" s="8"/>
      <c r="C40" s="740" t="s">
        <v>300</v>
      </c>
      <c r="E40" s="123"/>
      <c r="F40" s="571" t="s">
        <v>55</v>
      </c>
      <c r="G40" s="9"/>
      <c r="H40" s="698">
        <f>+'5 - Cost Support'!H15</f>
        <v>2036661091</v>
      </c>
      <c r="I40" s="136"/>
      <c r="J40" s="568"/>
    </row>
    <row r="41" spans="1:12">
      <c r="A41" s="746">
        <f>+A40+1</f>
        <v>20</v>
      </c>
      <c r="B41" s="44"/>
      <c r="C41" s="1474" t="s">
        <v>437</v>
      </c>
      <c r="D41" s="1474"/>
      <c r="E41" s="571" t="s">
        <v>112</v>
      </c>
      <c r="F41" s="59" t="s">
        <v>52</v>
      </c>
      <c r="G41" s="9"/>
      <c r="H41" s="698">
        <v>117850079.69</v>
      </c>
      <c r="I41" s="136"/>
      <c r="J41" s="568"/>
    </row>
    <row r="42" spans="1:12">
      <c r="A42" s="44">
        <f>+A41+1</f>
        <v>21</v>
      </c>
      <c r="B42" s="8"/>
      <c r="C42" s="747" t="s">
        <v>574</v>
      </c>
      <c r="D42" s="60"/>
      <c r="E42" s="130" t="str">
        <f>"(Note "&amp;B$312&amp;")"</f>
        <v>(Note B)</v>
      </c>
      <c r="F42" s="57" t="str">
        <f>+F41</f>
        <v>Attachment 6</v>
      </c>
      <c r="G42" s="60"/>
      <c r="H42" s="748">
        <v>45130665.405416667</v>
      </c>
      <c r="I42" s="136"/>
      <c r="J42" s="568"/>
    </row>
    <row r="43" spans="1:12">
      <c r="A43" s="44">
        <f>+A42+1</f>
        <v>22</v>
      </c>
      <c r="B43" s="8"/>
      <c r="C43" s="5" t="s">
        <v>573</v>
      </c>
      <c r="E43" s="123"/>
      <c r="F43" s="566" t="str">
        <f>"(Line "&amp;A40&amp;" - "&amp;A41&amp;" + "&amp;A42&amp;")"</f>
        <v>(Line 19 - 20 + 21)</v>
      </c>
      <c r="G43" s="9"/>
      <c r="H43" s="455">
        <f>+H40-H41+H42</f>
        <v>1963941676.7154167</v>
      </c>
      <c r="I43" s="136"/>
      <c r="J43" s="83"/>
    </row>
    <row r="44" spans="1:12">
      <c r="A44" s="44"/>
      <c r="B44" s="44"/>
      <c r="C44" s="745"/>
      <c r="D44" s="26"/>
      <c r="E44" s="56"/>
      <c r="F44" s="571"/>
      <c r="G44" s="26"/>
      <c r="H44" s="571"/>
      <c r="J44" s="568"/>
    </row>
    <row r="45" spans="1:12">
      <c r="A45" s="44">
        <f>+A43+1</f>
        <v>23</v>
      </c>
      <c r="B45" s="8"/>
      <c r="C45" s="740" t="s">
        <v>299</v>
      </c>
      <c r="F45" s="571" t="s">
        <v>55</v>
      </c>
      <c r="G45" s="9"/>
      <c r="H45" s="698">
        <f>+'5 - Cost Support'!H16</f>
        <v>219496613.59999999</v>
      </c>
      <c r="I45" s="136"/>
      <c r="J45" s="568"/>
    </row>
    <row r="46" spans="1:12">
      <c r="A46" s="44">
        <f>+A45+1</f>
        <v>24</v>
      </c>
      <c r="B46" s="8"/>
      <c r="C46" s="740" t="s">
        <v>220</v>
      </c>
      <c r="E46" s="123" t="str">
        <f>"(Notes "&amp;B$311&amp;")"</f>
        <v>(Notes A)</v>
      </c>
      <c r="F46" s="569" t="s">
        <v>55</v>
      </c>
      <c r="G46" s="9"/>
      <c r="H46" s="698">
        <f>+'5 - Cost Support'!H17</f>
        <v>802099159.28999996</v>
      </c>
      <c r="I46" s="136"/>
      <c r="J46" s="568"/>
      <c r="L46" s="704"/>
    </row>
    <row r="47" spans="1:12">
      <c r="A47" s="44">
        <f>+A46+1</f>
        <v>25</v>
      </c>
      <c r="B47" s="8"/>
      <c r="C47" s="737" t="s">
        <v>302</v>
      </c>
      <c r="D47" s="32"/>
      <c r="E47" s="110"/>
      <c r="F47" s="566" t="str">
        <f>"(Line "&amp;A45&amp;" + "&amp;A46&amp;")"</f>
        <v>(Line 23 + 24)</v>
      </c>
      <c r="G47" s="32"/>
      <c r="H47" s="738">
        <f>SUM(H45:H46)</f>
        <v>1021595772.89</v>
      </c>
      <c r="I47" s="136"/>
      <c r="J47" s="568"/>
    </row>
    <row r="48" spans="1:12">
      <c r="A48" s="44">
        <f>+A47+1</f>
        <v>26</v>
      </c>
      <c r="B48" s="8"/>
      <c r="C48" s="25" t="s">
        <v>317</v>
      </c>
      <c r="D48" s="745"/>
      <c r="E48" s="743"/>
      <c r="F48" s="744" t="str">
        <f>"(Line "&amp;A$16&amp;")"</f>
        <v>(Line 5)</v>
      </c>
      <c r="G48" s="6"/>
      <c r="H48" s="750">
        <f>+H16</f>
        <v>0.16107005309484509</v>
      </c>
      <c r="I48" s="136"/>
      <c r="J48" s="1421"/>
    </row>
    <row r="49" spans="1:10">
      <c r="A49" s="44">
        <f>+A48+1</f>
        <v>27</v>
      </c>
      <c r="B49" s="21"/>
      <c r="C49" s="14" t="s">
        <v>261</v>
      </c>
      <c r="D49" s="31"/>
      <c r="E49" s="739"/>
      <c r="F49" s="566" t="str">
        <f>"(Line "&amp;A47&amp;" * "&amp;A48&amp;")"</f>
        <v>(Line 25 * 26)</v>
      </c>
      <c r="G49" s="30"/>
      <c r="H49" s="173">
        <f>+H48*H47</f>
        <v>164548485.38086161</v>
      </c>
      <c r="I49" s="136"/>
      <c r="J49" s="83"/>
    </row>
    <row r="50" spans="1:10">
      <c r="A50" s="56"/>
      <c r="B50" s="21"/>
      <c r="C50" s="7"/>
      <c r="D50" s="27"/>
      <c r="E50" s="178"/>
      <c r="H50" s="566"/>
      <c r="J50" s="568"/>
    </row>
    <row r="51" spans="1:10">
      <c r="A51" s="44">
        <f>+A49+1</f>
        <v>28</v>
      </c>
      <c r="B51" s="8"/>
      <c r="C51" s="14" t="s">
        <v>419</v>
      </c>
      <c r="D51" s="128"/>
      <c r="E51" s="123" t="str">
        <f>"(Note "&amp;B$315&amp;")"</f>
        <v>(Note C)</v>
      </c>
      <c r="F51" s="699" t="s">
        <v>55</v>
      </c>
      <c r="G51" s="32"/>
      <c r="H51" s="174">
        <f>+'5 - Cost Support'!H51</f>
        <v>1003037</v>
      </c>
      <c r="I51" s="701"/>
      <c r="J51" s="83"/>
    </row>
    <row r="52" spans="1:10">
      <c r="A52" s="56"/>
      <c r="B52" s="21"/>
      <c r="C52" s="7"/>
      <c r="D52" s="27"/>
      <c r="E52" s="56"/>
      <c r="H52" s="566"/>
      <c r="J52" s="568"/>
    </row>
    <row r="53" spans="1:10" s="136" customFormat="1" ht="16" thickBot="1">
      <c r="A53" s="44">
        <f>+A51+1</f>
        <v>29</v>
      </c>
      <c r="B53" s="17" t="s">
        <v>219</v>
      </c>
      <c r="C53" s="17"/>
      <c r="D53" s="17"/>
      <c r="E53" s="112"/>
      <c r="F53" s="16" t="str">
        <f>"(Line "&amp;A43&amp;" + "&amp;A49&amp;" + "&amp;A51&amp;")"</f>
        <v>(Line 22 + 27 + 28)</v>
      </c>
      <c r="G53" s="17"/>
      <c r="H53" s="18">
        <f>SUM(H43,H49,H51)</f>
        <v>2129493199.0962782</v>
      </c>
      <c r="J53" s="139"/>
    </row>
    <row r="54" spans="1:10" ht="16" thickTop="1">
      <c r="A54" s="56"/>
      <c r="B54" s="21"/>
      <c r="C54" s="21"/>
      <c r="D54" s="21"/>
      <c r="J54" s="65"/>
    </row>
    <row r="55" spans="1:10">
      <c r="A55" s="44"/>
      <c r="B55" s="7" t="s">
        <v>208</v>
      </c>
      <c r="C55" s="7"/>
      <c r="D55" s="571"/>
      <c r="E55" s="450"/>
      <c r="F55" s="626"/>
      <c r="G55" s="751"/>
      <c r="H55" s="626"/>
      <c r="J55" s="568"/>
    </row>
    <row r="56" spans="1:10">
      <c r="A56" s="56"/>
      <c r="B56" s="26"/>
      <c r="C56" s="26"/>
      <c r="D56" s="26"/>
      <c r="F56" s="626"/>
      <c r="G56" s="626"/>
      <c r="H56" s="626"/>
      <c r="J56" s="568"/>
    </row>
    <row r="57" spans="1:10">
      <c r="A57" s="44">
        <f>+A53+1</f>
        <v>30</v>
      </c>
      <c r="B57" s="8"/>
      <c r="C57" s="740" t="s">
        <v>332</v>
      </c>
      <c r="E57" s="123"/>
      <c r="F57" s="571" t="s">
        <v>55</v>
      </c>
      <c r="G57" s="9"/>
      <c r="H57" s="698">
        <f>+'5 - Cost Support'!H19</f>
        <v>482640460.82999998</v>
      </c>
      <c r="I57" s="136"/>
      <c r="J57" s="568"/>
    </row>
    <row r="58" spans="1:10">
      <c r="A58" s="44"/>
      <c r="B58" s="44"/>
      <c r="C58" s="26"/>
      <c r="D58" s="745"/>
      <c r="E58" s="56"/>
      <c r="F58" s="571"/>
      <c r="G58" s="26"/>
      <c r="H58" s="571"/>
      <c r="J58" s="568"/>
    </row>
    <row r="59" spans="1:10">
      <c r="A59" s="44">
        <f>+A57+1</f>
        <v>31</v>
      </c>
      <c r="B59" s="8"/>
      <c r="C59" s="740" t="s">
        <v>375</v>
      </c>
      <c r="F59" s="571" t="s">
        <v>55</v>
      </c>
      <c r="G59" s="9"/>
      <c r="H59" s="698">
        <f>+'5 - Cost Support'!H20</f>
        <v>21616966.809999999</v>
      </c>
      <c r="I59" s="136"/>
      <c r="J59" s="568"/>
    </row>
    <row r="60" spans="1:10">
      <c r="A60" s="44">
        <f t="shared" ref="A60:A65" si="0">+A59+1</f>
        <v>32</v>
      </c>
      <c r="B60" s="8"/>
      <c r="C60" s="740" t="str">
        <f>+C24</f>
        <v>Accumulated Intangible Amortization</v>
      </c>
      <c r="F60" s="568" t="s">
        <v>55</v>
      </c>
      <c r="G60" s="9"/>
      <c r="H60" s="698">
        <f>+'5 - Cost Support'!H21</f>
        <v>23816962.57</v>
      </c>
      <c r="I60" s="136"/>
      <c r="J60" s="568"/>
    </row>
    <row r="61" spans="1:10">
      <c r="A61" s="44">
        <f t="shared" si="0"/>
        <v>33</v>
      </c>
      <c r="B61" s="8"/>
      <c r="C61" s="740" t="str">
        <f>+C25</f>
        <v>Accumulated Common Amortization - Electric</v>
      </c>
      <c r="E61" s="123"/>
      <c r="F61" s="566" t="str">
        <f>"(Line "&amp;A$25&amp;")"</f>
        <v>(Line 11)</v>
      </c>
      <c r="G61" s="9"/>
      <c r="H61" s="698">
        <f>+H25</f>
        <v>0</v>
      </c>
      <c r="J61" s="568"/>
    </row>
    <row r="62" spans="1:10">
      <c r="A62" s="44">
        <f t="shared" si="0"/>
        <v>34</v>
      </c>
      <c r="B62" s="8"/>
      <c r="C62" s="747" t="s">
        <v>260</v>
      </c>
      <c r="D62" s="60"/>
      <c r="E62" s="130" t="str">
        <f>"(Notes "&amp;B$311&amp;")"</f>
        <v>(Notes A)</v>
      </c>
      <c r="F62" s="744" t="str">
        <f>"(Line "&amp;A$26&amp;")"</f>
        <v>(Line 12)</v>
      </c>
      <c r="G62" s="9"/>
      <c r="H62" s="748">
        <f>+H26</f>
        <v>260798599.71000001</v>
      </c>
      <c r="I62" s="136"/>
      <c r="J62" s="568"/>
    </row>
    <row r="63" spans="1:10">
      <c r="A63" s="44">
        <f t="shared" si="0"/>
        <v>35</v>
      </c>
      <c r="B63" s="8"/>
      <c r="C63" s="752" t="s">
        <v>216</v>
      </c>
      <c r="D63" s="34"/>
      <c r="E63" s="753"/>
      <c r="F63" s="566" t="str">
        <f>"(Sum Lines "&amp;A59&amp;" to "&amp;A62&amp;")"</f>
        <v>(Sum Lines 31 to 34)</v>
      </c>
      <c r="G63" s="566"/>
      <c r="H63" s="566">
        <f>SUM(H59:H62)</f>
        <v>306232529.09000003</v>
      </c>
      <c r="I63" s="136"/>
      <c r="J63" s="568"/>
    </row>
    <row r="64" spans="1:10">
      <c r="A64" s="44">
        <f t="shared" si="0"/>
        <v>36</v>
      </c>
      <c r="B64" s="8"/>
      <c r="C64" s="752" t="str">
        <f>+C48</f>
        <v>Wage &amp; Salary Allocation Factor</v>
      </c>
      <c r="D64" s="34"/>
      <c r="E64" s="753"/>
      <c r="F64" s="744" t="str">
        <f>"(Line "&amp;A$16&amp;")"</f>
        <v>(Line 5)</v>
      </c>
      <c r="G64" s="566"/>
      <c r="H64" s="754">
        <f>+H16</f>
        <v>0.16107005309484509</v>
      </c>
      <c r="I64" s="136"/>
      <c r="J64" s="1421"/>
    </row>
    <row r="65" spans="1:11">
      <c r="A65" s="44">
        <f t="shared" si="0"/>
        <v>37</v>
      </c>
      <c r="B65" s="21"/>
      <c r="C65" s="54" t="s">
        <v>287</v>
      </c>
      <c r="D65" s="30"/>
      <c r="E65" s="110"/>
      <c r="F65" s="566" t="str">
        <f>"(Line "&amp;A63&amp;" * "&amp;A64&amp;")"</f>
        <v>(Line 35 * 36)</v>
      </c>
      <c r="G65" s="30"/>
      <c r="H65" s="173">
        <f>+H64*H63</f>
        <v>49324889.719894998</v>
      </c>
      <c r="I65" s="136"/>
      <c r="J65" s="83"/>
    </row>
    <row r="66" spans="1:11">
      <c r="A66" s="56"/>
      <c r="B66" s="21"/>
      <c r="C66" s="21"/>
      <c r="D66" s="21"/>
      <c r="J66" s="65"/>
    </row>
    <row r="67" spans="1:11" ht="16" thickBot="1">
      <c r="A67" s="44">
        <f>+A65+1</f>
        <v>38</v>
      </c>
      <c r="B67" s="17" t="s">
        <v>303</v>
      </c>
      <c r="C67" s="17"/>
      <c r="D67" s="17"/>
      <c r="E67" s="112"/>
      <c r="F67" s="16" t="str">
        <f>"(Line "&amp;A57&amp;" + "&amp;A65&amp;")"</f>
        <v>(Line 30 + 37)</v>
      </c>
      <c r="G67" s="17"/>
      <c r="H67" s="18">
        <f>+H65+H57</f>
        <v>531965350.54989499</v>
      </c>
      <c r="I67" s="136"/>
      <c r="J67" s="139"/>
    </row>
    <row r="68" spans="1:11" ht="16" thickTop="1">
      <c r="A68" s="56"/>
      <c r="B68" s="21"/>
      <c r="C68" s="21"/>
      <c r="D68" s="21"/>
      <c r="J68" s="65"/>
    </row>
    <row r="69" spans="1:11" ht="16" thickBot="1">
      <c r="A69" s="44">
        <f>+A67+1</f>
        <v>39</v>
      </c>
      <c r="B69" s="17" t="s">
        <v>304</v>
      </c>
      <c r="C69" s="17"/>
      <c r="D69" s="17"/>
      <c r="E69" s="112"/>
      <c r="F69" s="16" t="str">
        <f>"(Line "&amp;A53&amp;" - "&amp;A67&amp;")"</f>
        <v>(Line 29 - 38)</v>
      </c>
      <c r="G69" s="17"/>
      <c r="H69" s="18">
        <f>+H53-H67</f>
        <v>1597527848.5463831</v>
      </c>
      <c r="I69" s="136"/>
      <c r="J69" s="139"/>
    </row>
    <row r="70" spans="1:11" ht="16" thickTop="1">
      <c r="A70" s="962"/>
      <c r="B70" s="21"/>
      <c r="C70" s="21"/>
      <c r="D70" s="21"/>
      <c r="J70" s="65"/>
    </row>
    <row r="71" spans="1:11" s="791" customFormat="1">
      <c r="A71" s="732" t="s">
        <v>262</v>
      </c>
      <c r="B71" s="733"/>
      <c r="C71" s="733"/>
      <c r="D71" s="733"/>
      <c r="E71" s="1204"/>
      <c r="F71" s="734"/>
      <c r="G71" s="734"/>
      <c r="H71" s="736"/>
      <c r="J71" s="1422"/>
    </row>
    <row r="72" spans="1:11">
      <c r="A72" s="755"/>
      <c r="B72" s="756"/>
      <c r="C72" s="756"/>
      <c r="D72" s="756"/>
      <c r="J72" s="65"/>
    </row>
    <row r="73" spans="1:11">
      <c r="A73" s="56"/>
      <c r="B73" s="414" t="s">
        <v>1082</v>
      </c>
      <c r="D73" s="27"/>
      <c r="E73" s="64"/>
      <c r="H73" s="626"/>
      <c r="J73" s="568"/>
    </row>
    <row r="74" spans="1:11">
      <c r="A74" s="56" t="s">
        <v>1106</v>
      </c>
      <c r="B74" s="771"/>
      <c r="C74" s="26" t="s">
        <v>1107</v>
      </c>
      <c r="D74" s="27"/>
      <c r="E74" s="123" t="str">
        <f>"(Note "&amp;$B$352&amp;")"</f>
        <v>(Note W)</v>
      </c>
      <c r="F74" s="27" t="s">
        <v>1150</v>
      </c>
      <c r="H74" s="1307">
        <f>'1A - ADIT'!E10</f>
        <v>671960.09494290128</v>
      </c>
      <c r="I74" s="573"/>
      <c r="J74" s="1423"/>
    </row>
    <row r="75" spans="1:11">
      <c r="A75" s="56" t="s">
        <v>1108</v>
      </c>
      <c r="B75" s="771"/>
      <c r="C75" s="26" t="s">
        <v>1109</v>
      </c>
      <c r="D75" s="27"/>
      <c r="E75" s="123" t="str">
        <f>"(Note "&amp;$B$352&amp;")"</f>
        <v>(Note W)</v>
      </c>
      <c r="F75" s="27" t="s">
        <v>1151</v>
      </c>
      <c r="H75" s="1307">
        <f>'1A - ADIT'!E11</f>
        <v>0</v>
      </c>
      <c r="I75" s="573"/>
      <c r="J75" s="1423"/>
      <c r="K75" s="925"/>
    </row>
    <row r="76" spans="1:11">
      <c r="A76" s="56" t="s">
        <v>1110</v>
      </c>
      <c r="B76" s="771"/>
      <c r="C76" s="26" t="s">
        <v>1170</v>
      </c>
      <c r="D76" s="27"/>
      <c r="E76" s="123" t="str">
        <f>"(Note "&amp;$B$352&amp;")"</f>
        <v>(Note W)</v>
      </c>
      <c r="F76" s="27" t="s">
        <v>1152</v>
      </c>
      <c r="H76" s="1307">
        <f>'1A - ADIT'!E12</f>
        <v>-263494795.28710631</v>
      </c>
      <c r="I76" s="573"/>
      <c r="J76" s="1423"/>
      <c r="K76" s="925"/>
    </row>
    <row r="77" spans="1:11">
      <c r="A77" s="56" t="s">
        <v>1111</v>
      </c>
      <c r="B77" s="771"/>
      <c r="C77" s="26" t="s">
        <v>1112</v>
      </c>
      <c r="D77" s="27"/>
      <c r="E77" s="123" t="str">
        <f>"(Note "&amp;$B$352&amp;")"</f>
        <v>(Note W)</v>
      </c>
      <c r="F77" s="27" t="s">
        <v>1153</v>
      </c>
      <c r="H77" s="1307">
        <f>'1A - ADIT'!E13</f>
        <v>-3973916.4308408415</v>
      </c>
      <c r="I77" s="573"/>
      <c r="J77" s="1423"/>
      <c r="K77" s="703"/>
    </row>
    <row r="78" spans="1:11" s="26" customFormat="1">
      <c r="A78" s="56" t="s">
        <v>1113</v>
      </c>
      <c r="B78" s="771"/>
      <c r="C78" s="26" t="s">
        <v>1114</v>
      </c>
      <c r="D78" s="1240"/>
      <c r="E78" s="123" t="str">
        <f>"(Note "&amp;$B$347&amp;")"</f>
        <v>(Note T)</v>
      </c>
      <c r="F78" s="362" t="s">
        <v>1154</v>
      </c>
      <c r="H78" s="1309">
        <f>'1A - ADIT'!E14</f>
        <v>0</v>
      </c>
      <c r="I78" s="573"/>
      <c r="J78" s="1423"/>
    </row>
    <row r="79" spans="1:11">
      <c r="A79" s="44" t="s">
        <v>1115</v>
      </c>
      <c r="B79" s="27"/>
      <c r="C79" s="28" t="s">
        <v>288</v>
      </c>
      <c r="D79" s="31"/>
      <c r="E79" s="115"/>
      <c r="F79" s="566" t="str">
        <f>"(Line "&amp;A74&amp;" +  "&amp;A75&amp;" + "&amp;A76&amp;" + "&amp;A77&amp;" + "&amp;A78&amp;")"</f>
        <v>(Line 40a +  40b + 40c + 40d + 40e)</v>
      </c>
      <c r="G79" s="31"/>
      <c r="H79" s="1308">
        <f>H74+H75+H76+H77+H78</f>
        <v>-266796751.62300426</v>
      </c>
      <c r="I79" s="573"/>
      <c r="J79" s="1241"/>
      <c r="K79" s="703"/>
    </row>
    <row r="80" spans="1:11">
      <c r="A80" s="44"/>
      <c r="B80" s="27"/>
      <c r="C80" s="771"/>
      <c r="D80" s="65"/>
      <c r="E80" s="131"/>
      <c r="F80" s="568"/>
      <c r="G80" s="65"/>
      <c r="H80" s="1241"/>
      <c r="I80" s="573"/>
      <c r="J80" s="1241"/>
      <c r="K80" s="703"/>
    </row>
    <row r="81" spans="1:11">
      <c r="A81" s="44"/>
      <c r="B81" s="136" t="s">
        <v>1202</v>
      </c>
      <c r="C81" s="771"/>
      <c r="D81" s="65"/>
      <c r="E81" s="131"/>
      <c r="F81" s="568"/>
      <c r="G81" s="65"/>
      <c r="H81" s="1241"/>
      <c r="I81" s="573"/>
      <c r="J81" s="1241"/>
      <c r="K81" s="703"/>
    </row>
    <row r="82" spans="1:11">
      <c r="A82" s="44" t="s">
        <v>1116</v>
      </c>
      <c r="B82" s="27"/>
      <c r="C82" s="771" t="s">
        <v>1191</v>
      </c>
      <c r="D82" s="65"/>
      <c r="E82" s="123" t="str">
        <f>"(Note "&amp;$B$354&amp;")"</f>
        <v>(Note X)</v>
      </c>
      <c r="F82" s="568" t="s">
        <v>1155</v>
      </c>
      <c r="G82" s="65"/>
      <c r="H82" s="1307">
        <f>'1B - ADIT Amortization'!Q73</f>
        <v>-82228814.191226035</v>
      </c>
      <c r="I82" s="573"/>
      <c r="J82" s="1423"/>
    </row>
    <row r="83" spans="1:11">
      <c r="A83" s="44" t="s">
        <v>1117</v>
      </c>
      <c r="B83" s="27"/>
      <c r="C83" s="101" t="s">
        <v>1192</v>
      </c>
      <c r="D83" s="362"/>
      <c r="E83" s="130" t="str">
        <f>"(Note "&amp;$B$354&amp;")"</f>
        <v>(Note X)</v>
      </c>
      <c r="F83" s="569" t="s">
        <v>1155</v>
      </c>
      <c r="G83" s="362"/>
      <c r="H83" s="1309">
        <f>'1B - ADIT Amortization'!Q142</f>
        <v>0</v>
      </c>
      <c r="I83" s="573"/>
      <c r="J83" s="1423"/>
    </row>
    <row r="84" spans="1:11">
      <c r="A84" s="44">
        <v>42</v>
      </c>
      <c r="B84" s="27"/>
      <c r="C84" s="771" t="s">
        <v>1193</v>
      </c>
      <c r="D84" s="65"/>
      <c r="E84" s="131" t="s">
        <v>166</v>
      </c>
      <c r="F84" s="566" t="str">
        <f>"(Line "&amp;A82&amp;" + "&amp;A83&amp;")"</f>
        <v>(Line 41a + 41b)</v>
      </c>
      <c r="G84" s="65"/>
      <c r="H84" s="1241">
        <f>H82+H83</f>
        <v>-82228814.191226035</v>
      </c>
      <c r="I84" s="573"/>
      <c r="J84" s="1241"/>
      <c r="K84" s="703"/>
    </row>
    <row r="85" spans="1:11">
      <c r="A85" s="44"/>
      <c r="B85" s="27"/>
      <c r="C85" s="771"/>
      <c r="D85" s="65"/>
      <c r="E85" s="131"/>
      <c r="F85" s="569"/>
      <c r="G85" s="65"/>
      <c r="H85" s="1241"/>
      <c r="I85" s="573"/>
      <c r="J85" s="1241"/>
    </row>
    <row r="86" spans="1:11">
      <c r="A86" s="44">
        <v>43</v>
      </c>
      <c r="B86" s="27"/>
      <c r="C86" s="705" t="s">
        <v>1118</v>
      </c>
      <c r="D86" s="31"/>
      <c r="E86" s="115"/>
      <c r="F86" s="566" t="str">
        <f>"(Line "&amp;A79&amp;" + "&amp;A84&amp;")"</f>
        <v>(Line 40f + 42)</v>
      </c>
      <c r="G86" s="31"/>
      <c r="H86" s="1308">
        <f>H79+H84</f>
        <v>-349025565.81423032</v>
      </c>
      <c r="I86" s="573"/>
      <c r="J86" s="1241"/>
    </row>
    <row r="87" spans="1:11">
      <c r="A87" s="56"/>
      <c r="B87" s="27"/>
      <c r="C87" s="414"/>
      <c r="D87" s="65"/>
      <c r="E87" s="131"/>
      <c r="F87" s="65"/>
      <c r="G87" s="49"/>
      <c r="H87" s="153"/>
      <c r="J87" s="153"/>
    </row>
    <row r="88" spans="1:11">
      <c r="A88" s="44"/>
      <c r="B88" s="136" t="s">
        <v>81</v>
      </c>
      <c r="C88" s="414"/>
      <c r="D88" s="65"/>
      <c r="E88" s="131"/>
      <c r="F88" s="568"/>
      <c r="G88" s="65"/>
      <c r="H88" s="494"/>
      <c r="J88" s="494"/>
    </row>
    <row r="89" spans="1:11">
      <c r="A89" s="56">
        <v>44</v>
      </c>
      <c r="B89" s="27"/>
      <c r="C89" s="414" t="s">
        <v>650</v>
      </c>
      <c r="D89" s="65"/>
      <c r="E89" s="131" t="s">
        <v>82</v>
      </c>
      <c r="F89" s="65" t="s">
        <v>55</v>
      </c>
      <c r="G89" s="65"/>
      <c r="H89" s="494">
        <f>+'5 - Cost Support'!I153</f>
        <v>0</v>
      </c>
      <c r="I89" s="136"/>
      <c r="J89" s="494"/>
    </row>
    <row r="90" spans="1:11">
      <c r="A90" s="56"/>
      <c r="B90" s="27"/>
      <c r="C90" s="414"/>
      <c r="D90" s="65"/>
      <c r="E90" s="131"/>
      <c r="F90" s="65"/>
      <c r="G90" s="65"/>
      <c r="H90" s="494"/>
      <c r="J90" s="494"/>
    </row>
    <row r="91" spans="1:11">
      <c r="A91" s="56"/>
      <c r="B91" s="136" t="s">
        <v>723</v>
      </c>
      <c r="C91" s="414"/>
      <c r="D91" s="65"/>
      <c r="E91" s="131"/>
      <c r="F91" s="65"/>
      <c r="G91" s="591"/>
      <c r="H91" s="592"/>
      <c r="J91" s="592"/>
    </row>
    <row r="92" spans="1:11">
      <c r="A92" s="56" t="s">
        <v>660</v>
      </c>
      <c r="B92" s="27"/>
      <c r="C92" s="771" t="s">
        <v>724</v>
      </c>
      <c r="D92" s="65"/>
      <c r="E92" s="131" t="s">
        <v>726</v>
      </c>
      <c r="F92" s="65" t="s">
        <v>55</v>
      </c>
      <c r="G92" s="591"/>
      <c r="H92" s="494">
        <f>+'5 - Cost Support'!H195</f>
        <v>1483751.0000000002</v>
      </c>
      <c r="I92" s="702"/>
      <c r="J92" s="494"/>
    </row>
    <row r="93" spans="1:11">
      <c r="A93" s="44"/>
      <c r="B93" s="24"/>
      <c r="C93" s="26"/>
      <c r="F93" s="1205"/>
      <c r="G93" s="1205"/>
      <c r="J93" s="65"/>
    </row>
    <row r="94" spans="1:11">
      <c r="A94" s="44"/>
      <c r="B94" s="1206" t="s">
        <v>209</v>
      </c>
      <c r="C94" s="25"/>
      <c r="F94" s="1207"/>
      <c r="G94" s="1207"/>
      <c r="J94" s="65"/>
    </row>
    <row r="95" spans="1:11">
      <c r="A95" s="44">
        <v>45</v>
      </c>
      <c r="B95" s="1208"/>
      <c r="C95" s="101" t="s">
        <v>83</v>
      </c>
      <c r="D95" s="130"/>
      <c r="E95" s="130" t="str">
        <f>"(Note "&amp;B$311&amp;")"</f>
        <v>(Note A)</v>
      </c>
      <c r="F95" s="101" t="s">
        <v>55</v>
      </c>
      <c r="G95" s="1209"/>
      <c r="H95" s="571">
        <f>+'5 - Cost Support'!F163</f>
        <v>29735218.639549743</v>
      </c>
      <c r="I95" s="136"/>
      <c r="J95" s="568"/>
    </row>
    <row r="96" spans="1:11">
      <c r="A96" s="44">
        <v>46</v>
      </c>
      <c r="B96" s="24"/>
      <c r="C96" s="136" t="s">
        <v>188</v>
      </c>
      <c r="D96" s="32"/>
      <c r="E96" s="113"/>
      <c r="F96" s="568" t="s">
        <v>661</v>
      </c>
      <c r="G96" s="1210"/>
      <c r="H96" s="41">
        <f>+H95</f>
        <v>29735218.639549743</v>
      </c>
      <c r="I96" s="136"/>
      <c r="J96" s="494"/>
    </row>
    <row r="97" spans="1:10">
      <c r="A97" s="44"/>
      <c r="B97" s="24"/>
      <c r="C97" s="25"/>
      <c r="E97" s="8"/>
      <c r="F97" s="1207"/>
      <c r="G97" s="1207"/>
      <c r="H97" s="35"/>
      <c r="J97" s="1424"/>
    </row>
    <row r="98" spans="1:10">
      <c r="A98" s="44"/>
      <c r="B98" s="1206" t="s">
        <v>204</v>
      </c>
      <c r="C98" s="27"/>
      <c r="D98" s="27"/>
      <c r="E98" s="107"/>
      <c r="F98" s="1209"/>
      <c r="G98" s="1207"/>
      <c r="H98" s="35"/>
      <c r="J98" s="1424"/>
    </row>
    <row r="99" spans="1:10">
      <c r="A99" s="56">
        <v>47</v>
      </c>
      <c r="B99" s="27"/>
      <c r="C99" s="27" t="s">
        <v>266</v>
      </c>
      <c r="D99" s="26"/>
      <c r="E99" s="123" t="str">
        <f>"(Note "&amp;B$311&amp;")"</f>
        <v>(Note A)</v>
      </c>
      <c r="F99" s="25" t="s">
        <v>651</v>
      </c>
      <c r="H99" s="698">
        <v>0</v>
      </c>
      <c r="I99" s="136"/>
      <c r="J99" s="568"/>
    </row>
    <row r="100" spans="1:10">
      <c r="A100" s="44">
        <v>48</v>
      </c>
      <c r="B100" s="24"/>
      <c r="C100" s="101" t="s">
        <v>317</v>
      </c>
      <c r="D100" s="57"/>
      <c r="E100" s="114"/>
      <c r="F100" s="569" t="str">
        <f>"(Line "&amp;A$16&amp;")"</f>
        <v>(Line 5)</v>
      </c>
      <c r="G100" s="1211"/>
      <c r="H100" s="33">
        <f>+H16</f>
        <v>0.16107005309484509</v>
      </c>
      <c r="I100" s="136"/>
      <c r="J100" s="1414"/>
    </row>
    <row r="101" spans="1:10">
      <c r="A101" s="44">
        <v>49</v>
      </c>
      <c r="B101" s="24"/>
      <c r="C101" s="25" t="s">
        <v>331</v>
      </c>
      <c r="D101" s="26"/>
      <c r="E101" s="56"/>
      <c r="F101" s="568" t="str">
        <f>"(Line "&amp;A99&amp;" * "&amp;A100&amp;")"</f>
        <v>(Line 47 * 48)</v>
      </c>
      <c r="G101" s="1207"/>
      <c r="H101" s="40">
        <f>+H99*H100</f>
        <v>0</v>
      </c>
      <c r="I101" s="136"/>
      <c r="J101" s="153"/>
    </row>
    <row r="102" spans="1:10">
      <c r="A102" s="44">
        <v>50</v>
      </c>
      <c r="B102" s="24"/>
      <c r="C102" s="25" t="s">
        <v>190</v>
      </c>
      <c r="D102" s="26"/>
      <c r="E102" s="123" t="str">
        <f>"(Note "&amp;B$348&amp;")"</f>
        <v>(Note U)</v>
      </c>
      <c r="F102" s="101" t="s">
        <v>1147</v>
      </c>
      <c r="G102" s="1207"/>
      <c r="H102" s="803">
        <f>743202+2953538</f>
        <v>3696740</v>
      </c>
      <c r="I102" s="136"/>
      <c r="J102" s="800"/>
    </row>
    <row r="103" spans="1:10" ht="18" customHeight="1">
      <c r="A103" s="44">
        <v>51</v>
      </c>
      <c r="B103" s="24"/>
      <c r="C103" s="757" t="s">
        <v>203</v>
      </c>
      <c r="D103" s="88"/>
      <c r="E103" s="758"/>
      <c r="F103" s="566" t="str">
        <f>"(Line "&amp;A101&amp;" + "&amp;A102&amp;")"</f>
        <v>(Line 49 + 50)</v>
      </c>
      <c r="G103" s="1212"/>
      <c r="H103" s="89">
        <f>SUM(H101:H102)</f>
        <v>3696740</v>
      </c>
      <c r="I103" s="136"/>
      <c r="J103" s="139"/>
    </row>
    <row r="104" spans="1:10">
      <c r="A104" s="44"/>
      <c r="B104" s="24"/>
      <c r="C104" s="25"/>
      <c r="E104" s="8"/>
      <c r="F104" s="1207"/>
      <c r="G104" s="1207"/>
      <c r="J104" s="65"/>
    </row>
    <row r="105" spans="1:10">
      <c r="A105" s="44"/>
      <c r="B105" s="1206" t="s">
        <v>210</v>
      </c>
      <c r="C105" s="27"/>
      <c r="F105" s="1207"/>
      <c r="G105" s="1207"/>
      <c r="J105" s="65"/>
    </row>
    <row r="106" spans="1:10">
      <c r="A106" s="44">
        <v>52</v>
      </c>
      <c r="B106" s="24"/>
      <c r="C106" s="25" t="s">
        <v>325</v>
      </c>
      <c r="D106" s="39"/>
      <c r="F106" s="566" t="s">
        <v>662</v>
      </c>
      <c r="G106" s="1207"/>
      <c r="H106" s="573">
        <f>+H153</f>
        <v>82498420.301482335</v>
      </c>
      <c r="I106" s="136"/>
      <c r="J106" s="153"/>
    </row>
    <row r="107" spans="1:10">
      <c r="A107" s="44">
        <v>53</v>
      </c>
      <c r="B107" s="24"/>
      <c r="C107" s="38" t="s">
        <v>318</v>
      </c>
      <c r="D107" s="39"/>
      <c r="F107" s="58" t="s">
        <v>346</v>
      </c>
      <c r="H107" s="1213">
        <v>0.125</v>
      </c>
      <c r="I107" s="136"/>
      <c r="J107" s="1425"/>
    </row>
    <row r="108" spans="1:10" s="136" customFormat="1">
      <c r="A108" s="44">
        <v>54</v>
      </c>
      <c r="B108" s="759"/>
      <c r="C108" s="705" t="s">
        <v>189</v>
      </c>
      <c r="D108" s="760"/>
      <c r="E108" s="761"/>
      <c r="F108" s="566" t="str">
        <f>"(Line "&amp;A106&amp;" * "&amp;A107&amp;")"</f>
        <v>(Line 52 * 53)</v>
      </c>
      <c r="G108" s="12"/>
      <c r="H108" s="41">
        <f>+H106*H107</f>
        <v>10312302.537685292</v>
      </c>
      <c r="J108" s="494"/>
    </row>
    <row r="109" spans="1:10" s="136" customFormat="1">
      <c r="A109" s="44"/>
      <c r="B109" s="759"/>
      <c r="C109" s="414"/>
      <c r="D109" s="762"/>
      <c r="E109" s="117"/>
      <c r="F109" s="566"/>
      <c r="G109" s="763"/>
      <c r="H109" s="1214"/>
      <c r="J109" s="494"/>
    </row>
    <row r="110" spans="1:10" s="136" customFormat="1">
      <c r="B110" s="414" t="s">
        <v>469</v>
      </c>
      <c r="C110" s="1"/>
      <c r="D110" s="762"/>
      <c r="E110" s="1"/>
      <c r="F110" s="566"/>
      <c r="G110" s="763"/>
      <c r="H110" s="1214"/>
      <c r="J110" s="494"/>
    </row>
    <row r="111" spans="1:10">
      <c r="A111" s="44">
        <v>55</v>
      </c>
      <c r="B111" s="21"/>
      <c r="C111" s="21" t="s">
        <v>470</v>
      </c>
      <c r="D111" s="21"/>
      <c r="E111" s="123" t="str">
        <f>"(Note "&amp;B$330&amp;")"</f>
        <v>(Note N)</v>
      </c>
      <c r="F111" s="21" t="s">
        <v>472</v>
      </c>
      <c r="H111" s="157">
        <f>+'5 - Cost Support'!G175</f>
        <v>0</v>
      </c>
      <c r="I111" s="136"/>
      <c r="J111" s="65"/>
    </row>
    <row r="112" spans="1:10">
      <c r="A112" s="56">
        <v>56</v>
      </c>
      <c r="B112" s="21"/>
      <c r="C112" s="158" t="s">
        <v>575</v>
      </c>
      <c r="D112" s="158"/>
      <c r="E112" s="470" t="str">
        <f>+E111</f>
        <v>(Note N)</v>
      </c>
      <c r="F112" s="362" t="str">
        <f>+F111</f>
        <v>From PJM</v>
      </c>
      <c r="H112" s="171">
        <v>0</v>
      </c>
      <c r="I112" s="136"/>
      <c r="J112" s="65"/>
    </row>
    <row r="113" spans="1:10">
      <c r="A113" s="56">
        <v>57</v>
      </c>
      <c r="B113" s="21"/>
      <c r="C113" s="21" t="s">
        <v>471</v>
      </c>
      <c r="D113" s="21"/>
      <c r="F113" s="568" t="s">
        <v>663</v>
      </c>
      <c r="H113" s="1">
        <f>+H111+H112</f>
        <v>0</v>
      </c>
      <c r="I113" s="136"/>
      <c r="J113" s="138"/>
    </row>
    <row r="114" spans="1:10">
      <c r="A114" s="56"/>
      <c r="B114" s="21"/>
      <c r="C114" s="21"/>
      <c r="D114" s="21"/>
      <c r="J114" s="65"/>
    </row>
    <row r="115" spans="1:10" ht="16" thickBot="1">
      <c r="A115" s="56">
        <v>58</v>
      </c>
      <c r="B115" s="593" t="s">
        <v>319</v>
      </c>
      <c r="C115" s="593"/>
      <c r="D115" s="593"/>
      <c r="E115" s="594"/>
      <c r="F115" s="567" t="s">
        <v>725</v>
      </c>
      <c r="G115" s="593"/>
      <c r="H115" s="595">
        <f>SUM(H86,H89,H92,H96,H103,H108,H113)</f>
        <v>-303797553.63699532</v>
      </c>
      <c r="I115" s="136"/>
      <c r="J115" s="139"/>
    </row>
    <row r="116" spans="1:10" ht="16" thickTop="1">
      <c r="A116" s="56"/>
      <c r="B116" s="21"/>
      <c r="C116" s="21"/>
      <c r="D116" s="21"/>
      <c r="J116" s="65"/>
    </row>
    <row r="117" spans="1:10" ht="16" thickBot="1">
      <c r="A117" s="44">
        <v>59</v>
      </c>
      <c r="B117" s="17" t="s">
        <v>309</v>
      </c>
      <c r="C117" s="17"/>
      <c r="D117" s="17"/>
      <c r="E117" s="112"/>
      <c r="F117" s="567" t="s">
        <v>664</v>
      </c>
      <c r="G117" s="17"/>
      <c r="H117" s="18">
        <f>+H69+H115</f>
        <v>1293730294.9093878</v>
      </c>
      <c r="I117" s="136"/>
      <c r="J117" s="139"/>
    </row>
    <row r="118" spans="1:10" ht="16" thickTop="1">
      <c r="B118" s="21"/>
      <c r="C118" s="21"/>
      <c r="D118" s="21"/>
      <c r="J118" s="65"/>
    </row>
    <row r="119" spans="1:10" s="791" customFormat="1">
      <c r="A119" s="1215" t="s">
        <v>352</v>
      </c>
      <c r="B119" s="767"/>
      <c r="C119" s="1216"/>
      <c r="D119" s="767"/>
      <c r="E119" s="1217"/>
      <c r="F119" s="736"/>
      <c r="G119" s="736"/>
      <c r="H119" s="735"/>
      <c r="I119" s="1301"/>
      <c r="J119" s="1301"/>
    </row>
    <row r="120" spans="1:10">
      <c r="A120" s="26"/>
      <c r="B120" s="26"/>
      <c r="C120" s="26"/>
      <c r="D120" s="26"/>
      <c r="E120" s="19"/>
      <c r="F120" s="27"/>
      <c r="G120" s="27"/>
      <c r="H120" s="71"/>
      <c r="J120" s="71"/>
    </row>
    <row r="121" spans="1:10">
      <c r="A121" s="8"/>
      <c r="B121" s="7" t="s">
        <v>293</v>
      </c>
      <c r="D121" s="626"/>
      <c r="E121" s="450"/>
      <c r="G121" s="626"/>
      <c r="H121" s="626"/>
      <c r="J121" s="568"/>
    </row>
    <row r="122" spans="1:10">
      <c r="A122" s="44">
        <v>60</v>
      </c>
      <c r="B122" s="8"/>
      <c r="C122" s="745" t="s">
        <v>293</v>
      </c>
      <c r="D122" s="26"/>
      <c r="E122" s="56"/>
      <c r="F122" s="571" t="s">
        <v>55</v>
      </c>
      <c r="G122" s="19"/>
      <c r="H122" s="698">
        <f>+'5 - Cost Support'!H70</f>
        <v>48980262.200000003</v>
      </c>
      <c r="I122" s="136"/>
      <c r="J122" s="568"/>
    </row>
    <row r="123" spans="1:10">
      <c r="A123" s="44">
        <v>61</v>
      </c>
      <c r="B123" s="8"/>
      <c r="C123" s="745" t="s">
        <v>222</v>
      </c>
      <c r="D123" s="26"/>
      <c r="E123" s="56"/>
      <c r="F123" s="571" t="s">
        <v>55</v>
      </c>
      <c r="G123" s="19"/>
      <c r="H123" s="571">
        <f>'5 - Cost Support'!G167</f>
        <v>0</v>
      </c>
      <c r="I123" s="136"/>
      <c r="J123" s="568"/>
    </row>
    <row r="124" spans="1:10">
      <c r="A124" s="44">
        <v>62</v>
      </c>
      <c r="B124" s="8"/>
      <c r="C124" s="745" t="s">
        <v>1148</v>
      </c>
      <c r="D124" s="26"/>
      <c r="E124" s="56"/>
      <c r="F124" s="571" t="s">
        <v>55</v>
      </c>
      <c r="G124" s="19"/>
      <c r="H124" s="571">
        <f>+'5 - Cost Support'!J168</f>
        <v>0</v>
      </c>
      <c r="I124" s="136"/>
      <c r="J124" s="568"/>
    </row>
    <row r="125" spans="1:10">
      <c r="A125" s="44">
        <v>63</v>
      </c>
      <c r="B125" s="8"/>
      <c r="C125" s="745" t="s">
        <v>353</v>
      </c>
      <c r="D125" s="26"/>
      <c r="E125" s="56"/>
      <c r="F125" s="571" t="s">
        <v>177</v>
      </c>
      <c r="G125" s="26"/>
      <c r="H125" s="698">
        <v>0</v>
      </c>
      <c r="I125" s="136"/>
      <c r="J125" s="568"/>
    </row>
    <row r="126" spans="1:10">
      <c r="A126" s="44">
        <v>64</v>
      </c>
      <c r="B126" s="44"/>
      <c r="C126" s="745" t="s">
        <v>226</v>
      </c>
      <c r="D126" s="26"/>
      <c r="E126" s="123" t="str">
        <f>"(Note "&amp;B$333&amp;")"</f>
        <v>(Note O)</v>
      </c>
      <c r="F126" s="571" t="s">
        <v>474</v>
      </c>
      <c r="G126" s="26"/>
      <c r="H126" s="698">
        <v>0</v>
      </c>
      <c r="I126" s="136"/>
      <c r="J126" s="568"/>
    </row>
    <row r="127" spans="1:10">
      <c r="A127" s="44">
        <v>65</v>
      </c>
      <c r="B127" s="8"/>
      <c r="C127" s="745" t="s">
        <v>294</v>
      </c>
      <c r="D127" s="571"/>
      <c r="E127" s="130" t="str">
        <f>"(Note "&amp;B$311&amp;")"</f>
        <v>(Note A)</v>
      </c>
      <c r="F127" s="569" t="s">
        <v>55</v>
      </c>
      <c r="G127" s="26"/>
      <c r="H127" s="749">
        <f>+'5 - Cost Support'!H68</f>
        <v>0</v>
      </c>
      <c r="I127" s="136"/>
      <c r="J127" s="568"/>
    </row>
    <row r="128" spans="1:10">
      <c r="A128" s="44">
        <v>66</v>
      </c>
      <c r="B128" s="26"/>
      <c r="C128" s="14" t="s">
        <v>293</v>
      </c>
      <c r="D128" s="29"/>
      <c r="E128" s="115"/>
      <c r="F128" s="568" t="s">
        <v>665</v>
      </c>
      <c r="G128" s="31"/>
      <c r="H128" s="175">
        <f>+H122-H123+H124-H125+H126+H127</f>
        <v>48980262.200000003</v>
      </c>
      <c r="I128" s="136"/>
      <c r="J128" s="83"/>
    </row>
    <row r="129" spans="1:10">
      <c r="A129" s="44"/>
      <c r="B129" s="44"/>
      <c r="C129" s="7"/>
      <c r="D129" s="26"/>
      <c r="E129" s="743"/>
      <c r="F129" s="26"/>
      <c r="G129" s="26"/>
      <c r="H129" s="13"/>
      <c r="J129" s="1420"/>
    </row>
    <row r="130" spans="1:10">
      <c r="A130" s="44"/>
      <c r="B130" s="7" t="s">
        <v>193</v>
      </c>
      <c r="C130" s="26"/>
      <c r="D130" s="26"/>
      <c r="E130" s="743"/>
      <c r="F130" s="26"/>
      <c r="G130" s="26"/>
      <c r="H130" s="13"/>
      <c r="J130" s="1420"/>
    </row>
    <row r="131" spans="1:10">
      <c r="A131" s="44">
        <v>67</v>
      </c>
      <c r="B131" s="44"/>
      <c r="C131" s="745" t="s">
        <v>296</v>
      </c>
      <c r="D131" s="26"/>
      <c r="E131" s="123" t="str">
        <f>"(Note "&amp;B$311&amp;")"</f>
        <v>(Note A)</v>
      </c>
      <c r="F131" s="626" t="s">
        <v>165</v>
      </c>
      <c r="G131" s="26"/>
      <c r="H131" s="698">
        <v>0</v>
      </c>
      <c r="J131" s="568"/>
    </row>
    <row r="132" spans="1:10">
      <c r="A132" s="44">
        <v>68</v>
      </c>
      <c r="B132" s="44"/>
      <c r="C132" s="745" t="s">
        <v>298</v>
      </c>
      <c r="D132" s="26"/>
      <c r="E132" s="56"/>
      <c r="F132" s="25" t="s">
        <v>55</v>
      </c>
      <c r="G132" s="26"/>
      <c r="H132" s="698">
        <f>+'5 - Cost Support'!I84</f>
        <v>208804506.65000001</v>
      </c>
      <c r="I132" s="136"/>
      <c r="J132" s="568"/>
    </row>
    <row r="133" spans="1:10">
      <c r="A133" s="44" t="s">
        <v>857</v>
      </c>
      <c r="B133" s="44"/>
      <c r="C133" s="745" t="s">
        <v>874</v>
      </c>
      <c r="D133" s="26"/>
      <c r="E133" s="123" t="s">
        <v>200</v>
      </c>
      <c r="F133" s="571" t="s">
        <v>55</v>
      </c>
      <c r="G133" s="26"/>
      <c r="H133" s="698">
        <f>+'5 - Cost Support'!I246</f>
        <v>5065309.3367517786</v>
      </c>
      <c r="I133" s="136"/>
      <c r="J133" s="568"/>
    </row>
    <row r="134" spans="1:10">
      <c r="A134" s="44">
        <v>69</v>
      </c>
      <c r="B134" s="44"/>
      <c r="C134" s="745" t="s">
        <v>359</v>
      </c>
      <c r="D134" s="571"/>
      <c r="E134" s="56"/>
      <c r="F134" s="745" t="s">
        <v>178</v>
      </c>
      <c r="G134" s="9"/>
      <c r="H134" s="698">
        <v>289980</v>
      </c>
      <c r="I134" s="136"/>
      <c r="J134" s="568"/>
    </row>
    <row r="135" spans="1:10">
      <c r="A135" s="44">
        <v>70</v>
      </c>
      <c r="B135" s="44"/>
      <c r="C135" s="745" t="s">
        <v>360</v>
      </c>
      <c r="D135" s="571"/>
      <c r="E135" s="123" t="str">
        <f>"(Note "&amp;B$317&amp;")"</f>
        <v>(Note E)</v>
      </c>
      <c r="F135" s="745" t="s">
        <v>179</v>
      </c>
      <c r="G135" s="9"/>
      <c r="H135" s="698">
        <v>106729</v>
      </c>
      <c r="I135" s="136"/>
      <c r="J135" s="568"/>
    </row>
    <row r="136" spans="1:10">
      <c r="A136" s="44">
        <v>71</v>
      </c>
      <c r="B136" s="44"/>
      <c r="C136" s="745" t="s">
        <v>361</v>
      </c>
      <c r="D136" s="571"/>
      <c r="E136" s="56"/>
      <c r="F136" s="745" t="s">
        <v>180</v>
      </c>
      <c r="G136" s="9"/>
      <c r="H136" s="698">
        <v>849124</v>
      </c>
      <c r="I136" s="136"/>
      <c r="J136" s="568"/>
    </row>
    <row r="137" spans="1:10">
      <c r="A137" s="44">
        <v>72</v>
      </c>
      <c r="B137" s="44"/>
      <c r="C137" s="745" t="s">
        <v>337</v>
      </c>
      <c r="D137" s="21"/>
      <c r="E137" s="123" t="str">
        <f>"(Note "&amp;B$316&amp;")"</f>
        <v>(Note D)</v>
      </c>
      <c r="F137" s="569" t="s">
        <v>312</v>
      </c>
      <c r="G137" s="26"/>
      <c r="H137" s="698">
        <v>0</v>
      </c>
      <c r="I137" s="136"/>
      <c r="J137" s="568"/>
    </row>
    <row r="138" spans="1:10">
      <c r="A138" s="44">
        <v>73</v>
      </c>
      <c r="B138" s="44"/>
      <c r="C138" s="14" t="s">
        <v>191</v>
      </c>
      <c r="D138" s="29"/>
      <c r="E138" s="769"/>
      <c r="F138" s="568" t="s">
        <v>666</v>
      </c>
      <c r="G138" s="32"/>
      <c r="H138" s="738">
        <f>H131+H132-H134-H135-H136-H137</f>
        <v>207558673.65000001</v>
      </c>
      <c r="I138" s="136"/>
      <c r="J138" s="568"/>
    </row>
    <row r="139" spans="1:10">
      <c r="A139" s="44">
        <v>74</v>
      </c>
      <c r="B139" s="44"/>
      <c r="C139" s="25" t="s">
        <v>317</v>
      </c>
      <c r="D139" s="38"/>
      <c r="F139" s="122" t="str">
        <f>"(Line "&amp;A$16&amp;")"</f>
        <v>(Line 5)</v>
      </c>
      <c r="G139" s="1207"/>
      <c r="H139" s="35">
        <f>+H16</f>
        <v>0.16107005309484509</v>
      </c>
      <c r="I139" s="136"/>
      <c r="J139" s="1424"/>
    </row>
    <row r="140" spans="1:10">
      <c r="A140" s="44">
        <v>75</v>
      </c>
      <c r="B140" s="44"/>
      <c r="C140" s="14" t="s">
        <v>202</v>
      </c>
      <c r="D140" s="29"/>
      <c r="E140" s="739"/>
      <c r="F140" s="568" t="s">
        <v>667</v>
      </c>
      <c r="G140" s="32"/>
      <c r="H140" s="173">
        <f>+H139*H138</f>
        <v>33431486.585101128</v>
      </c>
      <c r="I140" s="136"/>
      <c r="J140" s="83"/>
    </row>
    <row r="141" spans="1:10">
      <c r="A141" s="44"/>
      <c r="B141" s="44"/>
      <c r="C141" s="20"/>
      <c r="D141" s="47"/>
      <c r="E141" s="753"/>
      <c r="F141" s="34"/>
      <c r="G141" s="34"/>
      <c r="H141" s="566"/>
      <c r="J141" s="568"/>
    </row>
    <row r="142" spans="1:10">
      <c r="A142" s="44"/>
      <c r="B142" s="7" t="s">
        <v>192</v>
      </c>
      <c r="C142" s="27"/>
      <c r="D142" s="47"/>
      <c r="E142" s="753"/>
      <c r="F142" s="34"/>
      <c r="G142" s="34"/>
      <c r="H142" s="566"/>
      <c r="J142" s="568"/>
    </row>
    <row r="143" spans="1:10">
      <c r="A143" s="44">
        <v>76</v>
      </c>
      <c r="B143" s="24"/>
      <c r="C143" s="25" t="s">
        <v>363</v>
      </c>
      <c r="D143" s="109"/>
      <c r="E143" s="123" t="str">
        <f>"(Note "&amp;B$319&amp;")"</f>
        <v>(Note G)</v>
      </c>
      <c r="F143" s="25" t="s">
        <v>181</v>
      </c>
      <c r="G143" s="27"/>
      <c r="H143" s="698">
        <v>13383</v>
      </c>
      <c r="I143" s="136"/>
      <c r="J143" s="568"/>
    </row>
    <row r="144" spans="1:10">
      <c r="A144" s="44">
        <v>77</v>
      </c>
      <c r="B144" s="24"/>
      <c r="C144" s="101" t="s">
        <v>364</v>
      </c>
      <c r="D144" s="129"/>
      <c r="E144" s="130" t="str">
        <f>"(Note "&amp;B$327&amp;")"</f>
        <v>(Note K)</v>
      </c>
      <c r="F144" s="101" t="s">
        <v>180</v>
      </c>
      <c r="G144" s="27"/>
      <c r="H144" s="774">
        <v>0</v>
      </c>
      <c r="I144" s="136"/>
      <c r="J144" s="153"/>
    </row>
    <row r="145" spans="1:11">
      <c r="A145" s="44">
        <v>78</v>
      </c>
      <c r="B145" s="24"/>
      <c r="C145" s="25" t="s">
        <v>338</v>
      </c>
      <c r="D145" s="26"/>
      <c r="E145" s="107"/>
      <c r="F145" s="568" t="s">
        <v>668</v>
      </c>
      <c r="G145" s="27"/>
      <c r="H145" s="1218">
        <f>+H144+H143</f>
        <v>13383</v>
      </c>
      <c r="I145" s="136"/>
      <c r="J145" s="494"/>
    </row>
    <row r="146" spans="1:11">
      <c r="A146" s="44"/>
      <c r="B146" s="24"/>
      <c r="C146" s="25"/>
      <c r="D146" s="26"/>
      <c r="E146" s="107"/>
      <c r="F146" s="25"/>
      <c r="G146" s="27"/>
      <c r="H146" s="1209"/>
      <c r="J146" s="1228"/>
    </row>
    <row r="147" spans="1:11">
      <c r="A147" s="44">
        <v>79</v>
      </c>
      <c r="B147" s="24"/>
      <c r="C147" s="25" t="s">
        <v>365</v>
      </c>
      <c r="D147" s="26"/>
      <c r="F147" s="25" t="s">
        <v>329</v>
      </c>
      <c r="G147" s="27"/>
      <c r="H147" s="1219">
        <f>H134</f>
        <v>289980</v>
      </c>
      <c r="I147" s="136"/>
      <c r="J147" s="153"/>
    </row>
    <row r="148" spans="1:11">
      <c r="A148" s="44">
        <v>80</v>
      </c>
      <c r="B148" s="24"/>
      <c r="C148" s="25" t="s">
        <v>364</v>
      </c>
      <c r="D148" s="26"/>
      <c r="E148" s="123" t="str">
        <f>"(Note "&amp;B$318&amp;")"</f>
        <v>(Note F)</v>
      </c>
      <c r="F148" s="101" t="s">
        <v>180</v>
      </c>
      <c r="G148" s="27"/>
      <c r="H148" s="774">
        <v>0</v>
      </c>
      <c r="I148" s="136"/>
      <c r="J148" s="153"/>
    </row>
    <row r="149" spans="1:11">
      <c r="A149" s="44">
        <v>81</v>
      </c>
      <c r="B149" s="24"/>
      <c r="C149" s="28" t="s">
        <v>322</v>
      </c>
      <c r="D149" s="29"/>
      <c r="E149" s="110"/>
      <c r="F149" s="568" t="s">
        <v>669</v>
      </c>
      <c r="G149" s="31"/>
      <c r="H149" s="153">
        <f>+H147+H148</f>
        <v>289980</v>
      </c>
      <c r="I149" s="136"/>
      <c r="J149" s="153"/>
    </row>
    <row r="150" spans="1:11">
      <c r="A150" s="44">
        <v>82</v>
      </c>
      <c r="B150" s="44"/>
      <c r="C150" s="771" t="s">
        <v>264</v>
      </c>
      <c r="D150" s="38"/>
      <c r="E150" s="8"/>
      <c r="F150" s="569" t="str">
        <f>"(Line "&amp;A$35&amp;")"</f>
        <v>(Line 18)</v>
      </c>
      <c r="G150" s="1207"/>
      <c r="H150" s="36">
        <f>+H35</f>
        <v>0.25273645210431184</v>
      </c>
      <c r="I150" s="136"/>
      <c r="J150" s="1414"/>
    </row>
    <row r="151" spans="1:11">
      <c r="A151" s="44">
        <v>83</v>
      </c>
      <c r="B151" s="44"/>
      <c r="C151" s="14" t="s">
        <v>194</v>
      </c>
      <c r="D151" s="29"/>
      <c r="E151" s="739"/>
      <c r="F151" s="568" t="s">
        <v>670</v>
      </c>
      <c r="G151" s="32"/>
      <c r="H151" s="172">
        <f>+H150*H149</f>
        <v>73288.516381208348</v>
      </c>
      <c r="I151" s="136"/>
      <c r="J151" s="494"/>
    </row>
    <row r="152" spans="1:11">
      <c r="A152" s="44"/>
      <c r="B152" s="8"/>
      <c r="C152" s="7"/>
      <c r="D152" s="26"/>
      <c r="E152" s="450"/>
      <c r="F152" s="26"/>
      <c r="G152" s="9"/>
      <c r="H152" s="566"/>
      <c r="J152" s="568"/>
    </row>
    <row r="153" spans="1:11" ht="16" thickBot="1">
      <c r="A153" s="44">
        <v>84</v>
      </c>
      <c r="B153" s="8"/>
      <c r="C153" s="15" t="s">
        <v>297</v>
      </c>
      <c r="D153" s="72"/>
      <c r="E153" s="770"/>
      <c r="F153" s="570" t="s">
        <v>671</v>
      </c>
      <c r="G153" s="73"/>
      <c r="H153" s="16">
        <f>+H128+H140+H145+H151</f>
        <v>82498420.301482335</v>
      </c>
      <c r="I153" s="136"/>
      <c r="J153" s="83"/>
      <c r="K153" s="704"/>
    </row>
    <row r="154" spans="1:11" ht="16" thickTop="1">
      <c r="A154" s="23"/>
      <c r="B154" s="8"/>
      <c r="C154" s="7"/>
      <c r="D154" s="26"/>
      <c r="E154" s="450"/>
      <c r="F154" s="9"/>
      <c r="G154" s="9"/>
      <c r="H154" s="13"/>
      <c r="J154" s="1420"/>
    </row>
    <row r="155" spans="1:11" s="791" customFormat="1">
      <c r="A155" s="1215" t="s">
        <v>289</v>
      </c>
      <c r="B155" s="767"/>
      <c r="C155" s="1216"/>
      <c r="D155" s="767"/>
      <c r="E155" s="1217"/>
      <c r="F155" s="736"/>
      <c r="G155" s="736"/>
      <c r="H155" s="735"/>
      <c r="J155" s="1301"/>
    </row>
    <row r="156" spans="1:11">
      <c r="A156" s="7"/>
      <c r="B156" s="8"/>
      <c r="C156" s="7"/>
      <c r="D156" s="26"/>
      <c r="E156" s="450"/>
      <c r="F156" s="9"/>
      <c r="G156" s="9"/>
      <c r="H156" s="13"/>
      <c r="J156" s="1420"/>
    </row>
    <row r="157" spans="1:11">
      <c r="A157" s="962"/>
      <c r="B157" s="62" t="s">
        <v>160</v>
      </c>
      <c r="C157" s="21"/>
      <c r="F157" s="42"/>
      <c r="G157" s="42"/>
      <c r="H157" s="1220"/>
      <c r="J157" s="1426"/>
    </row>
    <row r="158" spans="1:11">
      <c r="A158" s="44">
        <v>85</v>
      </c>
      <c r="B158" s="22"/>
      <c r="C158" s="25" t="s">
        <v>162</v>
      </c>
      <c r="E158" s="8"/>
      <c r="F158" s="23" t="s">
        <v>55</v>
      </c>
      <c r="H158" s="1219">
        <f>+'5 - Cost Support'!H32</f>
        <v>56782463.640000001</v>
      </c>
      <c r="I158" s="136"/>
      <c r="J158" s="494"/>
    </row>
    <row r="159" spans="1:11">
      <c r="A159" s="44" t="s">
        <v>672</v>
      </c>
      <c r="B159" s="24"/>
      <c r="C159" s="25" t="s">
        <v>652</v>
      </c>
      <c r="D159" s="26"/>
      <c r="E159" s="123" t="s">
        <v>726</v>
      </c>
      <c r="F159" s="25" t="s">
        <v>55</v>
      </c>
      <c r="G159" s="27"/>
      <c r="H159" s="1472">
        <f>+'5 - Cost Support'!H192</f>
        <v>593500.4</v>
      </c>
      <c r="I159" s="136"/>
      <c r="J159" s="494"/>
    </row>
    <row r="160" spans="1:11">
      <c r="A160" s="8"/>
      <c r="B160" s="22"/>
      <c r="C160" s="23"/>
      <c r="E160" s="8"/>
      <c r="F160" s="62"/>
      <c r="G160" s="1207"/>
      <c r="H160" s="1221"/>
      <c r="J160" s="494"/>
    </row>
    <row r="161" spans="1:11">
      <c r="A161" s="44">
        <v>86</v>
      </c>
      <c r="B161" s="22"/>
      <c r="C161" s="771" t="s">
        <v>320</v>
      </c>
      <c r="D161" s="34"/>
      <c r="E161" s="45"/>
      <c r="F161" s="46" t="s">
        <v>55</v>
      </c>
      <c r="H161" s="573">
        <f>+'5 - Cost Support'!H33</f>
        <v>12836876</v>
      </c>
      <c r="I161" s="136"/>
      <c r="J161" s="153"/>
    </row>
    <row r="162" spans="1:11">
      <c r="A162" s="44">
        <v>87</v>
      </c>
      <c r="B162" s="22"/>
      <c r="C162" s="101" t="s">
        <v>265</v>
      </c>
      <c r="D162" s="60"/>
      <c r="E162" s="130" t="str">
        <f>"(Note "&amp;B$311&amp;")"</f>
        <v>(Note A)</v>
      </c>
      <c r="F162" s="101" t="s">
        <v>55</v>
      </c>
      <c r="H162" s="774">
        <f>+'5 - Cost Support'!H34</f>
        <v>3957002.26</v>
      </c>
      <c r="I162" s="136"/>
      <c r="J162" s="153"/>
    </row>
    <row r="163" spans="1:11">
      <c r="A163" s="44">
        <v>88</v>
      </c>
      <c r="B163" s="22"/>
      <c r="C163" s="46" t="s">
        <v>322</v>
      </c>
      <c r="D163" s="34"/>
      <c r="E163" s="45"/>
      <c r="F163" s="568" t="s">
        <v>673</v>
      </c>
      <c r="H163" s="573">
        <f>SUM(H161:H162)</f>
        <v>16793878.259999998</v>
      </c>
      <c r="I163" s="136"/>
      <c r="J163" s="153"/>
    </row>
    <row r="164" spans="1:11">
      <c r="A164" s="44">
        <v>89</v>
      </c>
      <c r="B164" s="22"/>
      <c r="C164" s="101" t="s">
        <v>317</v>
      </c>
      <c r="D164" s="57"/>
      <c r="E164" s="116"/>
      <c r="F164" s="122" t="s">
        <v>73</v>
      </c>
      <c r="G164" s="1211"/>
      <c r="H164" s="61">
        <f>+H16</f>
        <v>0.16107005309484509</v>
      </c>
      <c r="I164" s="136"/>
      <c r="J164" s="1424"/>
    </row>
    <row r="165" spans="1:11">
      <c r="A165" s="44">
        <v>90</v>
      </c>
      <c r="B165" s="22"/>
      <c r="C165" s="62" t="s">
        <v>268</v>
      </c>
      <c r="E165" s="8"/>
      <c r="F165" s="568" t="s">
        <v>674</v>
      </c>
      <c r="G165" s="1207"/>
      <c r="H165" s="1214">
        <f>+H163*H164</f>
        <v>2704990.8630065643</v>
      </c>
      <c r="I165" s="136"/>
      <c r="J165" s="494"/>
    </row>
    <row r="166" spans="1:11">
      <c r="A166" s="44"/>
      <c r="B166" s="24"/>
      <c r="C166" s="25"/>
      <c r="D166" s="26"/>
      <c r="E166" s="44"/>
      <c r="F166" s="25"/>
      <c r="G166" s="1207"/>
      <c r="H166" s="1222"/>
      <c r="J166" s="153"/>
    </row>
    <row r="167" spans="1:11">
      <c r="A167" s="44">
        <v>91</v>
      </c>
      <c r="B167" s="24"/>
      <c r="C167" s="25" t="s">
        <v>143</v>
      </c>
      <c r="D167" s="26"/>
      <c r="E167" s="123" t="str">
        <f>"(Note "&amp;B$311&amp;")"</f>
        <v>(Note A)</v>
      </c>
      <c r="F167" s="25" t="s">
        <v>55</v>
      </c>
      <c r="H167" s="1219">
        <f>+'5 - Cost Support'!H36</f>
        <v>17880200</v>
      </c>
      <c r="I167" s="136"/>
      <c r="J167" s="153"/>
    </row>
    <row r="168" spans="1:11">
      <c r="A168" s="44">
        <v>92</v>
      </c>
      <c r="B168" s="24"/>
      <c r="C168" s="101" t="s">
        <v>267</v>
      </c>
      <c r="D168" s="122"/>
      <c r="E168" s="130" t="str">
        <f>"(Note "&amp;B$311&amp;")"</f>
        <v>(Note A)</v>
      </c>
      <c r="F168" s="101" t="s">
        <v>55</v>
      </c>
      <c r="H168" s="774">
        <f>+'5 - Cost Support'!H37</f>
        <v>34398949</v>
      </c>
      <c r="I168" s="136"/>
      <c r="J168" s="153"/>
    </row>
    <row r="169" spans="1:11">
      <c r="A169" s="44">
        <v>93</v>
      </c>
      <c r="B169" s="24"/>
      <c r="C169" s="25" t="s">
        <v>322</v>
      </c>
      <c r="D169" s="26"/>
      <c r="E169" s="44"/>
      <c r="F169" s="568" t="s">
        <v>675</v>
      </c>
      <c r="H169" s="573">
        <f>+H168+H167</f>
        <v>52279149</v>
      </c>
      <c r="I169" s="136"/>
      <c r="J169" s="153"/>
      <c r="K169" s="704"/>
    </row>
    <row r="170" spans="1:11">
      <c r="A170" s="44">
        <v>94</v>
      </c>
      <c r="B170" s="24"/>
      <c r="C170" s="101" t="s">
        <v>317</v>
      </c>
      <c r="D170" s="57"/>
      <c r="E170" s="116"/>
      <c r="F170" s="122" t="str">
        <f>"(Line "&amp;A$16&amp;")"</f>
        <v>(Line 5)</v>
      </c>
      <c r="G170" s="1211"/>
      <c r="H170" s="61">
        <f>+H16</f>
        <v>0.16107005309484509</v>
      </c>
      <c r="I170" s="136"/>
      <c r="J170" s="1424"/>
    </row>
    <row r="171" spans="1:11">
      <c r="A171" s="44">
        <v>95</v>
      </c>
      <c r="B171" s="24"/>
      <c r="C171" s="62" t="s">
        <v>269</v>
      </c>
      <c r="D171" s="26"/>
      <c r="E171" s="44"/>
      <c r="F171" s="568" t="s">
        <v>676</v>
      </c>
      <c r="G171" s="1207"/>
      <c r="H171" s="1214">
        <f>+H170*H169</f>
        <v>8420605.3051833175</v>
      </c>
      <c r="I171" s="136"/>
      <c r="J171" s="494"/>
    </row>
    <row r="172" spans="1:11">
      <c r="A172" s="44"/>
      <c r="B172" s="24"/>
      <c r="C172" s="21"/>
      <c r="D172" s="26"/>
      <c r="E172" s="44"/>
      <c r="F172" s="25"/>
      <c r="G172" s="1207"/>
      <c r="H172" s="1205"/>
      <c r="J172" s="153"/>
    </row>
    <row r="173" spans="1:11">
      <c r="A173" s="63"/>
      <c r="B173" s="11"/>
      <c r="C173" s="25"/>
      <c r="D173" s="26"/>
      <c r="E173" s="44"/>
      <c r="F173" s="25"/>
      <c r="G173" s="1207"/>
      <c r="H173" s="35"/>
      <c r="J173" s="1424"/>
    </row>
    <row r="174" spans="1:11" s="136" customFormat="1" ht="16" thickBot="1">
      <c r="A174" s="44">
        <v>96</v>
      </c>
      <c r="B174" s="1223" t="s">
        <v>290</v>
      </c>
      <c r="C174" s="1223"/>
      <c r="D174" s="596"/>
      <c r="E174" s="597"/>
      <c r="F174" s="570" t="s">
        <v>677</v>
      </c>
      <c r="G174" s="598"/>
      <c r="H174" s="599">
        <f>+H158+H159+H165+H171</f>
        <v>68501560.208189875</v>
      </c>
      <c r="J174" s="494"/>
    </row>
    <row r="175" spans="1:11" ht="16" thickTop="1">
      <c r="J175" s="65"/>
    </row>
    <row r="176" spans="1:11" s="791" customFormat="1">
      <c r="A176" s="1215" t="s">
        <v>642</v>
      </c>
      <c r="B176" s="767"/>
      <c r="C176" s="1216"/>
      <c r="D176" s="767"/>
      <c r="E176" s="772"/>
      <c r="F176" s="736"/>
      <c r="G176" s="736"/>
      <c r="H176" s="735"/>
      <c r="J176" s="1301"/>
    </row>
    <row r="177" spans="1:10">
      <c r="A177" s="755"/>
      <c r="B177" s="8"/>
      <c r="C177" s="7"/>
      <c r="D177" s="26"/>
      <c r="E177" s="450"/>
      <c r="F177" s="9"/>
      <c r="G177" s="9"/>
      <c r="H177" s="13"/>
      <c r="J177" s="1420"/>
    </row>
    <row r="178" spans="1:10">
      <c r="A178" s="44">
        <v>97</v>
      </c>
      <c r="B178" s="1206" t="s">
        <v>138</v>
      </c>
      <c r="C178" s="1208"/>
      <c r="E178" s="123"/>
      <c r="F178" s="27" t="s">
        <v>414</v>
      </c>
      <c r="G178" s="27"/>
      <c r="H178" s="152">
        <f>+'2 - Other Tax'!G44</f>
        <v>28135745.545233008</v>
      </c>
      <c r="I178" s="136"/>
      <c r="J178" s="1427"/>
    </row>
    <row r="179" spans="1:10">
      <c r="A179" s="56"/>
      <c r="B179" s="26"/>
      <c r="E179" s="8"/>
      <c r="F179" s="23"/>
      <c r="G179" s="27"/>
      <c r="J179" s="65"/>
    </row>
    <row r="180" spans="1:10" ht="16" thickBot="1">
      <c r="A180" s="44">
        <v>98</v>
      </c>
      <c r="B180" s="15" t="s">
        <v>153</v>
      </c>
      <c r="C180" s="15"/>
      <c r="D180" s="66"/>
      <c r="E180" s="112"/>
      <c r="F180" s="570" t="s">
        <v>678</v>
      </c>
      <c r="G180" s="17"/>
      <c r="H180" s="18">
        <f>+H178</f>
        <v>28135745.545233008</v>
      </c>
      <c r="I180" s="136"/>
      <c r="J180" s="139"/>
    </row>
    <row r="181" spans="1:10" ht="16" thickTop="1">
      <c r="A181" s="962"/>
      <c r="J181" s="65"/>
    </row>
    <row r="182" spans="1:10" s="791" customFormat="1">
      <c r="A182" s="1215" t="s">
        <v>270</v>
      </c>
      <c r="B182" s="767"/>
      <c r="C182" s="1216"/>
      <c r="D182" s="767"/>
      <c r="E182" s="1217"/>
      <c r="F182" s="736"/>
      <c r="G182" s="736"/>
      <c r="H182" s="735"/>
      <c r="J182" s="1301"/>
    </row>
    <row r="183" spans="1:10">
      <c r="A183" s="23"/>
      <c r="B183" s="8"/>
      <c r="C183" s="7"/>
      <c r="D183" s="26"/>
      <c r="E183" s="450"/>
      <c r="F183" s="9"/>
      <c r="G183" s="9"/>
      <c r="H183" s="13"/>
      <c r="J183" s="1420"/>
    </row>
    <row r="184" spans="1:10">
      <c r="A184" s="44"/>
      <c r="B184" s="51" t="s">
        <v>155</v>
      </c>
      <c r="D184" s="34"/>
      <c r="E184" s="753"/>
      <c r="G184" s="566"/>
      <c r="J184" s="65"/>
    </row>
    <row r="185" spans="1:10">
      <c r="A185" s="44">
        <v>99</v>
      </c>
      <c r="B185" s="51"/>
      <c r="C185" s="9" t="s">
        <v>155</v>
      </c>
      <c r="D185" s="34"/>
      <c r="E185" s="753"/>
      <c r="F185" s="568" t="s">
        <v>69</v>
      </c>
      <c r="G185" s="566"/>
      <c r="H185" s="1347">
        <f>132158225+2062725+808692</f>
        <v>135029642</v>
      </c>
      <c r="I185" s="136"/>
      <c r="J185" s="800"/>
    </row>
    <row r="186" spans="1:10">
      <c r="A186" s="44">
        <v>100</v>
      </c>
      <c r="B186" s="44"/>
      <c r="C186" s="773" t="s">
        <v>157</v>
      </c>
      <c r="D186" s="122"/>
      <c r="E186" s="481" t="str">
        <f>"(Note "&amp;B$335&amp;")"</f>
        <v>(Note P)</v>
      </c>
      <c r="F186" s="569" t="s">
        <v>54</v>
      </c>
      <c r="G186" s="744"/>
      <c r="H186" s="774">
        <f>+'8 - Securitization'!E14</f>
        <v>0</v>
      </c>
      <c r="I186" s="136"/>
      <c r="J186" s="153"/>
    </row>
    <row r="187" spans="1:10">
      <c r="A187" s="44">
        <v>101</v>
      </c>
      <c r="B187" s="8"/>
      <c r="C187" s="51" t="s">
        <v>155</v>
      </c>
      <c r="D187" s="34"/>
      <c r="E187" s="108"/>
      <c r="F187" s="568" t="s">
        <v>679</v>
      </c>
      <c r="G187" s="566"/>
      <c r="H187" s="566">
        <f>+H185-H186</f>
        <v>135029642</v>
      </c>
      <c r="I187" s="136"/>
      <c r="J187" s="568"/>
    </row>
    <row r="188" spans="1:10">
      <c r="A188" s="44"/>
      <c r="B188" s="8"/>
      <c r="C188" s="626"/>
      <c r="F188" s="9"/>
      <c r="G188" s="626"/>
      <c r="H188" s="626"/>
      <c r="J188" s="568"/>
    </row>
    <row r="189" spans="1:10">
      <c r="A189" s="44">
        <v>102</v>
      </c>
      <c r="B189" s="4" t="s">
        <v>281</v>
      </c>
      <c r="E189" s="450" t="s">
        <v>314</v>
      </c>
      <c r="F189" s="626" t="s">
        <v>282</v>
      </c>
      <c r="G189" s="626"/>
      <c r="H189" s="78">
        <v>0</v>
      </c>
      <c r="I189" s="136"/>
      <c r="J189" s="1428"/>
    </row>
    <row r="190" spans="1:10">
      <c r="A190" s="44"/>
      <c r="B190" s="8"/>
      <c r="C190" s="740"/>
      <c r="E190" s="450"/>
      <c r="F190" s="626"/>
      <c r="G190" s="626"/>
      <c r="H190" s="626"/>
      <c r="J190" s="568"/>
    </row>
    <row r="191" spans="1:10">
      <c r="A191" s="44"/>
      <c r="B191" s="5" t="s">
        <v>139</v>
      </c>
      <c r="E191" s="450"/>
      <c r="F191" s="626"/>
      <c r="G191" s="626"/>
      <c r="H191" s="626"/>
      <c r="J191" s="568"/>
    </row>
    <row r="192" spans="1:10">
      <c r="A192" s="44">
        <v>103</v>
      </c>
      <c r="B192" s="8"/>
      <c r="C192" s="626" t="s">
        <v>324</v>
      </c>
      <c r="D192" s="626"/>
      <c r="E192" s="450"/>
      <c r="F192" s="571" t="s">
        <v>74</v>
      </c>
      <c r="G192" s="626"/>
      <c r="H192" s="698">
        <v>4196498442</v>
      </c>
      <c r="I192" s="136"/>
      <c r="J192" s="568"/>
    </row>
    <row r="193" spans="1:10">
      <c r="A193" s="44">
        <v>104</v>
      </c>
      <c r="B193" s="44"/>
      <c r="C193" s="571" t="s">
        <v>272</v>
      </c>
      <c r="D193" s="571"/>
      <c r="E193" s="743" t="s">
        <v>347</v>
      </c>
      <c r="F193" s="47" t="s">
        <v>680</v>
      </c>
      <c r="G193" s="626"/>
      <c r="H193" s="571">
        <f>-H205</f>
        <v>0</v>
      </c>
      <c r="I193" s="136"/>
      <c r="J193" s="568"/>
    </row>
    <row r="194" spans="1:10" hidden="1">
      <c r="A194" s="44">
        <v>105</v>
      </c>
      <c r="B194" s="363"/>
      <c r="C194" s="775" t="s">
        <v>273</v>
      </c>
      <c r="D194" s="776"/>
      <c r="E194" s="776"/>
      <c r="F194" s="777" t="str">
        <f>+F186</f>
        <v>Attachment 8</v>
      </c>
      <c r="G194" s="626"/>
      <c r="H194" s="698">
        <v>0</v>
      </c>
      <c r="I194" s="136"/>
      <c r="J194" s="568"/>
    </row>
    <row r="195" spans="1:10">
      <c r="A195" s="44">
        <v>105</v>
      </c>
      <c r="B195" s="44"/>
      <c r="C195" s="569" t="s">
        <v>271</v>
      </c>
      <c r="D195" s="569"/>
      <c r="E195" s="778" t="s">
        <v>347</v>
      </c>
      <c r="F195" s="569" t="s">
        <v>75</v>
      </c>
      <c r="G195" s="744"/>
      <c r="H195" s="748">
        <v>0</v>
      </c>
      <c r="I195" s="136"/>
      <c r="J195" s="568"/>
    </row>
    <row r="196" spans="1:10">
      <c r="A196" s="44">
        <v>106</v>
      </c>
      <c r="B196" s="44"/>
      <c r="C196" s="83" t="s">
        <v>139</v>
      </c>
      <c r="D196" s="568"/>
      <c r="E196" s="131"/>
      <c r="F196" s="568" t="s">
        <v>681</v>
      </c>
      <c r="G196" s="79"/>
      <c r="H196" s="626">
        <f>+H192+H193+H195+H194</f>
        <v>4196498442</v>
      </c>
      <c r="I196" s="136"/>
      <c r="J196" s="568"/>
    </row>
    <row r="197" spans="1:10">
      <c r="A197" s="44"/>
      <c r="B197" s="8"/>
      <c r="C197" s="740"/>
      <c r="E197" s="450"/>
      <c r="F197" s="626"/>
      <c r="G197" s="9"/>
      <c r="H197" s="626"/>
      <c r="J197" s="568"/>
    </row>
    <row r="198" spans="1:10">
      <c r="A198" s="44"/>
      <c r="B198" s="5" t="s">
        <v>274</v>
      </c>
      <c r="E198" s="450"/>
      <c r="F198" s="626"/>
      <c r="G198" s="9"/>
      <c r="H198" s="626"/>
      <c r="J198" s="568"/>
    </row>
    <row r="199" spans="1:10">
      <c r="A199" s="44">
        <v>107</v>
      </c>
      <c r="B199" s="8"/>
      <c r="C199" s="740" t="s">
        <v>156</v>
      </c>
      <c r="E199" s="8"/>
      <c r="F199" s="745" t="s">
        <v>70</v>
      </c>
      <c r="G199" s="9"/>
      <c r="H199" s="1347">
        <v>3700000000</v>
      </c>
      <c r="I199" s="136"/>
      <c r="J199" s="800"/>
    </row>
    <row r="200" spans="1:10">
      <c r="A200" s="44">
        <v>108</v>
      </c>
      <c r="B200" s="8"/>
      <c r="C200" s="740" t="s">
        <v>416</v>
      </c>
      <c r="E200" s="450" t="str">
        <f>+E195</f>
        <v>enter negative</v>
      </c>
      <c r="F200" s="745" t="s">
        <v>71</v>
      </c>
      <c r="G200" s="9"/>
      <c r="H200" s="1347">
        <v>-9002245</v>
      </c>
      <c r="I200" s="136"/>
      <c r="J200" s="800"/>
    </row>
    <row r="201" spans="1:10">
      <c r="A201" s="44">
        <v>109</v>
      </c>
      <c r="B201" s="8"/>
      <c r="C201" s="740" t="s">
        <v>417</v>
      </c>
      <c r="E201" s="8" t="s">
        <v>418</v>
      </c>
      <c r="F201" s="578" t="s">
        <v>72</v>
      </c>
      <c r="G201" s="9"/>
      <c r="H201" s="1347">
        <v>0</v>
      </c>
      <c r="I201" s="136"/>
      <c r="J201" s="800"/>
    </row>
    <row r="202" spans="1:10">
      <c r="A202" s="44">
        <v>110</v>
      </c>
      <c r="B202" s="44"/>
      <c r="C202" s="745" t="s">
        <v>84</v>
      </c>
      <c r="D202" s="26"/>
      <c r="E202" s="743" t="str">
        <f>+E200</f>
        <v>enter negative</v>
      </c>
      <c r="F202" s="578" t="s">
        <v>1162</v>
      </c>
      <c r="G202" s="26"/>
      <c r="H202" s="1347">
        <f>-'1A - ADIT'!E20</f>
        <v>2477193.1692583188</v>
      </c>
      <c r="I202" s="136"/>
      <c r="J202" s="568"/>
    </row>
    <row r="203" spans="1:10">
      <c r="A203" s="44">
        <v>111</v>
      </c>
      <c r="B203" s="44"/>
      <c r="C203" s="27" t="s">
        <v>466</v>
      </c>
      <c r="D203" s="481" t="str">
        <f>"(Note "&amp;B$335&amp;")"</f>
        <v>(Note P)</v>
      </c>
      <c r="E203" s="743" t="s">
        <v>347</v>
      </c>
      <c r="F203" s="569" t="str">
        <f>+F186</f>
        <v>Attachment 8</v>
      </c>
      <c r="G203" s="9"/>
      <c r="H203" s="698">
        <f>-'8 - Securitization'!E18</f>
        <v>0</v>
      </c>
      <c r="I203" s="136"/>
      <c r="J203" s="568"/>
    </row>
    <row r="204" spans="1:10">
      <c r="A204" s="44">
        <v>112</v>
      </c>
      <c r="B204" s="44"/>
      <c r="C204" s="779" t="s">
        <v>146</v>
      </c>
      <c r="D204" s="32"/>
      <c r="E204" s="115"/>
      <c r="F204" s="568" t="s">
        <v>682</v>
      </c>
      <c r="G204" s="29"/>
      <c r="H204" s="699">
        <f>SUM(H199:H203)</f>
        <v>3693474948.1692581</v>
      </c>
      <c r="I204" s="136"/>
      <c r="J204" s="568"/>
    </row>
    <row r="205" spans="1:10">
      <c r="A205" s="44">
        <v>113</v>
      </c>
      <c r="B205" s="8"/>
      <c r="C205" s="740" t="s">
        <v>171</v>
      </c>
      <c r="E205" s="8"/>
      <c r="F205" s="745" t="s">
        <v>76</v>
      </c>
      <c r="G205" s="9"/>
      <c r="H205" s="698">
        <v>0</v>
      </c>
      <c r="I205" s="136"/>
      <c r="J205" s="568"/>
    </row>
    <row r="206" spans="1:10">
      <c r="A206" s="44">
        <v>114</v>
      </c>
      <c r="B206" s="8"/>
      <c r="C206" s="740" t="s">
        <v>139</v>
      </c>
      <c r="F206" s="569" t="s">
        <v>683</v>
      </c>
      <c r="G206" s="9"/>
      <c r="H206" s="566">
        <f>H196</f>
        <v>4196498442</v>
      </c>
      <c r="I206" s="136"/>
      <c r="J206" s="568"/>
    </row>
    <row r="207" spans="1:10">
      <c r="A207" s="44">
        <v>115</v>
      </c>
      <c r="B207" s="8"/>
      <c r="C207" s="14" t="s">
        <v>145</v>
      </c>
      <c r="D207" s="32"/>
      <c r="E207" s="110"/>
      <c r="F207" s="568" t="s">
        <v>684</v>
      </c>
      <c r="G207" s="738"/>
      <c r="H207" s="738">
        <f>H206+H205+H204</f>
        <v>7889973390.1692581</v>
      </c>
      <c r="I207" s="136"/>
      <c r="J207" s="568"/>
    </row>
    <row r="208" spans="1:10">
      <c r="A208" s="8"/>
      <c r="B208" s="8"/>
      <c r="C208" s="740"/>
      <c r="G208" s="626"/>
      <c r="H208" s="450"/>
      <c r="J208" s="1429"/>
    </row>
    <row r="209" spans="1:10">
      <c r="A209" s="44">
        <v>116</v>
      </c>
      <c r="B209" s="8"/>
      <c r="C209" s="46" t="s">
        <v>369</v>
      </c>
      <c r="D209" s="578" t="s">
        <v>146</v>
      </c>
      <c r="F209" s="568" t="s">
        <v>685</v>
      </c>
      <c r="G209" s="626"/>
      <c r="H209" s="780">
        <f>IF(H207&gt;0,H204/H207,0)</f>
        <v>0.46812261151238488</v>
      </c>
      <c r="I209" s="136"/>
      <c r="J209" s="1430"/>
    </row>
    <row r="210" spans="1:10">
      <c r="A210" s="44">
        <v>117</v>
      </c>
      <c r="B210" s="8"/>
      <c r="C210" s="46" t="s">
        <v>376</v>
      </c>
      <c r="D210" s="740" t="s">
        <v>171</v>
      </c>
      <c r="F210" s="568" t="s">
        <v>686</v>
      </c>
      <c r="G210" s="626"/>
      <c r="H210" s="780">
        <f>IF(H207&gt;0,H205/H207,0)</f>
        <v>0</v>
      </c>
      <c r="I210" s="136"/>
      <c r="J210" s="1430"/>
    </row>
    <row r="211" spans="1:10">
      <c r="A211" s="44">
        <v>118</v>
      </c>
      <c r="B211" s="8"/>
      <c r="C211" s="46" t="s">
        <v>370</v>
      </c>
      <c r="D211" s="740" t="s">
        <v>139</v>
      </c>
      <c r="F211" s="568" t="s">
        <v>687</v>
      </c>
      <c r="G211" s="626"/>
      <c r="H211" s="780">
        <f>IF(H207&gt;0,H206/H207,0)</f>
        <v>0.53187738848761512</v>
      </c>
      <c r="I211" s="136"/>
      <c r="J211" s="1430"/>
    </row>
    <row r="212" spans="1:10">
      <c r="A212" s="44"/>
      <c r="B212" s="8"/>
      <c r="C212" s="781"/>
      <c r="F212" s="571"/>
      <c r="G212" s="626"/>
      <c r="H212" s="450"/>
      <c r="J212" s="1429"/>
    </row>
    <row r="213" spans="1:10">
      <c r="A213" s="44">
        <v>119</v>
      </c>
      <c r="B213" s="8"/>
      <c r="C213" s="781" t="s">
        <v>371</v>
      </c>
      <c r="D213" s="578" t="s">
        <v>146</v>
      </c>
      <c r="F213" s="568" t="s">
        <v>688</v>
      </c>
      <c r="G213" s="626"/>
      <c r="H213" s="782">
        <f>IF(H204&gt;0,H187/H204,0)</f>
        <v>3.655897058864039E-2</v>
      </c>
      <c r="I213" s="136"/>
      <c r="J213" s="1431"/>
    </row>
    <row r="214" spans="1:10">
      <c r="A214" s="44">
        <v>120</v>
      </c>
      <c r="B214" s="8"/>
      <c r="C214" s="781" t="s">
        <v>377</v>
      </c>
      <c r="D214" s="740" t="s">
        <v>171</v>
      </c>
      <c r="F214" s="568" t="s">
        <v>689</v>
      </c>
      <c r="G214" s="626"/>
      <c r="H214" s="782">
        <f>IF(H205&gt;0,H189/H205,0)</f>
        <v>0</v>
      </c>
      <c r="I214" s="136"/>
      <c r="J214" s="1431"/>
    </row>
    <row r="215" spans="1:10">
      <c r="A215" s="44">
        <v>121</v>
      </c>
      <c r="B215" s="8"/>
      <c r="C215" s="781" t="s">
        <v>372</v>
      </c>
      <c r="D215" s="740" t="s">
        <v>139</v>
      </c>
      <c r="E215" s="123" t="str">
        <f>"(Note "&amp;B$323&amp;")"</f>
        <v>(Note J)</v>
      </c>
      <c r="F215" s="553" t="s">
        <v>348</v>
      </c>
      <c r="G215" s="626"/>
      <c r="H215" s="907">
        <v>0.105</v>
      </c>
      <c r="I215" s="136"/>
      <c r="J215" s="1431"/>
    </row>
    <row r="216" spans="1:10">
      <c r="A216" s="44"/>
      <c r="B216" s="8"/>
      <c r="C216" s="781"/>
      <c r="F216" s="571"/>
      <c r="G216" s="626"/>
      <c r="H216" s="9"/>
      <c r="J216" s="47"/>
    </row>
    <row r="217" spans="1:10">
      <c r="A217" s="44">
        <v>122</v>
      </c>
      <c r="B217" s="8"/>
      <c r="C217" s="46" t="s">
        <v>373</v>
      </c>
      <c r="D217" s="578" t="s">
        <v>150</v>
      </c>
      <c r="F217" s="568" t="s">
        <v>690</v>
      </c>
      <c r="G217" s="783"/>
      <c r="H217" s="782">
        <f>H213*H209</f>
        <v>1.7114080786158808E-2</v>
      </c>
      <c r="I217" s="136"/>
      <c r="J217" s="1431"/>
    </row>
    <row r="218" spans="1:10">
      <c r="A218" s="44">
        <v>123</v>
      </c>
      <c r="B218" s="8"/>
      <c r="C218" s="46" t="s">
        <v>378</v>
      </c>
      <c r="D218" s="740" t="s">
        <v>171</v>
      </c>
      <c r="F218" s="568" t="s">
        <v>691</v>
      </c>
      <c r="G218" s="42"/>
      <c r="H218" s="782">
        <f>H214*H210</f>
        <v>0</v>
      </c>
      <c r="I218" s="136"/>
      <c r="J218" s="1431"/>
    </row>
    <row r="219" spans="1:10">
      <c r="A219" s="44">
        <v>124</v>
      </c>
      <c r="B219" s="106"/>
      <c r="C219" s="58" t="s">
        <v>374</v>
      </c>
      <c r="D219" s="747" t="s">
        <v>139</v>
      </c>
      <c r="E219" s="116"/>
      <c r="F219" s="569" t="s">
        <v>692</v>
      </c>
      <c r="G219" s="784"/>
      <c r="H219" s="785">
        <f>H215*H211</f>
        <v>5.5847125791199582E-2</v>
      </c>
      <c r="I219" s="136"/>
      <c r="J219" s="1431"/>
    </row>
    <row r="220" spans="1:10" s="136" customFormat="1">
      <c r="A220" s="44">
        <v>125</v>
      </c>
      <c r="B220" s="50" t="s">
        <v>147</v>
      </c>
      <c r="C220" s="50"/>
      <c r="D220" s="80"/>
      <c r="E220" s="117"/>
      <c r="F220" s="568" t="s">
        <v>693</v>
      </c>
      <c r="G220" s="52"/>
      <c r="H220" s="43">
        <f>SUM(H217:H219)</f>
        <v>7.2961206577358384E-2</v>
      </c>
      <c r="J220" s="1432"/>
    </row>
    <row r="221" spans="1:10" s="136" customFormat="1">
      <c r="A221" s="19"/>
      <c r="B221" s="3"/>
      <c r="C221" s="50"/>
      <c r="D221" s="80"/>
      <c r="E221" s="117"/>
      <c r="F221" s="83"/>
      <c r="G221" s="52"/>
      <c r="H221" s="43"/>
      <c r="J221" s="1432"/>
    </row>
    <row r="222" spans="1:10" ht="16" thickBot="1">
      <c r="A222" s="44">
        <v>126</v>
      </c>
      <c r="B222" s="69" t="s">
        <v>279</v>
      </c>
      <c r="C222" s="68"/>
      <c r="D222" s="66"/>
      <c r="E222" s="118"/>
      <c r="F222" s="570" t="s">
        <v>694</v>
      </c>
      <c r="G222" s="70"/>
      <c r="H222" s="16">
        <f>+H117*H220</f>
        <v>94392123.302270636</v>
      </c>
      <c r="I222" s="136"/>
      <c r="J222" s="83"/>
    </row>
    <row r="223" spans="1:10" ht="16" thickTop="1">
      <c r="A223" s="8"/>
      <c r="B223" s="8"/>
      <c r="C223" s="740"/>
      <c r="F223" s="626"/>
      <c r="G223" s="626"/>
      <c r="H223" s="782"/>
      <c r="I223" s="704"/>
      <c r="J223" s="1431"/>
    </row>
    <row r="224" spans="1:10" s="791" customFormat="1">
      <c r="A224" s="1215" t="s">
        <v>538</v>
      </c>
      <c r="B224" s="767"/>
      <c r="C224" s="1216"/>
      <c r="D224" s="767"/>
      <c r="E224" s="772"/>
      <c r="F224" s="736"/>
      <c r="G224" s="736"/>
      <c r="H224" s="735"/>
      <c r="I224" s="1302"/>
      <c r="J224" s="1301"/>
    </row>
    <row r="225" spans="1:10">
      <c r="A225" s="25"/>
      <c r="B225" s="8"/>
      <c r="C225" s="7"/>
      <c r="D225" s="26"/>
      <c r="E225" s="450"/>
      <c r="F225" s="9"/>
      <c r="G225" s="9"/>
      <c r="H225" s="13"/>
      <c r="J225" s="1420"/>
    </row>
    <row r="226" spans="1:10">
      <c r="A226" s="8" t="s">
        <v>166</v>
      </c>
      <c r="B226" s="84" t="s">
        <v>280</v>
      </c>
      <c r="E226" s="450"/>
      <c r="F226" s="626"/>
      <c r="G226" s="786"/>
      <c r="H226" s="9"/>
      <c r="J226" s="47"/>
    </row>
    <row r="227" spans="1:10">
      <c r="A227" s="44">
        <v>127</v>
      </c>
      <c r="B227" s="8"/>
      <c r="C227" s="9" t="s">
        <v>278</v>
      </c>
      <c r="E227" s="123" t="str">
        <f>"(Note "&amp;$B$320&amp;")"</f>
        <v>(Note I)</v>
      </c>
      <c r="F227" s="9"/>
      <c r="G227" s="1224"/>
      <c r="H227" s="1225">
        <v>0.21</v>
      </c>
      <c r="I227" s="702"/>
      <c r="J227" s="1415"/>
    </row>
    <row r="228" spans="1:10">
      <c r="A228" s="44">
        <v>128</v>
      </c>
      <c r="B228" s="8"/>
      <c r="C228" s="1224" t="s">
        <v>277</v>
      </c>
      <c r="D228" s="787"/>
      <c r="E228" s="123" t="str">
        <f>"(Note "&amp;$B$320&amp;")"</f>
        <v>(Note I)</v>
      </c>
      <c r="F228" s="9"/>
      <c r="G228" s="1224"/>
      <c r="H228" s="1225">
        <v>8.2500000000000004E-2</v>
      </c>
      <c r="I228" s="702"/>
      <c r="J228" s="1415"/>
    </row>
    <row r="229" spans="1:10">
      <c r="A229" s="44">
        <v>129</v>
      </c>
      <c r="B229" s="8"/>
      <c r="C229" s="1224" t="s">
        <v>478</v>
      </c>
      <c r="D229" s="1224"/>
      <c r="F229" s="9" t="s">
        <v>468</v>
      </c>
      <c r="G229" s="1224"/>
      <c r="H229" s="1225">
        <v>0</v>
      </c>
      <c r="I229" s="702"/>
      <c r="J229" s="1415"/>
    </row>
    <row r="230" spans="1:10">
      <c r="A230" s="44">
        <v>130</v>
      </c>
      <c r="B230" s="8"/>
      <c r="C230" s="1224" t="s">
        <v>350</v>
      </c>
      <c r="D230" s="788" t="s">
        <v>367</v>
      </c>
      <c r="F230" s="9"/>
      <c r="G230" s="1224"/>
      <c r="H230" s="33">
        <f>IF(H227&gt;0,1-(((1-H228)*(1-H227))/(1-H228*H227*H229)),0)</f>
        <v>0.27517499999999995</v>
      </c>
      <c r="I230" s="702"/>
      <c r="J230" s="1414"/>
    </row>
    <row r="231" spans="1:10">
      <c r="A231" s="44" t="s">
        <v>1136</v>
      </c>
      <c r="B231" s="8"/>
      <c r="C231" s="1224" t="s">
        <v>339</v>
      </c>
      <c r="D231" s="787"/>
      <c r="F231" s="9"/>
      <c r="G231" s="1224"/>
      <c r="H231" s="1226">
        <f>+H230/(1-H230)</f>
        <v>0.37964336219087358</v>
      </c>
      <c r="I231" s="702"/>
      <c r="J231" s="1415"/>
    </row>
    <row r="232" spans="1:10">
      <c r="A232" s="44" t="s">
        <v>1137</v>
      </c>
      <c r="B232" s="8"/>
      <c r="C232" s="1224" t="s">
        <v>1122</v>
      </c>
      <c r="D232" s="787" t="s">
        <v>1123</v>
      </c>
      <c r="F232" s="9"/>
      <c r="G232" s="1224"/>
      <c r="H232" s="1244">
        <f>1*1/(1-H230)</f>
        <v>1.3796433621908735</v>
      </c>
      <c r="I232" s="64"/>
      <c r="J232" s="1416"/>
    </row>
    <row r="233" spans="1:10">
      <c r="A233" s="8"/>
      <c r="B233" s="8"/>
      <c r="E233" s="751"/>
      <c r="F233" s="788"/>
      <c r="G233" s="786"/>
      <c r="H233" s="33"/>
      <c r="I233" s="64"/>
      <c r="J233" s="1414"/>
    </row>
    <row r="234" spans="1:10">
      <c r="A234" s="44"/>
      <c r="B234" s="84" t="s">
        <v>275</v>
      </c>
      <c r="C234" s="740"/>
      <c r="E234" s="123" t="str">
        <f>"(Note "&amp;B349&amp;")"</f>
        <v>(Note V)</v>
      </c>
      <c r="F234" s="626"/>
      <c r="G234" s="786"/>
      <c r="H234" s="1245"/>
      <c r="I234" s="64"/>
      <c r="J234" s="1433"/>
    </row>
    <row r="235" spans="1:10">
      <c r="A235" s="8">
        <v>132</v>
      </c>
      <c r="B235" s="8"/>
      <c r="C235" s="745" t="s">
        <v>1167</v>
      </c>
      <c r="E235" s="743" t="s">
        <v>347</v>
      </c>
      <c r="F235" s="23" t="s">
        <v>1173</v>
      </c>
      <c r="G235" s="786"/>
      <c r="H235" s="698">
        <f>-'1A - ADIT'!G175</f>
        <v>-29158</v>
      </c>
      <c r="I235" s="26"/>
      <c r="J235" s="568"/>
    </row>
    <row r="236" spans="1:10">
      <c r="A236" s="8">
        <f>+A235+1</f>
        <v>133</v>
      </c>
      <c r="B236" s="8"/>
      <c r="C236" s="752" t="s">
        <v>1159</v>
      </c>
      <c r="E236" s="8"/>
      <c r="F236" s="566" t="str">
        <f>"(Line "&amp;A232&amp;")"</f>
        <v>(Line 131b)</v>
      </c>
      <c r="G236" s="786"/>
      <c r="H236" s="1246">
        <f>1/(1-H230)</f>
        <v>1.3796433621908735</v>
      </c>
      <c r="I236" s="64"/>
      <c r="J236" s="1417"/>
    </row>
    <row r="237" spans="1:10" s="65" customFormat="1">
      <c r="A237" s="8">
        <f>+A236+1</f>
        <v>134</v>
      </c>
      <c r="B237" s="45"/>
      <c r="C237" s="101" t="s">
        <v>264</v>
      </c>
      <c r="D237" s="57"/>
      <c r="E237" s="106"/>
      <c r="F237" s="744" t="str">
        <f>"(Line "&amp;A$35&amp;")"</f>
        <v>(Line 18)</v>
      </c>
      <c r="G237" s="1227"/>
      <c r="H237" s="81">
        <f>H35</f>
        <v>0.25273645210431184</v>
      </c>
      <c r="I237" s="1303"/>
      <c r="J237" s="1424"/>
    </row>
    <row r="238" spans="1:10">
      <c r="A238" s="8">
        <v>135</v>
      </c>
      <c r="B238" s="8"/>
      <c r="C238" s="1247" t="s">
        <v>276</v>
      </c>
      <c r="D238" s="29"/>
      <c r="E238" s="123"/>
      <c r="F238" s="566" t="str">
        <f>"(Line "&amp;A235&amp;" *  "&amp;A236&amp;" * "&amp;A237&amp;")"</f>
        <v>(Line 132 *  133 * 134)</v>
      </c>
      <c r="G238" s="1210"/>
      <c r="H238" s="699">
        <f>H235*H236*H237</f>
        <v>-10166.991301979822</v>
      </c>
      <c r="I238" s="64"/>
      <c r="J238" s="568"/>
    </row>
    <row r="239" spans="1:10">
      <c r="A239" s="8"/>
      <c r="B239" s="8"/>
      <c r="C239" s="46"/>
      <c r="D239" s="47"/>
      <c r="E239" s="141"/>
      <c r="F239" s="140"/>
      <c r="G239" s="1227"/>
      <c r="H239" s="1248"/>
      <c r="I239" s="64"/>
      <c r="J239" s="1434"/>
    </row>
    <row r="240" spans="1:10">
      <c r="A240" s="8"/>
      <c r="B240" s="62" t="s">
        <v>904</v>
      </c>
      <c r="C240" s="46"/>
      <c r="D240" s="47"/>
      <c r="E240" s="141"/>
      <c r="F240" s="140"/>
      <c r="G240" s="1227"/>
      <c r="H240" s="1248"/>
      <c r="I240" s="1304"/>
      <c r="J240" s="1434"/>
    </row>
    <row r="241" spans="1:10">
      <c r="A241" s="44" t="s">
        <v>1138</v>
      </c>
      <c r="B241" s="23"/>
      <c r="C241" s="46" t="s">
        <v>909</v>
      </c>
      <c r="D241" s="47"/>
      <c r="E241" s="123" t="str">
        <f>"(Note "&amp;$B$347&amp;")"</f>
        <v>(Note T)</v>
      </c>
      <c r="F241" s="9" t="s">
        <v>1125</v>
      </c>
      <c r="G241" s="1227"/>
      <c r="H241" s="1249">
        <f>'5 - Cost Support'!K255</f>
        <v>441955.54057499993</v>
      </c>
      <c r="I241" s="1304"/>
      <c r="J241" s="800"/>
    </row>
    <row r="242" spans="1:10">
      <c r="A242" s="44" t="s">
        <v>1124</v>
      </c>
      <c r="B242" s="23"/>
      <c r="C242" s="46" t="s">
        <v>1194</v>
      </c>
      <c r="D242" s="47"/>
      <c r="E242" s="123" t="str">
        <f>"(Note "&amp;$B$347&amp;")"</f>
        <v>(Note T)</v>
      </c>
      <c r="F242" s="9" t="s">
        <v>1127</v>
      </c>
      <c r="G242" s="1227"/>
      <c r="H242" s="1249">
        <f>'5 - Cost Support'!K257</f>
        <v>-11038201.936257988</v>
      </c>
      <c r="I242" s="1304"/>
      <c r="J242" s="800"/>
    </row>
    <row r="243" spans="1:10">
      <c r="A243" s="44" t="s">
        <v>1126</v>
      </c>
      <c r="B243" s="23"/>
      <c r="C243" s="46" t="s">
        <v>1195</v>
      </c>
      <c r="D243" s="47"/>
      <c r="E243" s="123" t="str">
        <f>"(Note "&amp;$B$347&amp;")"</f>
        <v>(Note T)</v>
      </c>
      <c r="F243" s="9" t="s">
        <v>1129</v>
      </c>
      <c r="G243" s="1227"/>
      <c r="H243" s="1249">
        <f>'5 - Cost Support'!K258</f>
        <v>0</v>
      </c>
      <c r="I243" s="1304"/>
      <c r="J243" s="800"/>
    </row>
    <row r="244" spans="1:10">
      <c r="A244" s="44" t="s">
        <v>1128</v>
      </c>
      <c r="B244" s="23"/>
      <c r="C244" s="58" t="s">
        <v>911</v>
      </c>
      <c r="D244" s="122"/>
      <c r="E244" s="130" t="str">
        <f>"(Note "&amp;$B$347&amp;")"</f>
        <v>(Note T)</v>
      </c>
      <c r="F244" s="60" t="s">
        <v>1131</v>
      </c>
      <c r="G244" s="1211"/>
      <c r="H244" s="1250">
        <f>'5 - Cost Support'!K259</f>
        <v>453192</v>
      </c>
      <c r="I244" s="1304"/>
      <c r="J244" s="800"/>
    </row>
    <row r="245" spans="1:10">
      <c r="A245" s="44" t="s">
        <v>1130</v>
      </c>
      <c r="B245" s="23"/>
      <c r="C245" s="46" t="s">
        <v>1133</v>
      </c>
      <c r="D245" s="47"/>
      <c r="E245" s="123"/>
      <c r="F245" s="566" t="str">
        <f>"(Line "&amp;A241&amp;" + "&amp;A242&amp;" + "&amp;A243&amp;" + "&amp;A244&amp;")"</f>
        <v>(Line 136a + 136b + 136c + 136d)</v>
      </c>
      <c r="G245" s="1227"/>
      <c r="H245" s="53">
        <f>H241+H242+H243+H244</f>
        <v>-10143054.395682989</v>
      </c>
      <c r="I245" s="1304"/>
      <c r="J245" s="800"/>
    </row>
    <row r="246" spans="1:10">
      <c r="A246" s="44" t="s">
        <v>1132</v>
      </c>
      <c r="B246" s="8"/>
      <c r="C246" s="747" t="s">
        <v>1159</v>
      </c>
      <c r="D246" s="122"/>
      <c r="E246" s="1251"/>
      <c r="F246" s="744" t="str">
        <f>"(Line "&amp;A232&amp;")"</f>
        <v>(Line 131b)</v>
      </c>
      <c r="G246" s="1211"/>
      <c r="H246" s="1246">
        <f>1/(1-H230)</f>
        <v>1.3796433621908735</v>
      </c>
      <c r="I246" s="64"/>
      <c r="J246" s="1417"/>
    </row>
    <row r="247" spans="1:10">
      <c r="A247" s="44" t="s">
        <v>1134</v>
      </c>
      <c r="B247" s="8"/>
      <c r="C247" s="46" t="s">
        <v>904</v>
      </c>
      <c r="D247" s="47"/>
      <c r="E247" s="141" t="s">
        <v>166</v>
      </c>
      <c r="F247" s="566" t="str">
        <f>"(Line "&amp;A245&amp;" * "&amp;A246&amp;")"</f>
        <v>(Line 136e * 136f)</v>
      </c>
      <c r="G247" s="1227"/>
      <c r="H247" s="40">
        <f>H245*H246</f>
        <v>-13993797.669344997</v>
      </c>
      <c r="I247" s="1457"/>
      <c r="J247" s="153"/>
    </row>
    <row r="248" spans="1:10">
      <c r="A248" s="44"/>
      <c r="B248" s="8"/>
      <c r="E248" s="751"/>
      <c r="F248" s="788"/>
      <c r="G248" s="786"/>
      <c r="H248" s="33"/>
      <c r="J248" s="1414"/>
    </row>
    <row r="249" spans="1:10">
      <c r="A249" s="44" t="s">
        <v>1135</v>
      </c>
      <c r="B249" s="1" t="s">
        <v>310</v>
      </c>
      <c r="C249" s="21"/>
      <c r="D249" s="9" t="s">
        <v>315</v>
      </c>
      <c r="E249" s="450"/>
      <c r="F249" s="568" t="s">
        <v>1171</v>
      </c>
      <c r="G249" s="9"/>
      <c r="H249" s="176">
        <f>+H231*(1-H217/H220)*H222</f>
        <v>27429657.556866519</v>
      </c>
      <c r="I249" s="702"/>
      <c r="J249" s="153"/>
    </row>
    <row r="250" spans="1:10">
      <c r="A250" s="44"/>
      <c r="B250" s="8"/>
      <c r="C250" s="46"/>
      <c r="D250" s="47"/>
      <c r="E250" s="119"/>
      <c r="F250" s="1228"/>
      <c r="G250" s="1227"/>
      <c r="H250" s="1205"/>
      <c r="I250" s="703"/>
      <c r="J250" s="1418"/>
    </row>
    <row r="251" spans="1:10" ht="16" thickBot="1">
      <c r="A251" s="44">
        <v>137</v>
      </c>
      <c r="B251" s="69" t="s">
        <v>135</v>
      </c>
      <c r="C251" s="69"/>
      <c r="D251" s="66"/>
      <c r="E251" s="112"/>
      <c r="F251" s="66" t="str">
        <f>"(Line "&amp;A238&amp;" + "&amp;A247&amp;" + "&amp;A249&amp;")"</f>
        <v>(Line 135 + 136g + 136h)</v>
      </c>
      <c r="G251" s="957"/>
      <c r="H251" s="105">
        <f>+H249+H238+H247</f>
        <v>13425692.896219542</v>
      </c>
      <c r="I251" s="702"/>
      <c r="J251" s="1418"/>
    </row>
    <row r="252" spans="1:10" ht="16" thickTop="1">
      <c r="A252" s="44"/>
      <c r="B252" s="8"/>
      <c r="C252" s="788"/>
      <c r="F252" s="573"/>
      <c r="G252" s="789"/>
      <c r="H252" s="790"/>
      <c r="J252" s="65"/>
    </row>
    <row r="253" spans="1:10" s="791" customFormat="1">
      <c r="A253" s="1229" t="s">
        <v>151</v>
      </c>
      <c r="B253" s="767"/>
      <c r="C253" s="1216"/>
      <c r="D253" s="767"/>
      <c r="E253" s="1217"/>
      <c r="F253" s="736"/>
      <c r="G253" s="736"/>
      <c r="H253" s="735"/>
      <c r="J253" s="1301"/>
    </row>
    <row r="254" spans="1:10">
      <c r="A254" s="56"/>
      <c r="B254" s="21"/>
      <c r="C254" s="21"/>
      <c r="D254" s="21"/>
      <c r="F254" s="27"/>
      <c r="J254" s="65"/>
    </row>
    <row r="255" spans="1:10">
      <c r="A255" s="56"/>
      <c r="B255" s="1" t="s">
        <v>136</v>
      </c>
      <c r="C255" s="49"/>
      <c r="D255" s="49"/>
      <c r="F255" s="27"/>
      <c r="J255" s="65"/>
    </row>
    <row r="256" spans="1:10">
      <c r="A256" s="56">
        <v>138</v>
      </c>
      <c r="B256" s="21"/>
      <c r="C256" s="49" t="s">
        <v>137</v>
      </c>
      <c r="D256" s="49"/>
      <c r="F256" s="568" t="str">
        <f>"(Line "&amp;A69&amp;")"</f>
        <v>(Line 39)</v>
      </c>
      <c r="H256" s="53">
        <f>+H69</f>
        <v>1597527848.5463831</v>
      </c>
      <c r="I256" s="702"/>
      <c r="J256" s="800"/>
    </row>
    <row r="257" spans="1:11">
      <c r="A257" s="44">
        <v>139</v>
      </c>
      <c r="B257" s="21"/>
      <c r="C257" s="49" t="s">
        <v>305</v>
      </c>
      <c r="D257" s="49"/>
      <c r="F257" s="569" t="s">
        <v>695</v>
      </c>
      <c r="H257" s="53">
        <f>+H115</f>
        <v>-303797553.63699532</v>
      </c>
      <c r="I257" s="702"/>
      <c r="J257" s="800"/>
    </row>
    <row r="258" spans="1:11">
      <c r="A258" s="44">
        <v>140</v>
      </c>
      <c r="B258" s="8"/>
      <c r="C258" s="12" t="s">
        <v>309</v>
      </c>
      <c r="D258" s="87"/>
      <c r="E258" s="120"/>
      <c r="F258" s="568" t="s">
        <v>696</v>
      </c>
      <c r="G258" s="88"/>
      <c r="H258" s="89">
        <f>+H117</f>
        <v>1293730294.9093878</v>
      </c>
      <c r="I258" s="702"/>
      <c r="J258" s="139"/>
    </row>
    <row r="259" spans="1:11">
      <c r="A259" s="44"/>
      <c r="B259" s="8"/>
      <c r="C259" s="578"/>
      <c r="D259" s="47"/>
      <c r="E259" s="450"/>
      <c r="F259" s="26"/>
      <c r="G259" s="9"/>
      <c r="H259" s="53"/>
      <c r="J259" s="800"/>
    </row>
    <row r="260" spans="1:11">
      <c r="A260" s="44">
        <v>141</v>
      </c>
      <c r="C260" s="578" t="s">
        <v>352</v>
      </c>
      <c r="D260" s="34"/>
      <c r="F260" s="568" t="s">
        <v>662</v>
      </c>
      <c r="H260" s="53">
        <f>+H153</f>
        <v>82498420.301482335</v>
      </c>
      <c r="I260" s="702"/>
      <c r="J260" s="800"/>
      <c r="K260" s="704"/>
    </row>
    <row r="261" spans="1:11">
      <c r="A261" s="44">
        <v>142</v>
      </c>
      <c r="C261" s="46" t="s">
        <v>284</v>
      </c>
      <c r="D261" s="34"/>
      <c r="F261" s="568" t="s">
        <v>697</v>
      </c>
      <c r="H261" s="53">
        <f>+H174</f>
        <v>68501560.208189875</v>
      </c>
      <c r="I261" s="702"/>
      <c r="J261" s="800"/>
      <c r="K261" s="704"/>
    </row>
    <row r="262" spans="1:11">
      <c r="A262" s="44">
        <v>143</v>
      </c>
      <c r="B262" s="8"/>
      <c r="C262" s="578" t="s">
        <v>138</v>
      </c>
      <c r="D262" s="47"/>
      <c r="E262" s="450"/>
      <c r="F262" s="958" t="s">
        <v>698</v>
      </c>
      <c r="G262" s="9"/>
      <c r="H262" s="53">
        <f>+H180</f>
        <v>28135745.545233008</v>
      </c>
      <c r="I262" s="702"/>
      <c r="J262" s="800"/>
      <c r="K262" s="704"/>
    </row>
    <row r="263" spans="1:11">
      <c r="A263" s="44">
        <v>144</v>
      </c>
      <c r="B263" s="8"/>
      <c r="C263" s="792" t="s">
        <v>334</v>
      </c>
      <c r="D263" s="47"/>
      <c r="E263" s="450"/>
      <c r="F263" s="568" t="s">
        <v>699</v>
      </c>
      <c r="G263" s="9"/>
      <c r="H263" s="53">
        <f>+H222</f>
        <v>94392123.302270636</v>
      </c>
      <c r="I263" s="702"/>
      <c r="J263" s="800"/>
      <c r="K263" s="704"/>
    </row>
    <row r="264" spans="1:11">
      <c r="A264" s="44">
        <v>145</v>
      </c>
      <c r="B264" s="8"/>
      <c r="C264" s="792" t="s">
        <v>335</v>
      </c>
      <c r="D264" s="47"/>
      <c r="E264" s="450"/>
      <c r="F264" s="568" t="s">
        <v>700</v>
      </c>
      <c r="G264" s="9"/>
      <c r="H264" s="53">
        <f>+H251</f>
        <v>13425692.896219542</v>
      </c>
      <c r="I264" s="702"/>
      <c r="J264" s="800"/>
      <c r="K264" s="704"/>
    </row>
    <row r="265" spans="1:11" ht="16" thickBot="1">
      <c r="A265" s="44"/>
      <c r="B265" s="8"/>
      <c r="C265" s="792"/>
      <c r="D265" s="47"/>
      <c r="E265" s="450"/>
      <c r="F265" s="26"/>
      <c r="G265" s="9"/>
      <c r="H265" s="53"/>
      <c r="J265" s="800"/>
    </row>
    <row r="266" spans="1:11" ht="18.5" thickBot="1">
      <c r="A266" s="572">
        <v>146</v>
      </c>
      <c r="B266" s="94"/>
      <c r="C266" s="793" t="s">
        <v>336</v>
      </c>
      <c r="D266" s="794"/>
      <c r="E266" s="795"/>
      <c r="F266" s="574" t="s">
        <v>701</v>
      </c>
      <c r="G266" s="95"/>
      <c r="H266" s="99">
        <f>SUM(H264,H263,H262,H261,H260)</f>
        <v>286953542.25339538</v>
      </c>
      <c r="I266" s="702"/>
      <c r="J266" s="1435"/>
    </row>
    <row r="267" spans="1:11" ht="18">
      <c r="A267" s="143"/>
      <c r="B267" s="133"/>
      <c r="C267" s="796"/>
      <c r="D267" s="797"/>
      <c r="E267" s="798"/>
      <c r="F267" s="83"/>
      <c r="G267" s="134"/>
      <c r="H267" s="799"/>
      <c r="J267" s="1435"/>
    </row>
    <row r="268" spans="1:11" ht="18">
      <c r="A268" s="143"/>
      <c r="B268" s="104" t="s">
        <v>195</v>
      </c>
      <c r="C268" s="796"/>
      <c r="D268" s="797"/>
      <c r="E268" s="798"/>
      <c r="F268" s="83"/>
      <c r="G268" s="134"/>
      <c r="H268" s="799"/>
      <c r="J268" s="800"/>
    </row>
    <row r="269" spans="1:11" ht="18">
      <c r="A269" s="119">
        <v>147</v>
      </c>
      <c r="B269" s="119"/>
      <c r="C269" s="578" t="str">
        <f>+C40</f>
        <v>Transmission Plant In Service</v>
      </c>
      <c r="D269" s="797"/>
      <c r="E269" s="798"/>
      <c r="F269" s="568" t="s">
        <v>702</v>
      </c>
      <c r="G269" s="134"/>
      <c r="H269" s="800">
        <f>+H40</f>
        <v>2036661091</v>
      </c>
      <c r="J269" s="800"/>
    </row>
    <row r="270" spans="1:11" ht="18">
      <c r="A270" s="119">
        <v>148</v>
      </c>
      <c r="B270" s="119"/>
      <c r="C270" s="801" t="s">
        <v>196</v>
      </c>
      <c r="D270" s="802"/>
      <c r="E270" s="130" t="str">
        <f>"(Note "&amp;B$329&amp;")"</f>
        <v>(Note M)</v>
      </c>
      <c r="F270" s="569" t="s">
        <v>55</v>
      </c>
      <c r="G270" s="134"/>
      <c r="H270" s="803">
        <f>+'5 - Cost Support'!G117</f>
        <v>0</v>
      </c>
      <c r="J270" s="800"/>
    </row>
    <row r="271" spans="1:11" ht="18">
      <c r="A271" s="119">
        <v>149</v>
      </c>
      <c r="B271" s="119"/>
      <c r="C271" s="578" t="s">
        <v>197</v>
      </c>
      <c r="D271" s="797"/>
      <c r="E271" s="804"/>
      <c r="F271" s="568" t="s">
        <v>703</v>
      </c>
      <c r="G271" s="134"/>
      <c r="H271" s="800">
        <f>+H269-H270</f>
        <v>2036661091</v>
      </c>
      <c r="J271" s="800"/>
    </row>
    <row r="272" spans="1:11" ht="18">
      <c r="A272" s="119">
        <v>150</v>
      </c>
      <c r="B272" s="119"/>
      <c r="C272" s="578" t="s">
        <v>198</v>
      </c>
      <c r="D272" s="797"/>
      <c r="E272" s="798"/>
      <c r="F272" s="568" t="s">
        <v>704</v>
      </c>
      <c r="G272" s="134"/>
      <c r="H272" s="805">
        <f>+H271/H269</f>
        <v>1</v>
      </c>
      <c r="J272" s="805"/>
    </row>
    <row r="273" spans="1:12" ht="18">
      <c r="A273" s="119">
        <v>151</v>
      </c>
      <c r="B273" s="119"/>
      <c r="C273" s="801" t="s">
        <v>336</v>
      </c>
      <c r="D273" s="802"/>
      <c r="E273" s="806"/>
      <c r="F273" s="569" t="s">
        <v>705</v>
      </c>
      <c r="G273" s="134"/>
      <c r="H273" s="807">
        <f>+H266</f>
        <v>286953542.25339538</v>
      </c>
      <c r="J273" s="800"/>
    </row>
    <row r="274" spans="1:12" ht="18">
      <c r="A274" s="119">
        <v>152</v>
      </c>
      <c r="B274" s="119"/>
      <c r="C274" s="20" t="s">
        <v>199</v>
      </c>
      <c r="D274" s="797"/>
      <c r="E274" s="798"/>
      <c r="F274" s="568" t="s">
        <v>706</v>
      </c>
      <c r="G274" s="134"/>
      <c r="H274" s="139">
        <f>+H273*H272</f>
        <v>286953542.25339538</v>
      </c>
      <c r="I274" s="703"/>
      <c r="J274" s="139"/>
    </row>
    <row r="275" spans="1:12">
      <c r="A275" s="808"/>
      <c r="B275" s="8"/>
      <c r="C275" s="578"/>
      <c r="D275" s="47"/>
      <c r="E275" s="450"/>
      <c r="F275" s="26"/>
      <c r="G275" s="9"/>
      <c r="H275" s="13"/>
      <c r="J275" s="1420"/>
    </row>
    <row r="276" spans="1:12">
      <c r="A276" s="808"/>
      <c r="B276" s="62" t="s">
        <v>475</v>
      </c>
      <c r="C276" s="578"/>
      <c r="D276" s="47"/>
      <c r="E276" s="450"/>
      <c r="F276" s="26"/>
      <c r="G276" s="9"/>
      <c r="H276" s="13"/>
      <c r="J276" s="1420"/>
    </row>
    <row r="277" spans="1:12">
      <c r="A277" s="44">
        <v>153</v>
      </c>
      <c r="B277" s="21"/>
      <c r="C277" s="62" t="s">
        <v>141</v>
      </c>
      <c r="D277" s="47"/>
      <c r="E277" s="450"/>
      <c r="F277" s="26" t="s">
        <v>56</v>
      </c>
      <c r="G277" s="9"/>
      <c r="H277" s="809">
        <f>+'3 - Revenue Credits'!D23</f>
        <v>51172164.859999999</v>
      </c>
      <c r="I277" s="704"/>
      <c r="J277" s="1436"/>
      <c r="L277" s="703"/>
    </row>
    <row r="278" spans="1:12">
      <c r="A278" s="44">
        <v>154</v>
      </c>
      <c r="B278" s="21"/>
      <c r="C278" s="62" t="s">
        <v>473</v>
      </c>
      <c r="D278" s="47"/>
      <c r="E278" s="123" t="str">
        <f>"(Note "&amp;B$330&amp;")"</f>
        <v>(Note N)</v>
      </c>
      <c r="F278" s="26" t="s">
        <v>474</v>
      </c>
      <c r="G278" s="9"/>
      <c r="H278" s="809">
        <f>+'5 - Cost Support'!G209</f>
        <v>0</v>
      </c>
      <c r="J278" s="1436"/>
    </row>
    <row r="279" spans="1:12" ht="16" thickBot="1">
      <c r="A279" s="44"/>
      <c r="B279" s="8"/>
      <c r="C279" s="65"/>
      <c r="D279" s="65"/>
      <c r="F279" s="26"/>
      <c r="G279" s="9"/>
      <c r="H279" s="13"/>
      <c r="J279" s="1420"/>
    </row>
    <row r="280" spans="1:12" s="136" customFormat="1" ht="18.5" thickBot="1">
      <c r="A280" s="572">
        <v>155</v>
      </c>
      <c r="B280" s="102"/>
      <c r="C280" s="96" t="s">
        <v>351</v>
      </c>
      <c r="D280" s="97"/>
      <c r="E280" s="121"/>
      <c r="F280" s="574" t="s">
        <v>707</v>
      </c>
      <c r="G280" s="98"/>
      <c r="H280" s="99">
        <f>+H274-H277+H278</f>
        <v>235781377.39339536</v>
      </c>
      <c r="J280" s="1435"/>
    </row>
    <row r="281" spans="1:12">
      <c r="A281" s="808"/>
      <c r="B281" s="8"/>
      <c r="C281" s="65"/>
      <c r="D281" s="65"/>
      <c r="F281" s="26"/>
      <c r="G281" s="9"/>
      <c r="H281" s="700"/>
      <c r="J281" s="1437"/>
    </row>
    <row r="282" spans="1:12">
      <c r="A282" s="44"/>
      <c r="B282" s="138" t="s">
        <v>25</v>
      </c>
      <c r="C282" s="21"/>
      <c r="D282" s="65"/>
      <c r="E282" s="123"/>
      <c r="F282" s="26"/>
      <c r="G282" s="9"/>
      <c r="H282" s="13"/>
      <c r="J282" s="1420"/>
    </row>
    <row r="283" spans="1:12">
      <c r="A283" s="44">
        <v>156</v>
      </c>
      <c r="B283" s="8"/>
      <c r="C283" s="65" t="str">
        <f>+C280</f>
        <v>Net Revenue Requirement</v>
      </c>
      <c r="D283" s="65"/>
      <c r="F283" s="26" t="s">
        <v>708</v>
      </c>
      <c r="G283" s="9"/>
      <c r="H283" s="151">
        <f>+H280</f>
        <v>235781377.39339536</v>
      </c>
      <c r="J283" s="1419"/>
    </row>
    <row r="284" spans="1:12">
      <c r="A284" s="44">
        <v>157</v>
      </c>
      <c r="B284" s="44"/>
      <c r="C284" s="65" t="s">
        <v>727</v>
      </c>
      <c r="D284" s="65"/>
      <c r="E284" s="56"/>
      <c r="F284" s="26" t="s">
        <v>728</v>
      </c>
      <c r="G284" s="26"/>
      <c r="H284" s="176">
        <f>+H40-H57+H92</f>
        <v>1555504381.1700001</v>
      </c>
      <c r="J284" s="1419"/>
    </row>
    <row r="285" spans="1:12">
      <c r="A285" s="44">
        <v>158</v>
      </c>
      <c r="B285" s="8"/>
      <c r="C285" s="65" t="s">
        <v>20</v>
      </c>
      <c r="D285" s="65"/>
      <c r="F285" s="26" t="s">
        <v>709</v>
      </c>
      <c r="G285" s="9"/>
      <c r="H285" s="13">
        <f>+H283/H284</f>
        <v>0.1515787292196813</v>
      </c>
      <c r="J285" s="1420"/>
    </row>
    <row r="286" spans="1:12">
      <c r="A286" s="44">
        <v>159</v>
      </c>
      <c r="B286" s="8"/>
      <c r="C286" s="65" t="s">
        <v>21</v>
      </c>
      <c r="D286" s="65"/>
      <c r="F286" s="26" t="s">
        <v>710</v>
      </c>
      <c r="G286" s="9"/>
      <c r="H286" s="13">
        <f>(H283-H158)/H284</f>
        <v>0.11507451597067067</v>
      </c>
      <c r="J286" s="1420"/>
    </row>
    <row r="287" spans="1:12">
      <c r="A287" s="44">
        <v>160</v>
      </c>
      <c r="B287" s="44"/>
      <c r="C287" s="65" t="s">
        <v>22</v>
      </c>
      <c r="D287" s="65"/>
      <c r="E287" s="56"/>
      <c r="F287" s="26" t="s">
        <v>711</v>
      </c>
      <c r="G287" s="9"/>
      <c r="H287" s="13">
        <f>(H283-H158-H222-H251)/H284</f>
        <v>4.5760782429532652E-2</v>
      </c>
      <c r="J287" s="1420"/>
    </row>
    <row r="288" spans="1:12">
      <c r="A288" s="44"/>
      <c r="B288" s="8"/>
      <c r="C288" s="65"/>
      <c r="D288" s="65"/>
      <c r="F288" s="26"/>
      <c r="G288" s="9"/>
      <c r="H288" s="13"/>
      <c r="J288" s="1420"/>
    </row>
    <row r="289" spans="1:245">
      <c r="A289" s="44"/>
      <c r="B289" s="8"/>
      <c r="C289" s="65"/>
      <c r="D289" s="65"/>
      <c r="F289" s="26"/>
      <c r="G289" s="9"/>
      <c r="H289" s="13"/>
      <c r="J289" s="1420"/>
    </row>
    <row r="290" spans="1:245">
      <c r="A290" s="44"/>
      <c r="B290" s="138" t="s">
        <v>26</v>
      </c>
      <c r="C290" s="65"/>
      <c r="D290" s="65"/>
      <c r="E290" s="123"/>
      <c r="F290" s="26"/>
      <c r="G290" s="9"/>
      <c r="H290" s="13"/>
      <c r="J290" s="1420"/>
    </row>
    <row r="291" spans="1:245">
      <c r="A291" s="44">
        <v>161</v>
      </c>
      <c r="B291" s="8"/>
      <c r="C291" s="65" t="s">
        <v>539</v>
      </c>
      <c r="D291" s="65"/>
      <c r="F291" s="26" t="s">
        <v>712</v>
      </c>
      <c r="G291" s="9"/>
      <c r="H291" s="151">
        <f>+H280-H263-H264</f>
        <v>127963561.19490518</v>
      </c>
      <c r="J291" s="1419"/>
    </row>
    <row r="292" spans="1:245">
      <c r="A292" s="44">
        <v>162</v>
      </c>
      <c r="B292" s="8"/>
      <c r="C292" s="65" t="s">
        <v>30</v>
      </c>
      <c r="D292" s="65"/>
      <c r="F292" s="26" t="s">
        <v>57</v>
      </c>
      <c r="G292" s="9"/>
      <c r="H292" s="151">
        <f>+'4 - 100 Basis Pt ROE'!I9</f>
        <v>117311223.44387655</v>
      </c>
      <c r="J292" s="1419"/>
    </row>
    <row r="293" spans="1:245">
      <c r="A293" s="44">
        <v>163</v>
      </c>
      <c r="B293" s="8"/>
      <c r="C293" s="65" t="s">
        <v>29</v>
      </c>
      <c r="D293" s="65"/>
      <c r="F293" s="26" t="s">
        <v>713</v>
      </c>
      <c r="G293" s="9"/>
      <c r="H293" s="151">
        <f>+H292+H291</f>
        <v>245274784.63878173</v>
      </c>
      <c r="J293" s="1419"/>
    </row>
    <row r="294" spans="1:245">
      <c r="A294" s="44">
        <v>164</v>
      </c>
      <c r="B294" s="44"/>
      <c r="C294" s="65" t="str">
        <f>+C284</f>
        <v>Net Transmission Plant and Abandoned Plant</v>
      </c>
      <c r="D294" s="65"/>
      <c r="E294" s="56"/>
      <c r="F294" s="26" t="str">
        <f>+F284</f>
        <v>(Line 19 - 30 + 44a)</v>
      </c>
      <c r="G294" s="26"/>
      <c r="H294" s="176">
        <f>+H284</f>
        <v>1555504381.1700001</v>
      </c>
      <c r="J294" s="1419"/>
    </row>
    <row r="295" spans="1:245">
      <c r="A295" s="44">
        <v>165</v>
      </c>
      <c r="B295" s="8"/>
      <c r="C295" s="65" t="s">
        <v>28</v>
      </c>
      <c r="D295" s="65"/>
      <c r="F295" s="26" t="s">
        <v>714</v>
      </c>
      <c r="G295" s="9"/>
      <c r="H295" s="13">
        <f>+H293/H294</f>
        <v>0.1576818346562894</v>
      </c>
      <c r="J295" s="1420"/>
    </row>
    <row r="296" spans="1:245">
      <c r="A296" s="44">
        <v>166</v>
      </c>
      <c r="B296" s="8"/>
      <c r="C296" s="65" t="s">
        <v>27</v>
      </c>
      <c r="D296" s="65"/>
      <c r="F296" s="26" t="s">
        <v>715</v>
      </c>
      <c r="G296" s="9"/>
      <c r="H296" s="13">
        <f>(H293-H158)/H294</f>
        <v>0.12117762140727878</v>
      </c>
      <c r="J296" s="1420"/>
    </row>
    <row r="297" spans="1:245">
      <c r="A297" s="44"/>
      <c r="B297" s="8"/>
      <c r="C297" s="65"/>
      <c r="D297" s="65"/>
      <c r="F297" s="26"/>
      <c r="G297" s="9"/>
      <c r="H297" s="13"/>
      <c r="J297" s="1420"/>
    </row>
    <row r="298" spans="1:245">
      <c r="A298" s="44">
        <v>167</v>
      </c>
      <c r="B298" s="8"/>
      <c r="C298" s="138" t="s">
        <v>351</v>
      </c>
      <c r="D298" s="65"/>
      <c r="E298" s="56"/>
      <c r="F298" s="26" t="s">
        <v>708</v>
      </c>
      <c r="G298" s="9"/>
      <c r="H298" s="151">
        <f>+H280</f>
        <v>235781377.39339536</v>
      </c>
      <c r="I298" s="703"/>
      <c r="J298" s="1419"/>
    </row>
    <row r="299" spans="1:245">
      <c r="A299" s="44">
        <v>168</v>
      </c>
      <c r="B299" s="8"/>
      <c r="C299" s="65" t="s">
        <v>639</v>
      </c>
      <c r="D299" s="65"/>
      <c r="E299" s="450"/>
      <c r="F299" s="38" t="s">
        <v>52</v>
      </c>
      <c r="G299" s="9"/>
      <c r="H299" s="513">
        <f>+'5 - Cost Support'!I226</f>
        <v>11579877.921471881</v>
      </c>
      <c r="I299" s="903"/>
      <c r="J299" s="1419"/>
      <c r="K299" s="703"/>
      <c r="L299" s="703"/>
      <c r="R299" s="925"/>
    </row>
    <row r="300" spans="1:245">
      <c r="A300" s="44">
        <v>169</v>
      </c>
      <c r="B300" s="8"/>
      <c r="C300" s="65" t="s">
        <v>230</v>
      </c>
      <c r="D300" s="65"/>
      <c r="E300" s="123"/>
      <c r="F300" s="38" t="s">
        <v>231</v>
      </c>
      <c r="G300" s="9"/>
      <c r="H300" s="513">
        <f>-766929+'7 - Cap Add WS'!ET68</f>
        <v>-51366.009500317276</v>
      </c>
      <c r="J300" s="1419"/>
      <c r="K300" s="703"/>
      <c r="L300" s="703"/>
      <c r="R300" s="925"/>
    </row>
    <row r="301" spans="1:245">
      <c r="A301" s="44">
        <v>170</v>
      </c>
      <c r="B301" s="44"/>
      <c r="C301" s="47" t="s">
        <v>85</v>
      </c>
      <c r="D301" s="538"/>
      <c r="E301" s="123"/>
      <c r="F301" s="47" t="s">
        <v>86</v>
      </c>
      <c r="G301" s="26"/>
      <c r="H301" s="513">
        <f>+'5 - Cost Support'!G220</f>
        <v>0</v>
      </c>
      <c r="J301" s="1419"/>
      <c r="L301" s="703"/>
      <c r="R301" s="925"/>
      <c r="IK301" s="27">
        <f>SUM(A301:IJ301)</f>
        <v>170</v>
      </c>
    </row>
    <row r="302" spans="1:245">
      <c r="A302" s="44">
        <v>171</v>
      </c>
      <c r="B302" s="8"/>
      <c r="C302" s="138" t="s">
        <v>480</v>
      </c>
      <c r="D302" s="65"/>
      <c r="E302" s="56"/>
      <c r="F302" s="26" t="s">
        <v>716</v>
      </c>
      <c r="G302" s="9"/>
      <c r="H302" s="151">
        <f>+H298+H299+H300+H301</f>
        <v>247309889.30536693</v>
      </c>
      <c r="I302" s="703"/>
      <c r="J302" s="1419"/>
      <c r="L302" s="903"/>
      <c r="M302" s="1406"/>
      <c r="R302" s="925"/>
    </row>
    <row r="303" spans="1:245">
      <c r="A303" s="44"/>
      <c r="B303" s="8"/>
      <c r="C303" s="65"/>
      <c r="D303" s="65"/>
      <c r="F303" s="26"/>
      <c r="G303" s="9"/>
      <c r="H303" s="151"/>
      <c r="I303" s="925"/>
      <c r="J303" s="1419"/>
      <c r="L303" s="903"/>
      <c r="R303" s="925"/>
    </row>
    <row r="304" spans="1:245">
      <c r="A304" s="1458"/>
      <c r="B304" s="1459" t="s">
        <v>479</v>
      </c>
      <c r="C304" s="21"/>
      <c r="D304" s="21"/>
      <c r="E304" s="1458"/>
      <c r="H304" s="151"/>
      <c r="J304" s="1419"/>
    </row>
    <row r="305" spans="1:10">
      <c r="A305" s="1458">
        <v>172</v>
      </c>
      <c r="B305" s="1458"/>
      <c r="C305" s="21" t="s">
        <v>286</v>
      </c>
      <c r="D305" s="21"/>
      <c r="E305" s="1460" t="str">
        <f>"(Note "&amp;B$328&amp;")"</f>
        <v>(Note L)</v>
      </c>
      <c r="F305" s="1" t="s">
        <v>474</v>
      </c>
      <c r="H305" s="1461"/>
      <c r="I305" s="704"/>
      <c r="J305" s="1438"/>
    </row>
    <row r="306" spans="1:10">
      <c r="A306" s="1458">
        <v>173</v>
      </c>
      <c r="B306" s="1458"/>
      <c r="C306" s="21" t="s">
        <v>285</v>
      </c>
      <c r="D306" s="1462"/>
      <c r="E306" s="1460" t="s">
        <v>349</v>
      </c>
      <c r="F306" s="53" t="s">
        <v>717</v>
      </c>
      <c r="G306" s="1463"/>
      <c r="H306" s="1464"/>
      <c r="J306" s="1234"/>
    </row>
    <row r="307" spans="1:10" ht="16" thickBot="1">
      <c r="A307" s="1458"/>
      <c r="B307" s="1458"/>
      <c r="C307" s="21"/>
      <c r="D307" s="21"/>
      <c r="E307" s="1465"/>
      <c r="F307" s="1463"/>
      <c r="G307" s="1463"/>
      <c r="H307" s="1466"/>
      <c r="J307" s="1234"/>
    </row>
    <row r="308" spans="1:10" s="65" customFormat="1" ht="18.5" thickBot="1">
      <c r="A308" s="1467">
        <v>174</v>
      </c>
      <c r="B308" s="121"/>
      <c r="C308" s="1468" t="s">
        <v>368</v>
      </c>
      <c r="D308" s="121"/>
      <c r="E308" s="121"/>
      <c r="F308" s="121" t="s">
        <v>718</v>
      </c>
      <c r="G308" s="121"/>
      <c r="H308" s="137"/>
      <c r="J308" s="1439"/>
    </row>
    <row r="309" spans="1:10" s="65" customFormat="1">
      <c r="A309" s="755"/>
      <c r="B309" s="45"/>
      <c r="C309" s="34"/>
      <c r="D309" s="34"/>
      <c r="E309" s="1231"/>
      <c r="F309" s="1230"/>
      <c r="G309" s="1230"/>
      <c r="H309" s="1233"/>
    </row>
    <row r="310" spans="1:10" s="65" customFormat="1" ht="18">
      <c r="A310" s="103"/>
      <c r="B310" s="104" t="s">
        <v>340</v>
      </c>
      <c r="C310" s="34"/>
      <c r="D310" s="34"/>
      <c r="E310" s="1231"/>
      <c r="F310" s="1230"/>
      <c r="G310" s="1230"/>
      <c r="H310" s="1233"/>
    </row>
    <row r="311" spans="1:10" s="65" customFormat="1" ht="18">
      <c r="A311" s="103"/>
      <c r="B311" s="45" t="s">
        <v>168</v>
      </c>
      <c r="C311" s="34" t="s">
        <v>355</v>
      </c>
      <c r="D311" s="34"/>
      <c r="E311" s="1231"/>
      <c r="F311" s="1230"/>
      <c r="G311" s="1230"/>
      <c r="H311" s="1234"/>
      <c r="J311" s="1234"/>
    </row>
    <row r="312" spans="1:10" s="65" customFormat="1" ht="18">
      <c r="A312" s="143"/>
      <c r="B312" s="45" t="s">
        <v>323</v>
      </c>
      <c r="C312" s="38" t="s">
        <v>113</v>
      </c>
      <c r="D312" s="47"/>
      <c r="E312" s="1235"/>
      <c r="F312" s="1232"/>
      <c r="G312" s="1230"/>
      <c r="H312" s="1234"/>
      <c r="J312" s="1234"/>
    </row>
    <row r="313" spans="1:10" s="65" customFormat="1" ht="18">
      <c r="A313" s="143"/>
      <c r="B313" s="45"/>
      <c r="C313" s="38" t="s">
        <v>114</v>
      </c>
      <c r="D313" s="47"/>
      <c r="E313" s="1235"/>
      <c r="F313" s="1232"/>
      <c r="G313" s="1230"/>
      <c r="H313" s="1234"/>
      <c r="J313" s="1234"/>
    </row>
    <row r="314" spans="1:10" s="65" customFormat="1" ht="18">
      <c r="A314" s="143"/>
      <c r="B314" s="45"/>
      <c r="C314" s="38" t="s">
        <v>623</v>
      </c>
      <c r="D314" s="47"/>
      <c r="E314" s="1235"/>
      <c r="F314" s="1232"/>
      <c r="G314" s="1230"/>
      <c r="H314" s="1233"/>
      <c r="J314" s="1233"/>
    </row>
    <row r="315" spans="1:10" s="65" customFormat="1" ht="18">
      <c r="A315" s="103"/>
      <c r="B315" s="45" t="s">
        <v>142</v>
      </c>
      <c r="C315" s="38" t="s">
        <v>356</v>
      </c>
      <c r="D315" s="34"/>
      <c r="E315" s="1231"/>
      <c r="F315" s="1230"/>
      <c r="G315" s="1230"/>
      <c r="H315" s="901"/>
      <c r="J315" s="901"/>
    </row>
    <row r="316" spans="1:10" s="65" customFormat="1" ht="18">
      <c r="A316" s="103"/>
      <c r="B316" s="45" t="s">
        <v>169</v>
      </c>
      <c r="C316" s="1224" t="s">
        <v>61</v>
      </c>
      <c r="D316" s="34"/>
      <c r="E316" s="1231"/>
      <c r="F316" s="1230"/>
      <c r="G316" s="1230"/>
      <c r="H316" s="901"/>
      <c r="J316" s="901"/>
    </row>
    <row r="317" spans="1:10" s="65" customFormat="1" ht="18">
      <c r="A317" s="103"/>
      <c r="B317" s="45" t="s">
        <v>167</v>
      </c>
      <c r="C317" s="26" t="s">
        <v>201</v>
      </c>
      <c r="D317" s="34"/>
      <c r="E317" s="1231"/>
      <c r="F317" s="1230"/>
      <c r="G317" s="1230"/>
      <c r="H317" s="901"/>
      <c r="J317" s="901"/>
    </row>
    <row r="318" spans="1:10" s="65" customFormat="1" ht="18">
      <c r="A318" s="143"/>
      <c r="B318" s="45" t="s">
        <v>528</v>
      </c>
      <c r="C318" s="1224" t="s">
        <v>392</v>
      </c>
      <c r="D318" s="34"/>
      <c r="E318" s="1231"/>
      <c r="F318" s="1230"/>
      <c r="G318" s="1230"/>
      <c r="H318" s="901"/>
      <c r="J318" s="901"/>
    </row>
    <row r="319" spans="1:10" s="65" customFormat="1" ht="18">
      <c r="A319" s="103"/>
      <c r="B319" s="45" t="s">
        <v>170</v>
      </c>
      <c r="C319" s="1224" t="s">
        <v>60</v>
      </c>
      <c r="D319" s="34"/>
      <c r="E319" s="1231"/>
      <c r="F319" s="1230"/>
      <c r="G319" s="1230"/>
      <c r="H319" s="901"/>
      <c r="J319" s="901"/>
    </row>
    <row r="320" spans="1:10" s="65" customFormat="1" ht="18">
      <c r="A320" s="103"/>
      <c r="B320" s="119" t="s">
        <v>152</v>
      </c>
      <c r="C320" s="1474" t="s">
        <v>1165</v>
      </c>
      <c r="D320" s="1474"/>
      <c r="E320" s="1474"/>
      <c r="F320" s="1474"/>
      <c r="G320" s="1230"/>
      <c r="H320" s="1233"/>
      <c r="I320" s="1303"/>
      <c r="J320" s="1233"/>
    </row>
    <row r="321" spans="1:10" s="65" customFormat="1" ht="18">
      <c r="A321" s="103"/>
      <c r="B321" s="119"/>
      <c r="C321" s="1474"/>
      <c r="D321" s="1474"/>
      <c r="E321" s="1474"/>
      <c r="F321" s="1474"/>
      <c r="G321" s="1230"/>
      <c r="H321" s="1233"/>
      <c r="I321" s="1303"/>
      <c r="J321" s="1233"/>
    </row>
    <row r="322" spans="1:10" s="65" customFormat="1" ht="18">
      <c r="A322" s="103"/>
      <c r="B322" s="119"/>
      <c r="C322" s="1474"/>
      <c r="D322" s="1474"/>
      <c r="E322" s="1474"/>
      <c r="F322" s="1474"/>
      <c r="G322" s="1230"/>
      <c r="H322" s="1233"/>
      <c r="I322" s="1303"/>
      <c r="J322" s="1233"/>
    </row>
    <row r="323" spans="1:10" s="65" customFormat="1" ht="18">
      <c r="A323" s="143"/>
      <c r="B323" s="45" t="s">
        <v>154</v>
      </c>
      <c r="C323" s="1224" t="s">
        <v>877</v>
      </c>
      <c r="D323" s="34"/>
      <c r="E323" s="1231"/>
      <c r="F323" s="1230"/>
      <c r="G323" s="1230"/>
      <c r="H323" s="1233"/>
      <c r="J323" s="1233"/>
    </row>
    <row r="324" spans="1:10" s="65" customFormat="1" ht="18">
      <c r="A324" s="143"/>
      <c r="B324" s="45"/>
      <c r="C324" s="1224" t="s">
        <v>869</v>
      </c>
      <c r="D324" s="34"/>
      <c r="E324" s="1231"/>
      <c r="F324" s="1230"/>
      <c r="G324" s="1230"/>
      <c r="H324" s="1233"/>
      <c r="J324" s="1233"/>
    </row>
    <row r="325" spans="1:10" s="65" customFormat="1" ht="18">
      <c r="A325" s="143"/>
      <c r="B325" s="45"/>
      <c r="C325" s="1224" t="s">
        <v>871</v>
      </c>
      <c r="D325" s="34"/>
      <c r="E325" s="1231"/>
      <c r="F325" s="1230"/>
      <c r="G325" s="1230"/>
      <c r="H325" s="1233"/>
      <c r="J325" s="1233"/>
    </row>
    <row r="326" spans="1:10" s="65" customFormat="1" ht="18">
      <c r="A326" s="143"/>
      <c r="B326" s="45"/>
      <c r="C326" s="1224" t="s">
        <v>870</v>
      </c>
      <c r="D326" s="34"/>
      <c r="E326" s="1231"/>
      <c r="F326" s="1230"/>
      <c r="G326" s="1230"/>
      <c r="H326" s="1233"/>
      <c r="J326" s="1233"/>
    </row>
    <row r="327" spans="1:10" s="65" customFormat="1" ht="18">
      <c r="A327" s="143"/>
      <c r="B327" s="45" t="s">
        <v>172</v>
      </c>
      <c r="C327" s="34" t="s">
        <v>393</v>
      </c>
      <c r="D327" s="34"/>
      <c r="E327" s="1231"/>
      <c r="F327" s="1230"/>
      <c r="G327" s="1230"/>
      <c r="H327" s="1233"/>
      <c r="J327" s="1233"/>
    </row>
    <row r="328" spans="1:10" s="65" customFormat="1" ht="18">
      <c r="A328" s="143"/>
      <c r="B328" s="45" t="s">
        <v>291</v>
      </c>
      <c r="C328" s="47" t="s">
        <v>229</v>
      </c>
      <c r="D328" s="34"/>
      <c r="E328" s="1231"/>
      <c r="F328" s="1230"/>
      <c r="G328" s="1230"/>
      <c r="H328" s="1233"/>
      <c r="J328" s="1233"/>
    </row>
    <row r="329" spans="1:10">
      <c r="A329" s="44"/>
      <c r="B329" s="8" t="s">
        <v>292</v>
      </c>
      <c r="C329" s="9" t="s">
        <v>640</v>
      </c>
      <c r="E329" s="1231"/>
      <c r="F329" s="1230"/>
      <c r="G329" s="1230"/>
      <c r="H329" s="1233"/>
      <c r="J329" s="1233"/>
    </row>
    <row r="330" spans="1:10">
      <c r="A330" s="44"/>
      <c r="B330" s="8" t="s">
        <v>529</v>
      </c>
      <c r="C330" s="1236" t="s">
        <v>477</v>
      </c>
      <c r="E330" s="1231"/>
      <c r="F330" s="1230"/>
      <c r="G330" s="1230"/>
      <c r="H330" s="1233"/>
      <c r="J330" s="1233"/>
    </row>
    <row r="331" spans="1:10">
      <c r="A331" s="44"/>
      <c r="B331" s="8"/>
      <c r="C331" s="1236" t="s">
        <v>476</v>
      </c>
      <c r="E331" s="1231"/>
      <c r="F331" s="1230"/>
      <c r="G331" s="1230"/>
      <c r="H331" s="1233"/>
      <c r="J331" s="1233"/>
    </row>
    <row r="332" spans="1:10">
      <c r="A332" s="44"/>
      <c r="B332" s="8"/>
      <c r="C332" s="1236" t="s">
        <v>1149</v>
      </c>
      <c r="D332" s="26"/>
      <c r="E332" s="1235"/>
      <c r="F332" s="1232"/>
      <c r="G332" s="1230"/>
      <c r="H332" s="1233"/>
      <c r="J332" s="1233"/>
    </row>
    <row r="333" spans="1:10">
      <c r="A333" s="44"/>
      <c r="B333" s="8" t="s">
        <v>599</v>
      </c>
      <c r="C333" s="1236" t="s">
        <v>227</v>
      </c>
      <c r="D333" s="26"/>
      <c r="E333" s="1235"/>
      <c r="F333" s="1232"/>
      <c r="G333" s="1230"/>
      <c r="H333" s="1233"/>
      <c r="J333" s="1233"/>
    </row>
    <row r="334" spans="1:10">
      <c r="A334" s="44"/>
      <c r="B334" s="8"/>
      <c r="C334" s="1236" t="s">
        <v>719</v>
      </c>
      <c r="D334" s="26"/>
      <c r="E334" s="1235"/>
      <c r="F334" s="1232"/>
      <c r="G334" s="1230"/>
      <c r="H334" s="1233"/>
      <c r="J334" s="1233"/>
    </row>
    <row r="335" spans="1:10" s="65" customFormat="1" ht="18">
      <c r="A335" s="554"/>
      <c r="B335" s="8" t="s">
        <v>207</v>
      </c>
      <c r="C335" s="771" t="s">
        <v>228</v>
      </c>
      <c r="D335" s="810"/>
      <c r="E335" s="810"/>
      <c r="F335" s="810"/>
      <c r="G335" s="103"/>
      <c r="H335" s="103"/>
      <c r="J335" s="103"/>
    </row>
    <row r="336" spans="1:10">
      <c r="A336" s="119"/>
      <c r="B336" s="119" t="s">
        <v>0</v>
      </c>
      <c r="C336" s="47" t="s">
        <v>148</v>
      </c>
      <c r="D336" s="47"/>
      <c r="E336" s="1235"/>
      <c r="F336" s="1232"/>
      <c r="G336" s="1230"/>
      <c r="H336" s="1233"/>
      <c r="J336" s="1233"/>
    </row>
    <row r="337" spans="1:10">
      <c r="A337" s="119"/>
      <c r="B337" s="119"/>
      <c r="C337" s="47" t="s">
        <v>149</v>
      </c>
      <c r="D337" s="47"/>
      <c r="E337" s="1235"/>
      <c r="F337" s="1232"/>
      <c r="G337" s="1230"/>
      <c r="H337" s="1233"/>
      <c r="J337" s="1233"/>
    </row>
    <row r="338" spans="1:10">
      <c r="A338" s="119"/>
      <c r="B338" s="414"/>
      <c r="C338" s="47" t="s">
        <v>878</v>
      </c>
      <c r="D338" s="47"/>
      <c r="E338" s="1235"/>
      <c r="F338" s="1232"/>
      <c r="G338" s="1230"/>
      <c r="H338" s="1233"/>
      <c r="J338" s="1233"/>
    </row>
    <row r="339" spans="1:10">
      <c r="A339" s="119"/>
      <c r="B339" s="414"/>
      <c r="C339" s="47" t="s">
        <v>872</v>
      </c>
      <c r="D339" s="47"/>
      <c r="E339" s="1235"/>
      <c r="F339" s="1232"/>
      <c r="G339" s="1230"/>
      <c r="H339" s="1233"/>
      <c r="J339" s="1233"/>
    </row>
    <row r="340" spans="1:10">
      <c r="A340" s="119"/>
      <c r="B340" s="119"/>
      <c r="C340" s="47" t="s">
        <v>873</v>
      </c>
      <c r="D340" s="47"/>
      <c r="E340" s="1235"/>
      <c r="F340" s="1232"/>
      <c r="G340" s="1230"/>
      <c r="H340" s="1233"/>
      <c r="J340" s="1233"/>
    </row>
    <row r="341" spans="1:10">
      <c r="A341" s="119"/>
      <c r="B341" s="119" t="s">
        <v>729</v>
      </c>
      <c r="C341" s="1237" t="s">
        <v>893</v>
      </c>
      <c r="D341" s="47"/>
      <c r="E341" s="1235"/>
      <c r="F341" s="1232"/>
      <c r="G341" s="1232"/>
      <c r="H341" s="1234"/>
      <c r="J341" s="1234"/>
    </row>
    <row r="342" spans="1:10">
      <c r="A342" s="119"/>
      <c r="B342" s="119"/>
      <c r="C342" s="1237" t="s">
        <v>894</v>
      </c>
      <c r="D342" s="47"/>
      <c r="E342" s="1235"/>
      <c r="F342" s="1232"/>
      <c r="G342" s="1232"/>
      <c r="H342" s="1234"/>
      <c r="J342" s="1234"/>
    </row>
    <row r="343" spans="1:10">
      <c r="A343" s="119"/>
      <c r="B343" s="119"/>
      <c r="C343" s="1237" t="s">
        <v>895</v>
      </c>
      <c r="D343" s="47"/>
      <c r="E343" s="1235"/>
      <c r="F343" s="1232"/>
      <c r="G343" s="1232"/>
      <c r="H343" s="1234"/>
      <c r="J343" s="1234"/>
    </row>
    <row r="344" spans="1:10">
      <c r="A344" s="119"/>
      <c r="B344" s="119"/>
      <c r="C344" s="1237" t="s">
        <v>896</v>
      </c>
      <c r="D344" s="47"/>
      <c r="E344" s="1235"/>
      <c r="F344" s="1232"/>
      <c r="G344" s="1232"/>
      <c r="H344" s="1234"/>
      <c r="J344" s="1234"/>
    </row>
    <row r="345" spans="1:10">
      <c r="A345" s="119"/>
      <c r="B345" s="119"/>
      <c r="C345" s="1237" t="s">
        <v>897</v>
      </c>
      <c r="D345" s="47"/>
      <c r="E345" s="1235"/>
      <c r="F345" s="1232"/>
      <c r="G345" s="1232"/>
      <c r="H345" s="1234"/>
      <c r="J345" s="1234"/>
    </row>
    <row r="346" spans="1:10">
      <c r="A346" s="119"/>
      <c r="B346" s="119" t="s">
        <v>858</v>
      </c>
      <c r="C346" s="47" t="s">
        <v>859</v>
      </c>
      <c r="D346" s="47"/>
      <c r="E346" s="1235"/>
      <c r="F346" s="1232"/>
      <c r="G346" s="1232"/>
      <c r="H346" s="1234"/>
      <c r="J346" s="1234"/>
    </row>
    <row r="347" spans="1:10">
      <c r="A347" s="119"/>
      <c r="B347" s="119" t="s">
        <v>350</v>
      </c>
      <c r="C347" s="47" t="s">
        <v>903</v>
      </c>
      <c r="D347" s="47"/>
      <c r="E347" s="1235"/>
      <c r="F347" s="1232"/>
      <c r="G347" s="1232"/>
      <c r="H347" s="1234"/>
      <c r="J347" s="1234"/>
    </row>
    <row r="348" spans="1:10">
      <c r="A348" s="119"/>
      <c r="B348" s="119" t="s">
        <v>1119</v>
      </c>
      <c r="C348" s="47" t="s">
        <v>1146</v>
      </c>
      <c r="D348" s="47"/>
      <c r="E348" s="1235"/>
      <c r="F348" s="1232"/>
      <c r="G348" s="1232"/>
      <c r="H348" s="1234"/>
      <c r="J348" s="1234"/>
    </row>
    <row r="349" spans="1:10" ht="15.75" customHeight="1">
      <c r="A349" s="119"/>
      <c r="B349" s="119" t="s">
        <v>1120</v>
      </c>
      <c r="C349" s="1474" t="s">
        <v>1169</v>
      </c>
      <c r="D349" s="1474"/>
      <c r="E349" s="1474"/>
      <c r="F349" s="1474"/>
      <c r="G349" s="1474"/>
      <c r="H349" s="1474"/>
      <c r="I349" s="1474"/>
      <c r="J349" s="27"/>
    </row>
    <row r="350" spans="1:10" ht="15.75" customHeight="1">
      <c r="A350" s="119"/>
      <c r="B350" s="119"/>
      <c r="C350" s="1474"/>
      <c r="D350" s="1474"/>
      <c r="E350" s="1474"/>
      <c r="F350" s="1474"/>
      <c r="G350" s="1474"/>
      <c r="H350" s="1474"/>
      <c r="I350" s="1474"/>
      <c r="J350" s="27"/>
    </row>
    <row r="351" spans="1:10" ht="9" customHeight="1">
      <c r="A351" s="119"/>
      <c r="B351" s="119"/>
      <c r="C351" s="1474"/>
      <c r="D351" s="1474"/>
      <c r="E351" s="1474"/>
      <c r="F351" s="1474"/>
      <c r="G351" s="1474"/>
      <c r="H351" s="1474"/>
      <c r="I351" s="1474"/>
      <c r="J351" s="27"/>
    </row>
    <row r="352" spans="1:10" ht="15.75" customHeight="1">
      <c r="A352" s="119"/>
      <c r="B352" s="119" t="s">
        <v>1121</v>
      </c>
      <c r="C352" s="1474" t="s">
        <v>1163</v>
      </c>
      <c r="D352" s="1474"/>
      <c r="E352" s="1474"/>
      <c r="F352" s="1474"/>
      <c r="G352" s="1474"/>
      <c r="H352" s="1474"/>
      <c r="I352" s="1474"/>
      <c r="J352" s="27"/>
    </row>
    <row r="353" spans="1:11" ht="15.75" customHeight="1">
      <c r="A353" s="119"/>
      <c r="B353" s="119"/>
      <c r="C353" s="1474"/>
      <c r="D353" s="1474"/>
      <c r="E353" s="1474"/>
      <c r="F353" s="1474"/>
      <c r="G353" s="1474"/>
      <c r="H353" s="1474"/>
      <c r="I353" s="1474"/>
      <c r="J353" s="27"/>
    </row>
    <row r="354" spans="1:11" ht="15.75" customHeight="1">
      <c r="A354" s="119"/>
      <c r="B354" s="119" t="s">
        <v>492</v>
      </c>
      <c r="C354" s="1474" t="s">
        <v>1164</v>
      </c>
      <c r="D354" s="1474"/>
      <c r="E354" s="1474"/>
      <c r="F354" s="1474"/>
      <c r="G354" s="1474"/>
      <c r="H354" s="1474"/>
      <c r="I354" s="1474"/>
      <c r="J354" s="27"/>
    </row>
    <row r="355" spans="1:11" ht="15.75" customHeight="1">
      <c r="A355" s="119"/>
      <c r="B355" s="119"/>
      <c r="C355" s="1474"/>
      <c r="D355" s="1474"/>
      <c r="E355" s="1474"/>
      <c r="F355" s="1474"/>
      <c r="G355" s="1474"/>
      <c r="H355" s="1474"/>
      <c r="I355" s="1474"/>
      <c r="J355" s="27"/>
    </row>
    <row r="356" spans="1:11">
      <c r="A356" s="119"/>
      <c r="B356" s="962"/>
      <c r="C356" s="1243"/>
      <c r="D356" s="47"/>
      <c r="E356" s="1235"/>
      <c r="F356" s="1232"/>
      <c r="G356" s="90"/>
      <c r="H356" s="82"/>
      <c r="I356" s="2"/>
      <c r="J356" s="82"/>
      <c r="K356" s="64"/>
    </row>
    <row r="357" spans="1:11">
      <c r="A357" s="92"/>
      <c r="B357" s="91"/>
      <c r="C357" s="77"/>
      <c r="D357" s="76"/>
      <c r="E357" s="811"/>
      <c r="F357" s="76"/>
      <c r="G357" s="76"/>
      <c r="H357" s="77"/>
      <c r="I357" s="77"/>
      <c r="J357" s="77"/>
    </row>
    <row r="358" spans="1:11">
      <c r="A358" s="23"/>
      <c r="B358" s="8"/>
      <c r="C358" s="21"/>
      <c r="D358" s="21"/>
    </row>
    <row r="359" spans="1:11">
      <c r="H359" s="86"/>
      <c r="J359" s="86"/>
    </row>
    <row r="360" spans="1:11">
      <c r="C360" s="1238"/>
      <c r="D360" s="1238"/>
      <c r="E360" s="1239"/>
      <c r="F360" s="1238"/>
      <c r="H360" s="85"/>
      <c r="J360" s="85"/>
    </row>
    <row r="361" spans="1:11">
      <c r="C361" s="1238"/>
      <c r="D361" s="1238"/>
      <c r="E361" s="1239"/>
      <c r="F361" s="1238"/>
      <c r="G361" s="27"/>
      <c r="H361" s="909"/>
      <c r="J361" s="909"/>
    </row>
    <row r="362" spans="1:11" ht="17.5">
      <c r="C362" s="1238"/>
      <c r="D362" s="1238"/>
      <c r="E362" s="1239"/>
      <c r="F362" s="1238"/>
      <c r="G362" s="27"/>
      <c r="H362" s="901"/>
      <c r="J362" s="901"/>
    </row>
    <row r="363" spans="1:11" ht="17.5">
      <c r="C363" s="1238"/>
      <c r="D363" s="1238"/>
      <c r="E363" s="1239"/>
      <c r="F363" s="1238"/>
      <c r="G363" s="27"/>
      <c r="H363" s="910"/>
      <c r="J363" s="910"/>
    </row>
    <row r="364" spans="1:11" ht="17.5">
      <c r="C364" s="1238"/>
      <c r="D364" s="1238"/>
      <c r="E364" s="1239"/>
      <c r="F364" s="1238"/>
      <c r="G364" s="27"/>
      <c r="H364" s="901"/>
      <c r="J364" s="901"/>
    </row>
    <row r="365" spans="1:11">
      <c r="C365" s="905"/>
      <c r="F365" s="27"/>
      <c r="G365" s="27"/>
      <c r="H365" s="27"/>
      <c r="J365" s="27"/>
    </row>
    <row r="366" spans="1:11">
      <c r="F366" s="27"/>
      <c r="G366" s="27"/>
      <c r="H366" s="909"/>
      <c r="J366" s="909"/>
    </row>
    <row r="367" spans="1:11" ht="17.5">
      <c r="F367" s="27"/>
      <c r="G367" s="27"/>
      <c r="H367" s="901"/>
      <c r="J367" s="901"/>
    </row>
    <row r="368" spans="1:11" ht="17.5">
      <c r="F368" s="27"/>
      <c r="G368" s="27"/>
      <c r="H368" s="910"/>
      <c r="J368" s="910"/>
    </row>
    <row r="369" spans="6:10" ht="17.5">
      <c r="F369" s="27"/>
      <c r="G369" s="27"/>
      <c r="H369" s="901"/>
      <c r="J369" s="901"/>
    </row>
    <row r="370" spans="6:10">
      <c r="F370" s="27"/>
      <c r="G370" s="27"/>
      <c r="H370" s="27"/>
      <c r="J370" s="27"/>
    </row>
    <row r="371" spans="6:10">
      <c r="F371" s="27"/>
      <c r="G371" s="27"/>
      <c r="H371" s="27"/>
      <c r="J371" s="27"/>
    </row>
    <row r="372" spans="6:10">
      <c r="F372" s="38"/>
      <c r="G372" s="27"/>
      <c r="H372" s="27"/>
      <c r="J372" s="27"/>
    </row>
    <row r="373" spans="6:10">
      <c r="F373" s="38"/>
      <c r="G373" s="27"/>
      <c r="H373" s="27"/>
      <c r="J373" s="27"/>
    </row>
    <row r="374" spans="6:10">
      <c r="F374" s="27"/>
      <c r="G374" s="27"/>
      <c r="H374" s="27"/>
      <c r="J374" s="27"/>
    </row>
    <row r="375" spans="6:10">
      <c r="F375" s="27"/>
      <c r="G375" s="27"/>
      <c r="H375" s="27"/>
      <c r="J375" s="27"/>
    </row>
    <row r="376" spans="6:10">
      <c r="F376" s="27"/>
      <c r="G376" s="27"/>
      <c r="H376" s="27"/>
      <c r="J376" s="27"/>
    </row>
    <row r="377" spans="6:10">
      <c r="F377" s="27"/>
      <c r="G377" s="27"/>
      <c r="H377" s="27"/>
      <c r="J377" s="27"/>
    </row>
    <row r="378" spans="6:10">
      <c r="F378" s="27"/>
      <c r="G378" s="27"/>
      <c r="H378" s="27"/>
      <c r="J378" s="27"/>
    </row>
    <row r="379" spans="6:10" ht="17.5">
      <c r="F379" s="27"/>
      <c r="G379" s="27"/>
      <c r="H379" s="901"/>
      <c r="J379" s="901"/>
    </row>
    <row r="380" spans="6:10" ht="17.5">
      <c r="F380" s="27"/>
      <c r="G380" s="27"/>
      <c r="H380" s="910"/>
      <c r="J380" s="910"/>
    </row>
    <row r="381" spans="6:10" ht="17.5">
      <c r="F381" s="27"/>
      <c r="G381" s="27"/>
      <c r="H381" s="901"/>
      <c r="J381" s="901"/>
    </row>
    <row r="382" spans="6:10">
      <c r="F382" s="27"/>
      <c r="G382" s="27"/>
      <c r="H382" s="27"/>
      <c r="J382" s="27"/>
    </row>
    <row r="383" spans="6:10" ht="17.5">
      <c r="F383" s="27"/>
      <c r="G383" s="27"/>
      <c r="H383" s="901"/>
      <c r="J383" s="901"/>
    </row>
    <row r="384" spans="6:10">
      <c r="F384" s="27"/>
      <c r="G384" s="27"/>
      <c r="H384" s="27"/>
      <c r="J384" s="27"/>
    </row>
  </sheetData>
  <mergeCells count="8">
    <mergeCell ref="J4:J5"/>
    <mergeCell ref="C349:I351"/>
    <mergeCell ref="C352:I353"/>
    <mergeCell ref="C354:I355"/>
    <mergeCell ref="F4:F5"/>
    <mergeCell ref="C41:D41"/>
    <mergeCell ref="H4:H5"/>
    <mergeCell ref="C320:F322"/>
  </mergeCells>
  <phoneticPr fontId="0" type="noConversion"/>
  <printOptions horizontalCentered="1"/>
  <pageMargins left="0.5" right="0.5" top="1.5" bottom="0.5" header="0.5" footer="0.5"/>
  <pageSetup scale="45" fitToHeight="10" orientation="portrait" r:id="rId1"/>
  <headerFooter alignWithMargins="0">
    <oddHeader>&amp;L&amp;"Arial,Bold"&amp;22Baltimore Gas and Electric Company
&amp;R&amp;"Times New Roman,Bold"&amp;22Appendix A
Page &amp;P of &amp;N</oddHeader>
    <oddFooter>&amp;CPage &amp;P of 5</oddFooter>
  </headerFooter>
  <rowBreaks count="4" manualBreakCount="4">
    <brk id="70" max="7" man="1"/>
    <brk id="154" max="7" man="1"/>
    <brk id="223" max="7" man="1"/>
    <brk id="308"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289"/>
  <sheetViews>
    <sheetView zoomScaleNormal="100" zoomScaleSheetLayoutView="50" workbookViewId="0"/>
  </sheetViews>
  <sheetFormatPr defaultColWidth="9.1796875" defaultRowHeight="12.5"/>
  <cols>
    <col min="1" max="1" width="8.7265625" style="561" customWidth="1"/>
    <col min="2" max="2" width="4.26953125" style="561" customWidth="1"/>
    <col min="3" max="3" width="58" style="561" customWidth="1"/>
    <col min="4" max="4" width="27.453125" style="561" customWidth="1"/>
    <col min="5" max="5" width="16.7265625" style="561" customWidth="1"/>
    <col min="6" max="6" width="41.1796875" style="561" customWidth="1"/>
    <col min="7" max="7" width="18.26953125" style="561" customWidth="1"/>
    <col min="8" max="8" width="22.26953125" style="561" bestFit="1" customWidth="1"/>
    <col min="9" max="9" width="15.81640625" style="561" customWidth="1"/>
    <col min="10" max="10" width="13.7265625" style="561" customWidth="1"/>
    <col min="11" max="11" width="21" style="561" customWidth="1"/>
    <col min="12" max="12" width="11.26953125" style="561" bestFit="1" customWidth="1"/>
    <col min="13" max="13" width="10.453125" style="561" customWidth="1"/>
    <col min="14" max="14" width="13.26953125" style="561" bestFit="1" customWidth="1"/>
    <col min="15" max="17" width="9.7265625" style="561" customWidth="1"/>
    <col min="18" max="18" width="4.7265625" style="561" customWidth="1"/>
    <col min="19" max="19" width="4.81640625" style="561" customWidth="1"/>
    <col min="20" max="21" width="14" style="561" bestFit="1" customWidth="1"/>
    <col min="22" max="16384" width="9.1796875" style="561"/>
  </cols>
  <sheetData>
    <row r="1" spans="1:33" ht="21.25" customHeight="1">
      <c r="A1" s="224"/>
      <c r="B1" s="210"/>
      <c r="D1" s="124"/>
      <c r="E1" s="125"/>
      <c r="F1" s="126"/>
      <c r="G1" s="712" t="str">
        <f>+'ATT H-2A'!A4</f>
        <v>Baltimore Gas and Electric Company</v>
      </c>
      <c r="H1" s="144"/>
      <c r="I1" s="144"/>
      <c r="J1" s="144"/>
      <c r="K1" s="144"/>
      <c r="L1" s="144"/>
      <c r="M1" s="144"/>
      <c r="N1" s="144"/>
      <c r="O1" s="144"/>
      <c r="P1" s="144"/>
      <c r="Q1" s="144"/>
    </row>
    <row r="2" spans="1:33" ht="10.5" customHeight="1">
      <c r="A2" s="367"/>
      <c r="B2" s="210"/>
      <c r="D2" s="124"/>
      <c r="E2" s="125"/>
      <c r="F2" s="126"/>
      <c r="H2" s="144"/>
      <c r="I2" s="144"/>
      <c r="J2" s="144"/>
      <c r="K2" s="144"/>
      <c r="L2" s="144"/>
      <c r="M2" s="144"/>
      <c r="N2" s="144"/>
      <c r="O2" s="144"/>
      <c r="P2" s="144"/>
      <c r="Q2" s="451"/>
    </row>
    <row r="3" spans="1:33" ht="21.25" customHeight="1">
      <c r="A3" s="367"/>
      <c r="B3" s="210"/>
      <c r="D3" s="124"/>
      <c r="E3" s="125"/>
      <c r="F3" s="126"/>
      <c r="G3" s="712" t="s">
        <v>48</v>
      </c>
      <c r="H3" s="144"/>
      <c r="I3" s="144"/>
      <c r="J3" s="144"/>
      <c r="K3" s="144"/>
      <c r="L3" s="926"/>
      <c r="M3" s="144"/>
      <c r="N3" s="144"/>
      <c r="O3" s="144"/>
      <c r="P3" s="144"/>
      <c r="Q3" s="451"/>
    </row>
    <row r="4" spans="1:33" ht="21.25" customHeight="1">
      <c r="A4" s="367"/>
      <c r="B4" s="210"/>
      <c r="D4" s="124"/>
      <c r="E4" s="125"/>
      <c r="F4" s="126"/>
      <c r="G4" s="712"/>
      <c r="H4" s="144"/>
      <c r="I4" s="144"/>
      <c r="J4" s="144"/>
      <c r="K4" s="144"/>
      <c r="L4" s="926"/>
      <c r="M4" s="926"/>
      <c r="N4" s="144"/>
      <c r="O4" s="144"/>
      <c r="P4" s="144"/>
      <c r="Q4" s="864"/>
    </row>
    <row r="5" spans="1:33" ht="21.25" customHeight="1" thickBot="1">
      <c r="A5" s="311" t="s">
        <v>583</v>
      </c>
      <c r="B5" s="210"/>
      <c r="D5" s="124"/>
      <c r="E5" s="125"/>
      <c r="F5" s="126"/>
      <c r="G5" s="144"/>
      <c r="H5" s="144"/>
      <c r="I5" s="144"/>
      <c r="J5" s="144"/>
      <c r="K5" s="144"/>
      <c r="L5" s="144"/>
      <c r="M5" s="144"/>
      <c r="N5" s="144"/>
      <c r="O5" s="144"/>
      <c r="P5" s="144"/>
      <c r="Q5" s="144"/>
    </row>
    <row r="6" spans="1:33" ht="26.5" customHeight="1">
      <c r="A6" s="1523" t="s">
        <v>10</v>
      </c>
      <c r="B6" s="1524"/>
      <c r="C6" s="1524"/>
      <c r="D6" s="1524"/>
      <c r="E6" s="1524"/>
      <c r="F6" s="1525"/>
      <c r="G6" s="343" t="s">
        <v>498</v>
      </c>
      <c r="H6" s="891" t="s">
        <v>483</v>
      </c>
      <c r="I6" s="891" t="s">
        <v>499</v>
      </c>
      <c r="J6" s="1526" t="s">
        <v>425</v>
      </c>
      <c r="K6" s="1528"/>
      <c r="L6" s="1528"/>
      <c r="M6" s="1528"/>
      <c r="N6" s="1528"/>
      <c r="O6" s="1528"/>
      <c r="P6" s="1528"/>
      <c r="Q6" s="1565"/>
      <c r="S6" s="717"/>
      <c r="T6" s="575"/>
      <c r="U6" s="575"/>
      <c r="V6" s="575"/>
      <c r="W6" s="575"/>
      <c r="X6" s="575"/>
      <c r="Y6" s="575"/>
      <c r="Z6" s="575"/>
      <c r="AA6" s="575"/>
      <c r="AB6" s="575"/>
      <c r="AC6" s="575"/>
      <c r="AD6" s="575"/>
      <c r="AE6" s="575"/>
      <c r="AF6" s="575"/>
      <c r="AG6" s="575"/>
    </row>
    <row r="7" spans="1:33" ht="15.75" customHeight="1">
      <c r="A7" s="241"/>
      <c r="B7" s="231" t="s">
        <v>316</v>
      </c>
      <c r="C7" s="124"/>
      <c r="D7" s="221"/>
      <c r="E7" s="186"/>
      <c r="F7" s="242"/>
      <c r="G7" s="331"/>
      <c r="H7" s="146"/>
      <c r="I7" s="146"/>
      <c r="J7" s="1531"/>
      <c r="K7" s="1520"/>
      <c r="L7" s="1520"/>
      <c r="M7" s="1520"/>
      <c r="N7" s="1520"/>
      <c r="O7" s="1520"/>
      <c r="P7" s="1520"/>
      <c r="Q7" s="1560"/>
      <c r="S7" s="575"/>
      <c r="T7" s="575"/>
      <c r="U7" s="575"/>
      <c r="V7" s="575"/>
      <c r="W7" s="575"/>
      <c r="X7" s="575"/>
      <c r="Y7" s="575"/>
      <c r="Z7" s="575"/>
      <c r="AA7" s="575"/>
      <c r="AB7" s="575"/>
      <c r="AC7" s="575"/>
      <c r="AD7" s="575"/>
      <c r="AE7" s="575"/>
      <c r="AF7" s="575"/>
      <c r="AG7" s="575"/>
    </row>
    <row r="8" spans="1:33" ht="15.75" hidden="1" customHeight="1">
      <c r="A8" s="248">
        <f>'Exh F - AA-BL Items'!A17</f>
        <v>7</v>
      </c>
      <c r="B8" s="221"/>
      <c r="C8" s="185" t="str">
        <f>'Exh F - AA-BL Items'!C17</f>
        <v>Common Plant In Service - Electric</v>
      </c>
      <c r="D8" s="124"/>
      <c r="E8" s="194" t="str">
        <f>'Exh F - AA-BL Items'!E17</f>
        <v>(Note A)</v>
      </c>
      <c r="F8" s="249" t="str">
        <f>'Exh F - AA-BL Items'!F17</f>
        <v>(Line 24)</v>
      </c>
      <c r="G8" s="469">
        <v>467649847</v>
      </c>
      <c r="H8" s="460">
        <v>380199326</v>
      </c>
      <c r="I8" s="460">
        <v>87450521</v>
      </c>
      <c r="J8" s="1575" t="s">
        <v>35</v>
      </c>
      <c r="K8" s="1576"/>
      <c r="L8" s="1576"/>
      <c r="M8" s="1576"/>
      <c r="N8" s="1576"/>
      <c r="O8" s="1576"/>
      <c r="P8" s="1576"/>
      <c r="Q8" s="1577"/>
      <c r="S8" s="575"/>
      <c r="T8" s="575"/>
      <c r="U8" s="575"/>
      <c r="V8" s="575"/>
      <c r="W8" s="575"/>
      <c r="X8" s="575"/>
      <c r="Y8" s="575"/>
      <c r="Z8" s="575"/>
      <c r="AA8" s="575"/>
      <c r="AB8" s="575"/>
      <c r="AC8" s="575"/>
      <c r="AD8" s="575"/>
      <c r="AE8" s="575"/>
      <c r="AF8" s="575"/>
      <c r="AG8" s="575"/>
    </row>
    <row r="9" spans="1:33" ht="43.5" customHeight="1">
      <c r="A9" s="248">
        <v>6</v>
      </c>
      <c r="B9" s="221"/>
      <c r="C9" s="185" t="s">
        <v>333</v>
      </c>
      <c r="D9" s="124"/>
      <c r="E9" s="194"/>
      <c r="F9" s="249" t="s">
        <v>814</v>
      </c>
      <c r="G9" s="631">
        <v>8799031528</v>
      </c>
      <c r="H9" s="1356">
        <f>+G9-I9</f>
        <v>8797978013.4799995</v>
      </c>
      <c r="I9" s="1356">
        <v>1053514.52</v>
      </c>
      <c r="J9" s="1554" t="s">
        <v>875</v>
      </c>
      <c r="K9" s="1554"/>
      <c r="L9" s="1554"/>
      <c r="M9" s="1554"/>
      <c r="N9" s="1554"/>
      <c r="O9" s="1554"/>
      <c r="P9" s="1554"/>
      <c r="Q9" s="1555"/>
      <c r="S9" s="575"/>
      <c r="T9" s="575"/>
      <c r="U9" s="575"/>
      <c r="V9" s="575"/>
      <c r="W9" s="575"/>
      <c r="X9" s="575"/>
      <c r="Y9" s="575"/>
      <c r="Z9" s="575"/>
      <c r="AA9" s="575"/>
      <c r="AB9" s="575"/>
      <c r="AC9" s="575"/>
      <c r="AD9" s="575"/>
      <c r="AE9" s="575"/>
      <c r="AF9" s="575"/>
      <c r="AG9" s="575"/>
    </row>
    <row r="10" spans="1:33" ht="30.75" customHeight="1">
      <c r="A10" s="248">
        <v>9</v>
      </c>
      <c r="B10" s="34"/>
      <c r="C10" s="185" t="s">
        <v>161</v>
      </c>
      <c r="D10" s="108"/>
      <c r="E10" s="123"/>
      <c r="F10" s="249" t="s">
        <v>815</v>
      </c>
      <c r="G10" s="631">
        <v>2967751290</v>
      </c>
      <c r="H10" s="1356">
        <f>+G10-I10</f>
        <v>2966818141.8099999</v>
      </c>
      <c r="I10" s="1356">
        <v>933148.19</v>
      </c>
      <c r="J10" s="1554" t="s">
        <v>849</v>
      </c>
      <c r="K10" s="1554"/>
      <c r="L10" s="1554"/>
      <c r="M10" s="1554"/>
      <c r="N10" s="1554"/>
      <c r="O10" s="1554"/>
      <c r="P10" s="1554"/>
      <c r="Q10" s="1555"/>
      <c r="S10" s="575"/>
      <c r="T10" s="575"/>
      <c r="U10" s="575"/>
      <c r="V10" s="575"/>
      <c r="W10" s="575"/>
      <c r="X10" s="575"/>
      <c r="Y10" s="575"/>
      <c r="Z10" s="575"/>
      <c r="AA10" s="575"/>
      <c r="AB10" s="575"/>
      <c r="AC10" s="575"/>
      <c r="AD10" s="575"/>
      <c r="AE10" s="575"/>
      <c r="AF10" s="575"/>
      <c r="AG10" s="575"/>
    </row>
    <row r="11" spans="1:33" ht="44.5" customHeight="1">
      <c r="A11" s="248">
        <f>'Exh F - AA-BL Items'!A21</f>
        <v>10</v>
      </c>
      <c r="B11" s="221"/>
      <c r="C11" s="185" t="str">
        <f>'Exh F - AA-BL Items'!C21</f>
        <v>Accumulated Intangible Amortization</v>
      </c>
      <c r="D11" s="186"/>
      <c r="E11" s="194" t="str">
        <f>'Exh F - AA-BL Items'!E21</f>
        <v>(Note A)</v>
      </c>
      <c r="F11" s="238" t="s">
        <v>816</v>
      </c>
      <c r="G11" s="631">
        <v>55505365</v>
      </c>
      <c r="H11" s="1356">
        <f>+G11-I11</f>
        <v>55505365</v>
      </c>
      <c r="I11" s="1356">
        <v>0</v>
      </c>
      <c r="J11" s="1578"/>
      <c r="K11" s="1578"/>
      <c r="L11" s="1578"/>
      <c r="M11" s="1578"/>
      <c r="N11" s="1578"/>
      <c r="O11" s="1578"/>
      <c r="P11" s="1578"/>
      <c r="Q11" s="1559"/>
      <c r="S11" s="575"/>
      <c r="T11" s="575"/>
      <c r="U11" s="938"/>
      <c r="V11" s="575"/>
      <c r="W11" s="575"/>
      <c r="X11" s="575"/>
      <c r="Y11" s="575"/>
      <c r="Z11" s="575"/>
      <c r="AA11" s="575"/>
      <c r="AB11" s="575"/>
      <c r="AC11" s="575"/>
      <c r="AD11" s="575"/>
      <c r="AE11" s="575"/>
      <c r="AF11" s="575"/>
      <c r="AG11" s="575"/>
    </row>
    <row r="12" spans="1:33" ht="15.5">
      <c r="A12" s="248">
        <f>'Exh F - AA-BL Items'!A22</f>
        <v>11</v>
      </c>
      <c r="B12" s="221"/>
      <c r="C12" s="185" t="str">
        <f>'Exh F - AA-BL Items'!C22</f>
        <v>Accumulated Common Amortization - Electric</v>
      </c>
      <c r="D12" s="186"/>
      <c r="E12" s="194" t="str">
        <f>'Exh F - AA-BL Items'!E22</f>
        <v>(Note A)</v>
      </c>
      <c r="F12" s="238" t="str">
        <f>'Exh F - AA-BL Items'!F22</f>
        <v>p356</v>
      </c>
      <c r="G12" s="469">
        <v>0</v>
      </c>
      <c r="H12" s="1357">
        <v>0</v>
      </c>
      <c r="I12" s="1357">
        <v>0</v>
      </c>
      <c r="J12" s="1551"/>
      <c r="K12" s="1551"/>
      <c r="L12" s="1551"/>
      <c r="M12" s="1551"/>
      <c r="N12" s="1551"/>
      <c r="O12" s="1551"/>
      <c r="P12" s="1551"/>
      <c r="Q12" s="1579"/>
      <c r="S12" s="575"/>
      <c r="T12" s="575"/>
      <c r="U12" s="575"/>
      <c r="V12" s="575"/>
      <c r="W12" s="575"/>
      <c r="X12" s="575"/>
      <c r="Y12" s="575"/>
      <c r="Z12" s="575"/>
      <c r="AA12" s="575"/>
      <c r="AB12" s="575"/>
      <c r="AC12" s="575"/>
      <c r="AD12" s="575"/>
      <c r="AE12" s="575"/>
      <c r="AF12" s="575"/>
      <c r="AG12" s="575"/>
    </row>
    <row r="13" spans="1:33" ht="60" customHeight="1">
      <c r="A13" s="248">
        <f>'Exh F - AA-BL Items'!A23</f>
        <v>12</v>
      </c>
      <c r="B13" s="124"/>
      <c r="C13" s="195" t="str">
        <f>'Exh F - AA-BL Items'!C23</f>
        <v>Accumulated Common Plant Depreciation - Electric</v>
      </c>
      <c r="D13" s="186"/>
      <c r="E13" s="194" t="str">
        <f>'Exh F - AA-BL Items'!E23</f>
        <v>(Note A)</v>
      </c>
      <c r="F13" s="238" t="s">
        <v>165</v>
      </c>
      <c r="G13" s="631">
        <v>260337875</v>
      </c>
      <c r="H13" s="1356">
        <f>+G13-I13</f>
        <v>260798599.71000001</v>
      </c>
      <c r="I13" s="1356">
        <f>1602456-2063180.71</f>
        <v>-460724.70999999996</v>
      </c>
      <c r="J13" s="1554" t="s">
        <v>1267</v>
      </c>
      <c r="K13" s="1554"/>
      <c r="L13" s="1554"/>
      <c r="M13" s="1554"/>
      <c r="N13" s="1554"/>
      <c r="O13" s="1554"/>
      <c r="P13" s="1554"/>
      <c r="Q13" s="1555"/>
      <c r="R13" s="575"/>
      <c r="S13" s="565"/>
      <c r="T13" s="565"/>
      <c r="U13" s="565"/>
      <c r="V13" s="565"/>
      <c r="W13" s="565"/>
      <c r="X13" s="565"/>
      <c r="Y13" s="565"/>
      <c r="Z13" s="575"/>
      <c r="AA13" s="575"/>
      <c r="AB13" s="575"/>
      <c r="AC13" s="575"/>
      <c r="AD13" s="575"/>
      <c r="AE13" s="575"/>
      <c r="AF13" s="575"/>
      <c r="AG13" s="575"/>
    </row>
    <row r="14" spans="1:33" ht="15.75" customHeight="1">
      <c r="A14" s="241"/>
      <c r="B14" s="231" t="s">
        <v>263</v>
      </c>
      <c r="C14" s="124"/>
      <c r="D14" s="124"/>
      <c r="E14" s="247"/>
      <c r="F14" s="249"/>
      <c r="G14" s="331"/>
      <c r="H14" s="146"/>
      <c r="I14" s="146"/>
      <c r="J14" s="1561"/>
      <c r="K14" s="1561"/>
      <c r="L14" s="1561"/>
      <c r="M14" s="1561"/>
      <c r="N14" s="1561"/>
      <c r="O14" s="1561"/>
      <c r="P14" s="1561"/>
      <c r="Q14" s="1562"/>
      <c r="S14" s="652"/>
      <c r="T14" s="904"/>
      <c r="U14" s="565"/>
      <c r="V14" s="565"/>
      <c r="W14" s="565"/>
      <c r="X14" s="565"/>
      <c r="Y14" s="565"/>
      <c r="Z14" s="575"/>
      <c r="AA14" s="575"/>
      <c r="AB14" s="575"/>
      <c r="AC14" s="575"/>
      <c r="AD14" s="575"/>
      <c r="AE14" s="575"/>
      <c r="AF14" s="575"/>
      <c r="AG14" s="575"/>
    </row>
    <row r="15" spans="1:33" ht="27.75" customHeight="1">
      <c r="A15" s="248">
        <v>19</v>
      </c>
      <c r="B15" s="124"/>
      <c r="C15" s="195" t="s">
        <v>300</v>
      </c>
      <c r="D15" s="9"/>
      <c r="E15" s="123"/>
      <c r="F15" s="238" t="s">
        <v>185</v>
      </c>
      <c r="G15" s="631">
        <v>2024243558</v>
      </c>
      <c r="H15" s="1356">
        <f>+G15-I15</f>
        <v>2036661091</v>
      </c>
      <c r="I15" s="1356">
        <v>-12417533</v>
      </c>
      <c r="J15" s="1554" t="s">
        <v>836</v>
      </c>
      <c r="K15" s="1554"/>
      <c r="L15" s="1554"/>
      <c r="M15" s="1554"/>
      <c r="N15" s="1554"/>
      <c r="O15" s="1554"/>
      <c r="P15" s="1554"/>
      <c r="Q15" s="1555"/>
      <c r="S15" s="565"/>
      <c r="T15" s="927"/>
      <c r="U15" s="565"/>
      <c r="V15" s="565"/>
      <c r="W15" s="565"/>
      <c r="X15" s="565"/>
      <c r="Y15" s="565"/>
      <c r="Z15" s="575"/>
      <c r="AA15" s="575"/>
      <c r="AB15" s="575"/>
      <c r="AC15" s="575"/>
      <c r="AD15" s="575"/>
      <c r="AE15" s="575"/>
      <c r="AF15" s="575"/>
      <c r="AG15" s="575"/>
    </row>
    <row r="16" spans="1:33" ht="40.75" customHeight="1">
      <c r="A16" s="248">
        <v>23</v>
      </c>
      <c r="B16" s="20"/>
      <c r="C16" s="195" t="s">
        <v>817</v>
      </c>
      <c r="D16" s="108"/>
      <c r="E16" s="951"/>
      <c r="F16" s="238" t="s">
        <v>818</v>
      </c>
      <c r="G16" s="631">
        <f>83013309+184870023</f>
        <v>267883332</v>
      </c>
      <c r="H16" s="1356">
        <f>+G16-I16</f>
        <v>219496613.59999999</v>
      </c>
      <c r="I16" s="1356">
        <f>34915671.37+12417532.51+1053514.52</f>
        <v>48386718.399999999</v>
      </c>
      <c r="J16" s="1554" t="s">
        <v>1251</v>
      </c>
      <c r="K16" s="1554"/>
      <c r="L16" s="1554"/>
      <c r="M16" s="1554"/>
      <c r="N16" s="1554"/>
      <c r="O16" s="1554"/>
      <c r="P16" s="1554"/>
      <c r="Q16" s="1555"/>
      <c r="S16" s="565"/>
      <c r="T16" s="904"/>
      <c r="U16" s="904"/>
      <c r="V16" s="565"/>
      <c r="W16" s="565"/>
      <c r="X16" s="565"/>
      <c r="Y16" s="565"/>
      <c r="Z16" s="575"/>
      <c r="AA16" s="575"/>
      <c r="AB16" s="575"/>
      <c r="AC16" s="575"/>
      <c r="AD16" s="575"/>
      <c r="AE16" s="575"/>
      <c r="AF16" s="575"/>
      <c r="AG16" s="575"/>
    </row>
    <row r="17" spans="1:33" ht="72" customHeight="1">
      <c r="A17" s="248">
        <f>'Exh F - AA-BL Items'!A40</f>
        <v>24</v>
      </c>
      <c r="B17" s="210"/>
      <c r="C17" s="202" t="str">
        <f>'Exh F - AA-BL Items'!C40</f>
        <v>Common Plant (Electric Only)</v>
      </c>
      <c r="D17" s="186"/>
      <c r="E17" s="194" t="str">
        <f>'Exh F - AA-BL Items'!E40</f>
        <v>(Notes A)</v>
      </c>
      <c r="F17" s="238" t="s">
        <v>165</v>
      </c>
      <c r="G17" s="631">
        <v>806569281</v>
      </c>
      <c r="H17" s="1356">
        <f>+G17-I17</f>
        <v>802099159.28999996</v>
      </c>
      <c r="I17" s="1356">
        <f>1900137.71+2569984</f>
        <v>4470121.71</v>
      </c>
      <c r="J17" s="1554" t="s">
        <v>1268</v>
      </c>
      <c r="K17" s="1554"/>
      <c r="L17" s="1554"/>
      <c r="M17" s="1554"/>
      <c r="N17" s="1554"/>
      <c r="O17" s="1554"/>
      <c r="P17" s="1554"/>
      <c r="Q17" s="1555"/>
      <c r="S17" s="575"/>
      <c r="T17" s="912"/>
      <c r="U17" s="575"/>
      <c r="V17" s="575"/>
      <c r="W17" s="575"/>
      <c r="X17" s="575"/>
      <c r="Y17" s="575"/>
      <c r="Z17" s="575"/>
      <c r="AA17" s="575"/>
      <c r="AB17" s="575"/>
      <c r="AC17" s="575"/>
      <c r="AD17" s="575"/>
      <c r="AE17" s="575"/>
      <c r="AF17" s="575"/>
      <c r="AG17" s="575"/>
    </row>
    <row r="18" spans="1:33" ht="22.75" customHeight="1">
      <c r="A18" s="248"/>
      <c r="B18" s="231" t="s">
        <v>208</v>
      </c>
      <c r="C18" s="231"/>
      <c r="D18" s="205"/>
      <c r="E18" s="203"/>
      <c r="F18" s="238"/>
      <c r="G18" s="410"/>
      <c r="H18" s="560"/>
      <c r="I18" s="560"/>
      <c r="J18" s="1561"/>
      <c r="K18" s="1561"/>
      <c r="L18" s="1561"/>
      <c r="M18" s="1561"/>
      <c r="N18" s="1561"/>
      <c r="O18" s="1561"/>
      <c r="P18" s="1561"/>
      <c r="Q18" s="1562"/>
      <c r="S18" s="575"/>
      <c r="T18" s="912"/>
      <c r="U18" s="575"/>
      <c r="V18" s="575"/>
      <c r="W18" s="575"/>
      <c r="X18" s="575"/>
      <c r="Y18" s="575"/>
      <c r="Z18" s="575"/>
      <c r="AA18" s="575"/>
      <c r="AB18" s="575"/>
      <c r="AC18" s="575"/>
      <c r="AD18" s="575"/>
      <c r="AE18" s="575"/>
      <c r="AF18" s="575"/>
      <c r="AG18" s="575"/>
    </row>
    <row r="19" spans="1:33" s="575" customFormat="1" ht="25.5" customHeight="1">
      <c r="A19" s="248">
        <v>30</v>
      </c>
      <c r="B19" s="20"/>
      <c r="C19" s="206" t="s">
        <v>332</v>
      </c>
      <c r="D19" s="26"/>
      <c r="E19" s="123"/>
      <c r="F19" s="249" t="s">
        <v>819</v>
      </c>
      <c r="G19" s="631">
        <v>474049909</v>
      </c>
      <c r="H19" s="1356">
        <f>+G19-I19</f>
        <v>482640460.82999998</v>
      </c>
      <c r="I19" s="1356">
        <v>-8590551.8300000001</v>
      </c>
      <c r="J19" s="1554" t="s">
        <v>1252</v>
      </c>
      <c r="K19" s="1554"/>
      <c r="L19" s="1554"/>
      <c r="M19" s="1554"/>
      <c r="N19" s="1554"/>
      <c r="O19" s="1554"/>
      <c r="P19" s="1554"/>
      <c r="Q19" s="1555"/>
      <c r="T19" s="912"/>
    </row>
    <row r="20" spans="1:33" ht="18" customHeight="1">
      <c r="A20" s="248">
        <v>31</v>
      </c>
      <c r="B20" s="20"/>
      <c r="C20" s="202" t="s">
        <v>375</v>
      </c>
      <c r="D20" s="9"/>
      <c r="E20" s="123"/>
      <c r="F20" s="238" t="s">
        <v>885</v>
      </c>
      <c r="G20" s="631">
        <v>22550115</v>
      </c>
      <c r="H20" s="1356">
        <f>+G20-I20</f>
        <v>21616966.809999999</v>
      </c>
      <c r="I20" s="1356">
        <v>933148.19</v>
      </c>
      <c r="J20" s="1554" t="s">
        <v>849</v>
      </c>
      <c r="K20" s="1554"/>
      <c r="L20" s="1554"/>
      <c r="M20" s="1554"/>
      <c r="N20" s="1554"/>
      <c r="O20" s="1554"/>
      <c r="P20" s="1554"/>
      <c r="Q20" s="1555"/>
      <c r="S20" s="575"/>
      <c r="T20" s="912"/>
      <c r="U20" s="575"/>
      <c r="V20" s="575"/>
      <c r="W20" s="575"/>
      <c r="X20" s="575"/>
      <c r="Y20" s="575"/>
      <c r="Z20" s="575"/>
      <c r="AA20" s="575"/>
      <c r="AB20" s="575"/>
      <c r="AC20" s="575"/>
      <c r="AD20" s="575"/>
      <c r="AE20" s="575"/>
      <c r="AF20" s="575"/>
      <c r="AG20" s="575"/>
    </row>
    <row r="21" spans="1:33" ht="26.5" customHeight="1">
      <c r="A21" s="248">
        <v>32</v>
      </c>
      <c r="B21" s="49"/>
      <c r="C21" s="202" t="s">
        <v>341</v>
      </c>
      <c r="D21" s="108"/>
      <c r="E21" s="194" t="s">
        <v>326</v>
      </c>
      <c r="F21" s="238" t="s">
        <v>354</v>
      </c>
      <c r="G21" s="631">
        <v>55505365</v>
      </c>
      <c r="H21" s="1356">
        <f>+G21-I21</f>
        <v>23816962.57</v>
      </c>
      <c r="I21" s="1356">
        <f>8590551.83+23097850.6</f>
        <v>31688402.43</v>
      </c>
      <c r="J21" s="1554" t="s">
        <v>1253</v>
      </c>
      <c r="K21" s="1554"/>
      <c r="L21" s="1554"/>
      <c r="M21" s="1554"/>
      <c r="N21" s="1554"/>
      <c r="O21" s="1554"/>
      <c r="P21" s="1554"/>
      <c r="Q21" s="1555"/>
      <c r="S21" s="575"/>
      <c r="T21" s="575"/>
      <c r="U21" s="575"/>
      <c r="V21" s="575"/>
      <c r="W21" s="575"/>
      <c r="X21" s="575"/>
      <c r="Y21" s="575"/>
      <c r="Z21" s="575"/>
      <c r="AA21" s="575"/>
      <c r="AB21" s="575"/>
      <c r="AC21" s="575"/>
      <c r="AD21" s="575"/>
      <c r="AE21" s="575"/>
      <c r="AF21" s="575"/>
      <c r="AG21" s="575"/>
    </row>
    <row r="22" spans="1:33" ht="15.75" customHeight="1">
      <c r="A22" s="254"/>
      <c r="B22" s="204" t="s">
        <v>391</v>
      </c>
      <c r="C22" s="124"/>
      <c r="D22" s="185"/>
      <c r="E22" s="194"/>
      <c r="F22" s="242"/>
      <c r="G22" s="331"/>
      <c r="H22" s="146"/>
      <c r="I22" s="146"/>
      <c r="J22" s="1561"/>
      <c r="K22" s="1561"/>
      <c r="L22" s="1561"/>
      <c r="M22" s="1561"/>
      <c r="N22" s="1561"/>
      <c r="O22" s="1561"/>
      <c r="P22" s="1561"/>
      <c r="Q22" s="1562"/>
    </row>
    <row r="23" spans="1:33" ht="15.75" customHeight="1">
      <c r="A23" s="248" t="str">
        <f>'Exh F - AA-BL Items'!A71</f>
        <v>40e</v>
      </c>
      <c r="B23" s="185"/>
      <c r="C23" s="206" t="str">
        <f>'Exh F - AA-BL Items'!C71</f>
        <v>Account No. 255 (Accum. Deferred Investment Tax Credits)</v>
      </c>
      <c r="D23" s="194"/>
      <c r="E23" s="194" t="str">
        <f>'Exh F - AA-BL Items'!E71</f>
        <v>(Note T)</v>
      </c>
      <c r="F23" s="249" t="str">
        <f>'Exh F - AA-BL Items'!F71</f>
        <v>p266.h</v>
      </c>
      <c r="G23" s="469">
        <v>0</v>
      </c>
      <c r="H23" s="460">
        <v>0</v>
      </c>
      <c r="I23" s="474">
        <v>0</v>
      </c>
      <c r="J23" s="1563" t="s">
        <v>820</v>
      </c>
      <c r="K23" s="1563"/>
      <c r="L23" s="1563"/>
      <c r="M23" s="1563"/>
      <c r="N23" s="1563"/>
      <c r="O23" s="1563"/>
      <c r="P23" s="1563"/>
      <c r="Q23" s="1564"/>
    </row>
    <row r="24" spans="1:33" ht="15.5">
      <c r="A24" s="248"/>
      <c r="B24" s="204" t="s">
        <v>204</v>
      </c>
      <c r="C24" s="185"/>
      <c r="D24" s="185"/>
      <c r="E24" s="264"/>
      <c r="F24" s="265"/>
      <c r="G24" s="331"/>
      <c r="H24" s="146"/>
      <c r="I24" s="146"/>
      <c r="J24" s="1563"/>
      <c r="K24" s="1563"/>
      <c r="L24" s="1563"/>
      <c r="M24" s="1563"/>
      <c r="N24" s="1563"/>
      <c r="O24" s="1563"/>
      <c r="P24" s="1563"/>
      <c r="Q24" s="1564"/>
    </row>
    <row r="25" spans="1:33" ht="30.75" customHeight="1">
      <c r="A25" s="584">
        <v>47</v>
      </c>
      <c r="B25" s="185"/>
      <c r="C25" s="483" t="str">
        <f>'Exh F - AA-BL Items'!C82</f>
        <v>Undistributed Stores Exp</v>
      </c>
      <c r="D25" s="556"/>
      <c r="E25" s="484" t="str">
        <f>'Exh F - AA-BL Items'!E82</f>
        <v>(Note A)</v>
      </c>
      <c r="F25" s="485" t="str">
        <f>'Exh F - AA-BL Items'!F82</f>
        <v>p227.6c &amp; 16.c</v>
      </c>
      <c r="G25" s="486">
        <v>0</v>
      </c>
      <c r="H25" s="487">
        <f>G25*0.748</f>
        <v>0</v>
      </c>
      <c r="I25" s="487">
        <f>G25*0.252</f>
        <v>0</v>
      </c>
      <c r="J25" s="1583" t="s">
        <v>68</v>
      </c>
      <c r="K25" s="1583"/>
      <c r="L25" s="1583"/>
      <c r="M25" s="1583"/>
      <c r="N25" s="1583"/>
      <c r="O25" s="1583"/>
      <c r="P25" s="1583"/>
      <c r="Q25" s="1584"/>
    </row>
    <row r="26" spans="1:33" ht="6.75" customHeight="1">
      <c r="A26" s="254"/>
      <c r="B26" s="185"/>
      <c r="C26" s="185"/>
      <c r="D26" s="195"/>
      <c r="E26" s="234"/>
      <c r="F26" s="266"/>
      <c r="G26" s="469"/>
      <c r="H26" s="460"/>
      <c r="I26" s="460"/>
      <c r="J26" s="1563"/>
      <c r="K26" s="1563"/>
      <c r="L26" s="1563"/>
      <c r="M26" s="1563"/>
      <c r="N26" s="1563"/>
      <c r="O26" s="1563"/>
      <c r="P26" s="1563"/>
      <c r="Q26" s="1564"/>
    </row>
    <row r="27" spans="1:33" ht="15.5">
      <c r="A27" s="248"/>
      <c r="B27" s="231" t="s">
        <v>193</v>
      </c>
      <c r="C27" s="195"/>
      <c r="D27" s="195"/>
      <c r="E27" s="247"/>
      <c r="F27" s="273"/>
      <c r="G27" s="331"/>
      <c r="H27" s="146"/>
      <c r="I27" s="146"/>
      <c r="J27" s="899"/>
      <c r="K27" s="899"/>
      <c r="L27" s="899"/>
      <c r="M27" s="899"/>
      <c r="N27" s="899"/>
      <c r="O27" s="899"/>
      <c r="P27" s="899"/>
      <c r="Q27" s="894"/>
    </row>
    <row r="28" spans="1:33" ht="15.5">
      <c r="A28" s="248">
        <v>65</v>
      </c>
      <c r="B28" s="231"/>
      <c r="C28" s="206" t="str">
        <f>'ATT H-2A'!C127</f>
        <v xml:space="preserve">     Plus Transmission Lease Payments</v>
      </c>
      <c r="D28" s="195"/>
      <c r="E28" s="277" t="str">
        <f>+'ATT H-2A'!E127</f>
        <v>(Note A)</v>
      </c>
      <c r="F28" s="327" t="str">
        <f>+'ATT H-2A'!F127</f>
        <v>Attachment 5</v>
      </c>
      <c r="G28" s="375">
        <v>0</v>
      </c>
      <c r="H28" s="374">
        <v>0</v>
      </c>
      <c r="I28" s="374">
        <v>0</v>
      </c>
      <c r="J28" s="1563"/>
      <c r="K28" s="1563"/>
      <c r="L28" s="1563"/>
      <c r="M28" s="1563"/>
      <c r="N28" s="1563"/>
      <c r="O28" s="1563"/>
      <c r="P28" s="1563"/>
      <c r="Q28" s="1564"/>
    </row>
    <row r="29" spans="1:33" ht="30.75" customHeight="1">
      <c r="A29" s="585">
        <v>67</v>
      </c>
      <c r="B29" s="229"/>
      <c r="C29" s="488" t="str">
        <f>'Exh F - AA-BL Items'!C111</f>
        <v>Common Plant O&amp;M</v>
      </c>
      <c r="D29" s="556"/>
      <c r="E29" s="489" t="str">
        <f>'Exh F - AA-BL Items'!E111</f>
        <v>(Note A)</v>
      </c>
      <c r="F29" s="493" t="s">
        <v>66</v>
      </c>
      <c r="G29" s="486">
        <v>0</v>
      </c>
      <c r="H29" s="487">
        <v>0</v>
      </c>
      <c r="I29" s="487">
        <v>0</v>
      </c>
      <c r="J29" s="1583" t="s">
        <v>65</v>
      </c>
      <c r="K29" s="1583"/>
      <c r="L29" s="1583"/>
      <c r="M29" s="1583"/>
      <c r="N29" s="1583"/>
      <c r="O29" s="1583"/>
      <c r="P29" s="1583"/>
      <c r="Q29" s="1584"/>
    </row>
    <row r="30" spans="1:33" ht="8.5" customHeight="1">
      <c r="A30" s="248"/>
      <c r="B30" s="229"/>
      <c r="C30" s="206"/>
      <c r="D30" s="195"/>
      <c r="E30" s="271"/>
      <c r="F30" s="238"/>
      <c r="G30" s="469"/>
      <c r="H30" s="460"/>
      <c r="I30" s="460"/>
      <c r="J30" s="480"/>
      <c r="K30" s="892"/>
      <c r="L30" s="892"/>
      <c r="M30" s="892"/>
      <c r="N30" s="892"/>
      <c r="O30" s="892"/>
      <c r="P30" s="892"/>
      <c r="Q30" s="893"/>
    </row>
    <row r="31" spans="1:33" ht="15.5">
      <c r="A31" s="254"/>
      <c r="B31" s="225" t="s">
        <v>160</v>
      </c>
      <c r="C31" s="221"/>
      <c r="D31" s="124"/>
      <c r="E31" s="186"/>
      <c r="F31" s="275"/>
      <c r="G31" s="331"/>
      <c r="H31" s="146"/>
      <c r="I31" s="146"/>
      <c r="J31" s="652"/>
      <c r="K31" s="652"/>
      <c r="L31" s="892"/>
      <c r="M31" s="892"/>
      <c r="N31" s="892"/>
      <c r="O31" s="892"/>
      <c r="P31" s="892"/>
      <c r="Q31" s="893"/>
    </row>
    <row r="32" spans="1:33" ht="29.25" customHeight="1">
      <c r="A32" s="585">
        <v>85</v>
      </c>
      <c r="B32" s="104"/>
      <c r="C32" s="488" t="s">
        <v>821</v>
      </c>
      <c r="D32" s="34"/>
      <c r="E32" s="108"/>
      <c r="F32" s="485" t="s">
        <v>822</v>
      </c>
      <c r="G32" s="631">
        <v>54703833</v>
      </c>
      <c r="H32" s="1356">
        <f>+G32-I32</f>
        <v>56782463.640000001</v>
      </c>
      <c r="I32" s="1356">
        <v>-2078630.64</v>
      </c>
      <c r="J32" s="1554" t="s">
        <v>1304</v>
      </c>
      <c r="K32" s="1554"/>
      <c r="L32" s="1554"/>
      <c r="M32" s="1554"/>
      <c r="N32" s="1554"/>
      <c r="O32" s="1554"/>
      <c r="P32" s="1554"/>
      <c r="Q32" s="1555"/>
      <c r="S32" s="706"/>
      <c r="T32" s="575"/>
      <c r="U32" s="575"/>
      <c r="V32" s="575"/>
      <c r="W32" s="575"/>
      <c r="X32" s="575"/>
      <c r="Y32" s="575"/>
      <c r="Z32" s="575"/>
      <c r="AA32" s="575"/>
      <c r="AB32" s="575"/>
      <c r="AC32" s="575"/>
    </row>
    <row r="33" spans="1:29" ht="27.75" customHeight="1">
      <c r="A33" s="585">
        <v>86</v>
      </c>
      <c r="B33" s="104"/>
      <c r="C33" s="488" t="s">
        <v>320</v>
      </c>
      <c r="D33" s="108"/>
      <c r="E33" s="108"/>
      <c r="F33" s="485" t="s">
        <v>823</v>
      </c>
      <c r="G33" s="631">
        <v>12836876</v>
      </c>
      <c r="H33" s="1356">
        <f>+G33-I33</f>
        <v>12836876</v>
      </c>
      <c r="I33" s="1356">
        <v>0</v>
      </c>
      <c r="J33" s="1556"/>
      <c r="K33" s="1556"/>
      <c r="L33" s="1556"/>
      <c r="M33" s="1556"/>
      <c r="N33" s="1556"/>
      <c r="O33" s="1556"/>
      <c r="P33" s="1556"/>
      <c r="Q33" s="1557"/>
      <c r="S33" s="706"/>
      <c r="T33" s="575"/>
      <c r="U33" s="575"/>
      <c r="V33" s="575"/>
      <c r="W33" s="575"/>
      <c r="X33" s="575"/>
      <c r="Y33" s="575"/>
      <c r="Z33" s="575"/>
      <c r="AA33" s="575"/>
      <c r="AB33" s="575"/>
      <c r="AC33" s="575"/>
    </row>
    <row r="34" spans="1:29" ht="27.75" customHeight="1">
      <c r="A34" s="248">
        <v>87</v>
      </c>
      <c r="B34" s="276"/>
      <c r="C34" s="213" t="str">
        <f>'Exh F - AA-BL Items'!C140</f>
        <v>Intangible Amortization</v>
      </c>
      <c r="D34" s="216"/>
      <c r="E34" s="277" t="str">
        <f>'Exh F - AA-BL Items'!E140</f>
        <v>(Note A)</v>
      </c>
      <c r="F34" s="485" t="s">
        <v>824</v>
      </c>
      <c r="G34" s="631">
        <v>9421673</v>
      </c>
      <c r="H34" s="1356">
        <f>+G34-I34</f>
        <v>3957002.26</v>
      </c>
      <c r="I34" s="1356">
        <f>2078630.64+3386040.1</f>
        <v>5464670.7400000002</v>
      </c>
      <c r="J34" s="1554" t="s">
        <v>1254</v>
      </c>
      <c r="K34" s="1554"/>
      <c r="L34" s="1554"/>
      <c r="M34" s="1554"/>
      <c r="N34" s="1554"/>
      <c r="O34" s="1554"/>
      <c r="P34" s="1554"/>
      <c r="Q34" s="1555"/>
      <c r="S34" s="706"/>
      <c r="T34" s="575"/>
      <c r="U34" s="575"/>
      <c r="V34" s="575"/>
      <c r="W34" s="575"/>
      <c r="X34" s="575"/>
      <c r="Y34" s="575"/>
      <c r="Z34" s="575"/>
      <c r="AA34" s="575"/>
      <c r="AB34" s="575"/>
      <c r="AC34" s="575"/>
    </row>
    <row r="35" spans="1:29" ht="30.25" customHeight="1">
      <c r="A35" s="248">
        <v>90</v>
      </c>
      <c r="B35" s="276"/>
      <c r="C35" s="213" t="s">
        <v>268</v>
      </c>
      <c r="D35" s="131"/>
      <c r="E35" s="633"/>
      <c r="F35" s="634" t="s">
        <v>825</v>
      </c>
      <c r="G35" s="631">
        <f>+'ATT H-2A'!H165</f>
        <v>2704990.8630065643</v>
      </c>
      <c r="H35" s="1356">
        <f>+G35-I35</f>
        <v>2704990.8630065643</v>
      </c>
      <c r="I35" s="1356">
        <v>0</v>
      </c>
      <c r="J35" s="1558"/>
      <c r="K35" s="1558"/>
      <c r="L35" s="1558"/>
      <c r="M35" s="1558"/>
      <c r="N35" s="1558"/>
      <c r="O35" s="1558"/>
      <c r="P35" s="1558"/>
      <c r="Q35" s="1559"/>
      <c r="S35" s="706"/>
      <c r="T35" s="575"/>
      <c r="U35" s="575"/>
      <c r="V35" s="575"/>
      <c r="W35" s="575"/>
      <c r="X35" s="575"/>
      <c r="Y35" s="575"/>
      <c r="Z35" s="575"/>
      <c r="AA35" s="575"/>
      <c r="AB35" s="575"/>
      <c r="AC35" s="575"/>
    </row>
    <row r="36" spans="1:29" ht="45" customHeight="1">
      <c r="A36" s="248">
        <v>91</v>
      </c>
      <c r="B36" s="263"/>
      <c r="C36" s="212" t="str">
        <f>'Exh F - AA-BL Items'!C145</f>
        <v>Common Depreciation - Electric Only</v>
      </c>
      <c r="D36" s="216"/>
      <c r="E36" s="277" t="str">
        <f>'Exh F - AA-BL Items'!E145</f>
        <v>(Note A)</v>
      </c>
      <c r="F36" s="266" t="s">
        <v>853</v>
      </c>
      <c r="G36" s="631">
        <v>17935030</v>
      </c>
      <c r="H36" s="1356">
        <f t="shared" ref="H36:H37" si="0">+G36-I36</f>
        <v>17880200</v>
      </c>
      <c r="I36" s="1356">
        <v>54830</v>
      </c>
      <c r="J36" s="1554" t="s">
        <v>1255</v>
      </c>
      <c r="K36" s="1554"/>
      <c r="L36" s="1554"/>
      <c r="M36" s="1554"/>
      <c r="N36" s="1554"/>
      <c r="O36" s="1554"/>
      <c r="P36" s="1554"/>
      <c r="Q36" s="1555"/>
      <c r="S36" s="706"/>
      <c r="T36" s="575"/>
      <c r="U36" s="575"/>
      <c r="V36" s="575"/>
      <c r="W36" s="575"/>
      <c r="X36" s="575"/>
      <c r="Y36" s="575"/>
      <c r="Z36" s="575"/>
      <c r="AA36" s="575"/>
      <c r="AB36" s="575"/>
      <c r="AC36" s="575"/>
    </row>
    <row r="37" spans="1:29" ht="36.65" customHeight="1" thickBot="1">
      <c r="A37" s="301">
        <v>92</v>
      </c>
      <c r="B37" s="312"/>
      <c r="C37" s="313" t="str">
        <f>'Exh F - AA-BL Items'!C146</f>
        <v>Common Amortization - Electric Only</v>
      </c>
      <c r="D37" s="557"/>
      <c r="E37" s="314" t="str">
        <f>'Exh F - AA-BL Items'!E146</f>
        <v>(Note A)</v>
      </c>
      <c r="F37" s="315" t="s">
        <v>853</v>
      </c>
      <c r="G37" s="478">
        <v>34807480</v>
      </c>
      <c r="H37" s="461">
        <f t="shared" si="0"/>
        <v>34398949</v>
      </c>
      <c r="I37" s="461">
        <v>408531</v>
      </c>
      <c r="J37" s="1585" t="s">
        <v>1306</v>
      </c>
      <c r="K37" s="1585"/>
      <c r="L37" s="1585"/>
      <c r="M37" s="1585"/>
      <c r="N37" s="1585"/>
      <c r="O37" s="1585"/>
      <c r="P37" s="1585"/>
      <c r="Q37" s="1586"/>
      <c r="S37" s="706"/>
      <c r="T37" s="575"/>
      <c r="U37" s="575"/>
      <c r="V37" s="575"/>
      <c r="W37" s="575"/>
      <c r="X37" s="575"/>
      <c r="Y37" s="575"/>
      <c r="Z37" s="575"/>
      <c r="AA37" s="575"/>
      <c r="AB37" s="575"/>
      <c r="AC37" s="575"/>
    </row>
    <row r="38" spans="1:29" ht="11.25" customHeight="1">
      <c r="G38" s="144"/>
      <c r="H38" s="144"/>
      <c r="I38" s="144"/>
      <c r="J38" s="144"/>
      <c r="K38" s="144"/>
      <c r="L38" s="144"/>
      <c r="M38" s="144"/>
      <c r="N38" s="144"/>
      <c r="O38" s="144"/>
      <c r="P38" s="144"/>
      <c r="Q38" s="144"/>
      <c r="S38" s="575"/>
      <c r="T38" s="575"/>
      <c r="U38" s="575"/>
      <c r="V38" s="575"/>
      <c r="W38" s="575"/>
      <c r="X38" s="575"/>
      <c r="Y38" s="575"/>
      <c r="Z38" s="575"/>
      <c r="AA38" s="575"/>
      <c r="AB38" s="575"/>
      <c r="AC38" s="575"/>
    </row>
    <row r="39" spans="1:29" ht="13">
      <c r="G39" s="144"/>
      <c r="H39" s="144"/>
      <c r="I39" s="144"/>
      <c r="J39" s="144"/>
      <c r="K39" s="926"/>
      <c r="L39" s="144"/>
      <c r="M39" s="144"/>
      <c r="N39" s="144"/>
      <c r="O39" s="144"/>
      <c r="P39" s="144"/>
      <c r="Q39" s="144"/>
      <c r="S39" s="575"/>
      <c r="T39" s="575"/>
      <c r="U39" s="575"/>
      <c r="V39" s="575"/>
      <c r="W39" s="575"/>
      <c r="X39" s="575"/>
      <c r="Y39" s="575"/>
      <c r="Z39" s="575"/>
      <c r="AA39" s="575"/>
      <c r="AB39" s="575"/>
      <c r="AC39" s="575"/>
    </row>
    <row r="40" spans="1:29" ht="20.5" thickBot="1">
      <c r="A40" s="311" t="s">
        <v>585</v>
      </c>
      <c r="G40" s="144"/>
      <c r="H40" s="144"/>
      <c r="I40" s="144"/>
      <c r="J40" s="144"/>
      <c r="K40" s="926"/>
      <c r="L40" s="144"/>
      <c r="M40" s="144"/>
      <c r="N40" s="144"/>
      <c r="O40" s="144"/>
      <c r="P40" s="144"/>
      <c r="Q40" s="144"/>
      <c r="S40" s="575"/>
      <c r="T40" s="575"/>
      <c r="U40" s="575"/>
      <c r="V40" s="575"/>
      <c r="W40" s="575"/>
      <c r="X40" s="575"/>
      <c r="Y40" s="575"/>
      <c r="Z40" s="575"/>
      <c r="AA40" s="575"/>
      <c r="AB40" s="575"/>
      <c r="AC40" s="575"/>
    </row>
    <row r="41" spans="1:29" ht="50.25" customHeight="1">
      <c r="A41" s="1523" t="s">
        <v>10</v>
      </c>
      <c r="B41" s="1524"/>
      <c r="C41" s="1524"/>
      <c r="D41" s="1524"/>
      <c r="E41" s="1524"/>
      <c r="F41" s="1525"/>
      <c r="G41" s="716" t="s">
        <v>498</v>
      </c>
      <c r="H41" s="716">
        <f>+J40</f>
        <v>0</v>
      </c>
      <c r="I41" s="716" t="s">
        <v>577</v>
      </c>
      <c r="J41" s="1526" t="s">
        <v>425</v>
      </c>
      <c r="K41" s="1528"/>
      <c r="L41" s="1528"/>
      <c r="M41" s="1528"/>
      <c r="N41" s="1528"/>
      <c r="O41" s="1528"/>
      <c r="P41" s="1528"/>
      <c r="Q41" s="1565"/>
      <c r="S41" s="575"/>
      <c r="T41" s="575"/>
      <c r="U41" s="575"/>
      <c r="V41" s="575"/>
      <c r="W41" s="575"/>
      <c r="X41" s="575"/>
      <c r="Y41" s="575"/>
      <c r="Z41" s="575"/>
      <c r="AA41" s="575"/>
      <c r="AB41" s="575"/>
      <c r="AC41" s="575"/>
    </row>
    <row r="42" spans="1:29" ht="33.75" customHeight="1">
      <c r="A42" s="248">
        <f>+'Exh F - AA-BL Items'!A45</f>
        <v>28</v>
      </c>
      <c r="B42" s="229"/>
      <c r="C42" s="204" t="str">
        <f>+'Exh F - AA-BL Items'!C45</f>
        <v>Plant Held for Future Use (Including Land)</v>
      </c>
      <c r="D42" s="194"/>
      <c r="E42" s="277" t="str">
        <f>+'Exh F - AA-BL Items'!E45</f>
        <v>(Note C)</v>
      </c>
      <c r="F42" s="327" t="str">
        <f>+'Exh F - AA-BL Items'!F45</f>
        <v>Attachment 5</v>
      </c>
      <c r="G42" s="460">
        <v>9043952</v>
      </c>
      <c r="H42" s="632" t="str">
        <f>+J41</f>
        <v>Details</v>
      </c>
      <c r="I42" s="632">
        <f>+I46</f>
        <v>8040915</v>
      </c>
      <c r="J42" s="1561" t="s">
        <v>43</v>
      </c>
      <c r="K42" s="1561"/>
      <c r="L42" s="1561"/>
      <c r="M42" s="1561"/>
      <c r="N42" s="1561"/>
      <c r="O42" s="1561"/>
      <c r="P42" s="1561"/>
      <c r="Q42" s="1562"/>
      <c r="S42" s="575"/>
      <c r="T42" s="575"/>
      <c r="U42" s="575"/>
      <c r="V42" s="575"/>
      <c r="W42" s="575"/>
      <c r="X42" s="575"/>
      <c r="Y42" s="575"/>
      <c r="Z42" s="575"/>
      <c r="AA42" s="575"/>
      <c r="AB42" s="575"/>
      <c r="AC42" s="575"/>
    </row>
    <row r="43" spans="1:29" ht="15.75" hidden="1" customHeight="1">
      <c r="A43" s="248"/>
      <c r="B43" s="231" t="s">
        <v>192</v>
      </c>
      <c r="C43" s="185"/>
      <c r="D43" s="195"/>
      <c r="E43" s="203"/>
      <c r="F43" s="245"/>
      <c r="G43" s="146"/>
      <c r="H43" s="560"/>
      <c r="I43" s="560"/>
      <c r="J43" s="1519"/>
      <c r="K43" s="1519"/>
      <c r="L43" s="1519"/>
      <c r="M43" s="1519"/>
      <c r="N43" s="1519"/>
      <c r="O43" s="1519"/>
      <c r="P43" s="1519"/>
      <c r="Q43" s="1587"/>
      <c r="S43" s="575"/>
      <c r="T43" s="575"/>
      <c r="U43" s="575"/>
      <c r="V43" s="575"/>
      <c r="W43" s="575"/>
      <c r="X43" s="575"/>
      <c r="Y43" s="575"/>
      <c r="Z43" s="575"/>
      <c r="AA43" s="575"/>
      <c r="AB43" s="575"/>
      <c r="AC43" s="575"/>
    </row>
    <row r="44" spans="1:29" ht="16.5" hidden="1" customHeight="1" thickBot="1">
      <c r="A44" s="248">
        <v>73</v>
      </c>
      <c r="B44" s="263"/>
      <c r="C44" s="212" t="s">
        <v>363</v>
      </c>
      <c r="D44" s="194"/>
      <c r="E44" s="234" t="s">
        <v>327</v>
      </c>
      <c r="F44" s="266" t="s">
        <v>158</v>
      </c>
      <c r="G44" s="181" t="s">
        <v>501</v>
      </c>
      <c r="H44" s="707" t="s">
        <v>501</v>
      </c>
      <c r="I44" s="707" t="s">
        <v>501</v>
      </c>
      <c r="J44" s="1519" t="s">
        <v>500</v>
      </c>
      <c r="K44" s="1519"/>
      <c r="L44" s="1519"/>
      <c r="M44" s="1519"/>
      <c r="N44" s="1519"/>
      <c r="O44" s="1519"/>
      <c r="P44" s="1519"/>
      <c r="Q44" s="1587"/>
      <c r="S44" s="575"/>
      <c r="T44" s="575"/>
      <c r="U44" s="575"/>
      <c r="V44" s="575"/>
      <c r="W44" s="575"/>
      <c r="X44" s="575"/>
      <c r="Y44" s="575"/>
      <c r="Z44" s="575"/>
      <c r="AA44" s="575"/>
      <c r="AB44" s="575"/>
      <c r="AC44" s="575"/>
    </row>
    <row r="45" spans="1:29" ht="15.5">
      <c r="A45" s="248"/>
      <c r="B45" s="263"/>
      <c r="C45" s="212"/>
      <c r="D45" s="195"/>
      <c r="E45" s="277"/>
      <c r="F45" s="266"/>
      <c r="G45" s="146"/>
      <c r="H45" s="1356">
        <v>1003037</v>
      </c>
      <c r="I45" s="560"/>
      <c r="J45" s="560">
        <v>1</v>
      </c>
      <c r="K45" s="560" t="s">
        <v>851</v>
      </c>
      <c r="L45" s="560"/>
      <c r="M45" s="560"/>
      <c r="N45" s="560"/>
      <c r="O45" s="560"/>
      <c r="P45" s="560"/>
      <c r="Q45" s="419"/>
      <c r="S45" s="575"/>
      <c r="T45" s="575"/>
      <c r="U45" s="575"/>
      <c r="V45" s="575"/>
      <c r="W45" s="575"/>
      <c r="X45" s="575"/>
      <c r="Y45" s="575"/>
      <c r="Z45" s="575"/>
      <c r="AA45" s="575"/>
      <c r="AB45" s="575"/>
      <c r="AC45" s="575"/>
    </row>
    <row r="46" spans="1:29" ht="15.5">
      <c r="A46" s="248"/>
      <c r="B46" s="263"/>
      <c r="C46" s="212"/>
      <c r="D46" s="195"/>
      <c r="E46" s="277"/>
      <c r="F46" s="266"/>
      <c r="G46" s="146"/>
      <c r="I46" s="1356">
        <f>4850439+782739+487822+476682+453048+990185</f>
        <v>8040915</v>
      </c>
      <c r="J46" s="560">
        <v>2</v>
      </c>
      <c r="K46" s="560" t="s">
        <v>852</v>
      </c>
      <c r="L46" s="560"/>
      <c r="M46" s="560"/>
      <c r="N46" s="560"/>
      <c r="O46" s="560"/>
      <c r="P46" s="560"/>
      <c r="Q46" s="419"/>
      <c r="S46" s="575"/>
      <c r="T46" s="575"/>
      <c r="U46" s="575"/>
      <c r="V46" s="575"/>
      <c r="W46" s="575"/>
      <c r="X46" s="575"/>
      <c r="Y46" s="575"/>
      <c r="Z46" s="575"/>
      <c r="AA46" s="575"/>
      <c r="AB46" s="575"/>
      <c r="AC46" s="575"/>
    </row>
    <row r="47" spans="1:29" ht="15.5">
      <c r="A47" s="248"/>
      <c r="B47" s="263"/>
      <c r="C47" s="212"/>
      <c r="D47" s="195"/>
      <c r="E47" s="277"/>
      <c r="F47" s="266"/>
      <c r="G47" s="146"/>
      <c r="H47" s="632"/>
      <c r="I47" s="560"/>
      <c r="J47" s="560">
        <v>3</v>
      </c>
      <c r="K47" s="560"/>
      <c r="L47" s="560"/>
      <c r="M47" s="560"/>
      <c r="N47" s="560"/>
      <c r="O47" s="560"/>
      <c r="P47" s="560"/>
      <c r="Q47" s="419"/>
      <c r="S47" s="575"/>
      <c r="T47" s="575"/>
      <c r="U47" s="575"/>
      <c r="V47" s="575"/>
      <c r="W47" s="575"/>
      <c r="X47" s="575"/>
      <c r="Y47" s="575"/>
      <c r="Z47" s="575"/>
      <c r="AA47" s="575"/>
      <c r="AB47" s="575"/>
      <c r="AC47" s="575"/>
    </row>
    <row r="48" spans="1:29" ht="15.5">
      <c r="A48" s="248"/>
      <c r="B48" s="263"/>
      <c r="C48" s="212"/>
      <c r="D48" s="195"/>
      <c r="E48" s="277"/>
      <c r="F48" s="266"/>
      <c r="G48" s="146"/>
      <c r="H48" s="632"/>
      <c r="I48" s="560"/>
      <c r="J48" s="560">
        <v>4</v>
      </c>
      <c r="K48" s="560"/>
      <c r="L48" s="560"/>
      <c r="M48" s="560"/>
      <c r="N48" s="560"/>
      <c r="O48" s="560"/>
      <c r="P48" s="560"/>
      <c r="Q48" s="419"/>
      <c r="S48" s="575"/>
      <c r="T48" s="575"/>
      <c r="U48" s="575"/>
      <c r="V48" s="575"/>
      <c r="W48" s="575"/>
      <c r="X48" s="575"/>
      <c r="Y48" s="575"/>
      <c r="Z48" s="575"/>
      <c r="AA48" s="575"/>
      <c r="AB48" s="575"/>
      <c r="AC48" s="575"/>
    </row>
    <row r="49" spans="1:29" ht="15.5">
      <c r="A49" s="248"/>
      <c r="B49" s="263"/>
      <c r="C49" s="212"/>
      <c r="D49" s="195"/>
      <c r="E49" s="277"/>
      <c r="F49" s="266"/>
      <c r="G49" s="146"/>
      <c r="H49" s="632"/>
      <c r="I49" s="632"/>
      <c r="J49" s="560">
        <v>5</v>
      </c>
      <c r="L49" s="560"/>
      <c r="M49" s="560"/>
      <c r="N49" s="560"/>
      <c r="O49" s="560"/>
      <c r="P49" s="560"/>
      <c r="Q49" s="419"/>
      <c r="S49" s="575"/>
      <c r="T49" s="575"/>
      <c r="U49" s="575"/>
      <c r="V49" s="575"/>
      <c r="W49" s="575"/>
      <c r="X49" s="575"/>
      <c r="Y49" s="575"/>
      <c r="Z49" s="575"/>
      <c r="AA49" s="575"/>
      <c r="AB49" s="575"/>
      <c r="AC49" s="575"/>
    </row>
    <row r="50" spans="1:29" ht="15.5">
      <c r="A50" s="248"/>
      <c r="B50" s="263"/>
      <c r="C50" s="212"/>
      <c r="D50" s="195"/>
      <c r="E50" s="277"/>
      <c r="F50" s="266"/>
      <c r="G50" s="146"/>
      <c r="H50" s="708"/>
      <c r="I50" s="708"/>
      <c r="J50" s="560">
        <v>6</v>
      </c>
      <c r="L50" s="560"/>
      <c r="M50" s="560"/>
      <c r="N50" s="560"/>
      <c r="O50" s="560"/>
      <c r="P50" s="560"/>
      <c r="Q50" s="419"/>
      <c r="S50" s="575"/>
      <c r="T50" s="575"/>
      <c r="U50" s="575"/>
      <c r="V50" s="575"/>
      <c r="W50" s="575"/>
      <c r="X50" s="575"/>
      <c r="Y50" s="575"/>
      <c r="Z50" s="575"/>
      <c r="AA50" s="575"/>
      <c r="AB50" s="575"/>
      <c r="AC50" s="575"/>
    </row>
    <row r="51" spans="1:29" ht="15.5">
      <c r="A51" s="248"/>
      <c r="B51" s="263"/>
      <c r="C51" s="212"/>
      <c r="D51" s="195"/>
      <c r="E51" s="277"/>
      <c r="F51" s="266"/>
      <c r="G51" s="146"/>
      <c r="H51" s="474">
        <f>SUM(H45:H50)</f>
        <v>1003037</v>
      </c>
      <c r="I51" s="474">
        <f>SUM(I46:I50)</f>
        <v>8040915</v>
      </c>
      <c r="J51" s="560"/>
      <c r="K51" s="575"/>
      <c r="L51" s="560"/>
      <c r="M51" s="560"/>
      <c r="N51" s="560"/>
      <c r="O51" s="560"/>
      <c r="P51" s="560"/>
      <c r="Q51" s="419"/>
      <c r="S51" s="575"/>
      <c r="T51" s="575"/>
      <c r="U51" s="575"/>
      <c r="V51" s="575"/>
      <c r="W51" s="575"/>
      <c r="X51" s="575"/>
      <c r="Y51" s="575"/>
      <c r="Z51" s="575"/>
      <c r="AA51" s="575"/>
      <c r="AB51" s="575"/>
      <c r="AC51" s="575"/>
    </row>
    <row r="52" spans="1:29" ht="13.5" thickBot="1">
      <c r="A52" s="661"/>
      <c r="B52" s="865"/>
      <c r="C52" s="865"/>
      <c r="D52" s="866"/>
      <c r="E52" s="865"/>
      <c r="F52" s="666"/>
      <c r="G52" s="330"/>
      <c r="H52" s="475"/>
      <c r="I52" s="330"/>
      <c r="J52" s="330"/>
      <c r="K52" s="330"/>
      <c r="L52" s="330"/>
      <c r="M52" s="330"/>
      <c r="N52" s="330"/>
      <c r="O52" s="330"/>
      <c r="P52" s="330"/>
      <c r="Q52" s="337"/>
      <c r="S52" s="575"/>
      <c r="T52" s="575"/>
      <c r="U52" s="575"/>
      <c r="V52" s="575"/>
      <c r="W52" s="575"/>
      <c r="X52" s="575"/>
      <c r="Y52" s="575"/>
      <c r="Z52" s="575"/>
      <c r="AA52" s="575"/>
      <c r="AB52" s="575"/>
      <c r="AC52" s="575"/>
    </row>
    <row r="53" spans="1:29" ht="20.5" thickBot="1">
      <c r="A53" s="477" t="s">
        <v>596</v>
      </c>
      <c r="G53" s="144"/>
      <c r="H53" s="144"/>
      <c r="I53" s="144"/>
      <c r="J53" s="144"/>
      <c r="K53" s="144"/>
      <c r="L53" s="144"/>
      <c r="M53" s="144"/>
      <c r="N53" s="144"/>
      <c r="O53" s="144"/>
      <c r="P53" s="144"/>
      <c r="Q53" s="476"/>
      <c r="S53" s="575"/>
      <c r="T53" s="575"/>
      <c r="U53" s="575"/>
      <c r="V53" s="575"/>
      <c r="W53" s="575"/>
      <c r="X53" s="575"/>
      <c r="Y53" s="575"/>
      <c r="Z53" s="575"/>
      <c r="AA53" s="575"/>
      <c r="AB53" s="575"/>
      <c r="AC53" s="575"/>
    </row>
    <row r="54" spans="1:29" ht="61.5" customHeight="1">
      <c r="A54" s="1523" t="s">
        <v>10</v>
      </c>
      <c r="B54" s="1524"/>
      <c r="C54" s="1524"/>
      <c r="D54" s="1524"/>
      <c r="E54" s="1524"/>
      <c r="F54" s="1525"/>
      <c r="G54" s="343" t="str">
        <f>+G41</f>
        <v>Form 1 Amount</v>
      </c>
      <c r="H54" s="716" t="s">
        <v>578</v>
      </c>
      <c r="I54" s="716" t="s">
        <v>503</v>
      </c>
      <c r="J54" s="1526" t="s">
        <v>425</v>
      </c>
      <c r="K54" s="1528"/>
      <c r="L54" s="1528"/>
      <c r="M54" s="1528"/>
      <c r="N54" s="1528"/>
      <c r="O54" s="1528"/>
      <c r="P54" s="1528"/>
      <c r="Q54" s="1565"/>
      <c r="S54" s="575"/>
      <c r="T54" s="575"/>
      <c r="U54" s="575"/>
      <c r="V54" s="575"/>
      <c r="W54" s="575"/>
      <c r="X54" s="575"/>
      <c r="Y54" s="575"/>
      <c r="Z54" s="575"/>
      <c r="AA54" s="575"/>
      <c r="AB54" s="575"/>
      <c r="AC54" s="575"/>
    </row>
    <row r="55" spans="1:29" ht="15.5">
      <c r="A55" s="241"/>
      <c r="B55" s="231" t="str">
        <f>+'Exh F - AA-BL Items'!B15</f>
        <v>Plant Allocation Factors</v>
      </c>
      <c r="C55" s="267"/>
      <c r="D55" s="221"/>
      <c r="E55" s="186"/>
      <c r="F55" s="242"/>
      <c r="G55" s="331"/>
      <c r="H55" s="146"/>
      <c r="I55" s="146"/>
      <c r="J55" s="1519"/>
      <c r="K55" s="1520"/>
      <c r="L55" s="1520"/>
      <c r="M55" s="1520"/>
      <c r="N55" s="1520"/>
      <c r="O55" s="1520"/>
      <c r="P55" s="1520"/>
      <c r="Q55" s="1560"/>
      <c r="S55" s="575"/>
      <c r="T55" s="575"/>
      <c r="U55" s="575"/>
      <c r="V55" s="575"/>
      <c r="W55" s="575"/>
      <c r="X55" s="575"/>
      <c r="Y55" s="575"/>
      <c r="Z55" s="575"/>
      <c r="AA55" s="575"/>
      <c r="AB55" s="575"/>
      <c r="AC55" s="575"/>
    </row>
    <row r="56" spans="1:29" ht="15.5">
      <c r="A56" s="248">
        <f>+'Exh F - AA-BL Items'!A16</f>
        <v>6</v>
      </c>
      <c r="B56" s="221"/>
      <c r="C56" s="212" t="str">
        <f>+'Exh F - AA-BL Items'!C16</f>
        <v>Electric Plant in Service</v>
      </c>
      <c r="D56" s="186"/>
      <c r="E56" s="277">
        <f>+'Exh F - AA-BL Items'!E16</f>
        <v>0</v>
      </c>
      <c r="F56" s="327" t="str">
        <f>+'Exh F - AA-BL Items'!F16</f>
        <v>Attachment 5</v>
      </c>
      <c r="G56" s="472"/>
      <c r="H56" s="374">
        <v>0</v>
      </c>
      <c r="I56" s="460">
        <v>0</v>
      </c>
      <c r="J56" s="1520" t="s">
        <v>37</v>
      </c>
      <c r="K56" s="1520"/>
      <c r="L56" s="1520"/>
      <c r="M56" s="1520"/>
      <c r="N56" s="1520"/>
      <c r="O56" s="1520"/>
      <c r="P56" s="1520"/>
      <c r="Q56" s="1560"/>
      <c r="S56" s="575"/>
      <c r="T56" s="575"/>
      <c r="U56" s="575"/>
      <c r="V56" s="575"/>
      <c r="W56" s="575"/>
      <c r="X56" s="575"/>
      <c r="Y56" s="575"/>
      <c r="Z56" s="575"/>
      <c r="AA56" s="575"/>
      <c r="AB56" s="575"/>
      <c r="AC56" s="575"/>
    </row>
    <row r="57" spans="1:29" ht="15.75" hidden="1" customHeight="1">
      <c r="A57" s="248">
        <f>+'Exh F - AA-BL Items'!A17</f>
        <v>7</v>
      </c>
      <c r="B57" s="221"/>
      <c r="C57" s="212" t="str">
        <f>+'Exh F - AA-BL Items'!C17</f>
        <v>Common Plant In Service - Electric</v>
      </c>
      <c r="D57" s="124"/>
      <c r="E57" s="277" t="str">
        <f>+'Exh F - AA-BL Items'!E17</f>
        <v>(Note A)</v>
      </c>
      <c r="F57" s="327" t="str">
        <f>+'Exh F - AA-BL Items'!F17</f>
        <v>(Line 24)</v>
      </c>
      <c r="G57" s="469">
        <v>467649847</v>
      </c>
      <c r="H57" s="374">
        <v>0</v>
      </c>
      <c r="I57" s="374">
        <v>0</v>
      </c>
      <c r="J57" s="1520" t="s">
        <v>36</v>
      </c>
      <c r="K57" s="1520"/>
      <c r="L57" s="1520"/>
      <c r="M57" s="1520"/>
      <c r="N57" s="1520"/>
      <c r="O57" s="1520"/>
      <c r="P57" s="1520"/>
      <c r="Q57" s="1560"/>
      <c r="S57" s="575"/>
      <c r="T57" s="575"/>
      <c r="U57" s="575"/>
      <c r="V57" s="575"/>
      <c r="W57" s="575"/>
      <c r="X57" s="575"/>
      <c r="Y57" s="575"/>
      <c r="Z57" s="575"/>
      <c r="AA57" s="575"/>
      <c r="AB57" s="575"/>
      <c r="AC57" s="575"/>
    </row>
    <row r="58" spans="1:29" ht="15.5">
      <c r="A58" s="241"/>
      <c r="B58" s="231" t="str">
        <f>+'Exh F - AA-BL Items'!B36</f>
        <v>Plant In Service</v>
      </c>
      <c r="C58" s="267"/>
      <c r="D58" s="124"/>
      <c r="E58" s="208"/>
      <c r="F58" s="249"/>
      <c r="G58" s="473"/>
      <c r="H58" s="146"/>
      <c r="I58" s="146"/>
      <c r="J58" s="1520"/>
      <c r="K58" s="1520"/>
      <c r="L58" s="1520"/>
      <c r="M58" s="1520"/>
      <c r="N58" s="1520"/>
      <c r="O58" s="1520"/>
      <c r="P58" s="1520"/>
      <c r="Q58" s="1560"/>
      <c r="S58" s="575"/>
      <c r="T58" s="575"/>
      <c r="U58" s="575"/>
      <c r="V58" s="575"/>
      <c r="W58" s="575"/>
      <c r="X58" s="575"/>
      <c r="Y58" s="575"/>
      <c r="Z58" s="575"/>
      <c r="AA58" s="575"/>
      <c r="AB58" s="575"/>
      <c r="AC58" s="575"/>
    </row>
    <row r="59" spans="1:29" ht="15.5">
      <c r="A59" s="248">
        <f>+'Exh F - AA-BL Items'!A37</f>
        <v>19</v>
      </c>
      <c r="B59" s="210"/>
      <c r="C59" s="212" t="str">
        <f>+'Exh F - AA-BL Items'!C37</f>
        <v>Transmission Plant In Service</v>
      </c>
      <c r="D59" s="186"/>
      <c r="E59" s="277">
        <f>+'Exh F - AA-BL Items'!E37</f>
        <v>0</v>
      </c>
      <c r="F59" s="327" t="str">
        <f>+'Exh F - AA-BL Items'!F37</f>
        <v>Attachment 5</v>
      </c>
      <c r="G59" s="472"/>
      <c r="H59" s="374">
        <v>0</v>
      </c>
      <c r="I59" s="374">
        <v>0</v>
      </c>
      <c r="J59" s="1520" t="s">
        <v>37</v>
      </c>
      <c r="K59" s="1520"/>
      <c r="L59" s="1520"/>
      <c r="M59" s="1520"/>
      <c r="N59" s="1520"/>
      <c r="O59" s="1520"/>
      <c r="P59" s="1520"/>
      <c r="Q59" s="1560"/>
      <c r="S59" s="575"/>
      <c r="T59" s="575"/>
      <c r="U59" s="575"/>
      <c r="V59" s="575"/>
      <c r="W59" s="575"/>
      <c r="X59" s="575"/>
      <c r="Y59" s="575"/>
      <c r="Z59" s="575"/>
      <c r="AA59" s="575"/>
      <c r="AB59" s="575"/>
      <c r="AC59" s="575"/>
    </row>
    <row r="60" spans="1:29" ht="15.75" hidden="1" customHeight="1">
      <c r="A60" s="248">
        <f>+'Exh F - AA-BL Items'!A38</f>
        <v>21</v>
      </c>
      <c r="B60" s="210"/>
      <c r="C60" s="212" t="str">
        <f>+'Exh F - AA-BL Items'!C38</f>
        <v>New Transmission Plant Additions for Current Calendar Year  (weighted by months in service)</v>
      </c>
      <c r="D60" s="186"/>
      <c r="E60" s="277" t="str">
        <f>+'Exh F - AA-BL Items'!E38</f>
        <v>Attachment 6</v>
      </c>
      <c r="F60" s="327"/>
      <c r="G60" s="375" t="s">
        <v>501</v>
      </c>
      <c r="H60" s="374" t="s">
        <v>501</v>
      </c>
      <c r="I60" s="374" t="s">
        <v>501</v>
      </c>
      <c r="J60" s="1520" t="s">
        <v>500</v>
      </c>
      <c r="K60" s="1520"/>
      <c r="L60" s="1520"/>
      <c r="M60" s="1520"/>
      <c r="N60" s="1520"/>
      <c r="O60" s="1520"/>
      <c r="P60" s="1520"/>
      <c r="Q60" s="1560"/>
      <c r="S60" s="575"/>
      <c r="T60" s="575"/>
      <c r="U60" s="575"/>
      <c r="V60" s="575"/>
      <c r="W60" s="575"/>
      <c r="X60" s="575"/>
      <c r="Y60" s="575"/>
      <c r="Z60" s="575"/>
      <c r="AA60" s="575"/>
      <c r="AB60" s="575"/>
      <c r="AC60" s="575"/>
    </row>
    <row r="61" spans="1:29" ht="15.75" customHeight="1">
      <c r="A61" s="241">
        <f>+'Exh F - AA-BL Items'!A40</f>
        <v>24</v>
      </c>
      <c r="B61" s="221"/>
      <c r="C61" s="267" t="str">
        <f>+'Exh F - AA-BL Items'!C40</f>
        <v>Common Plant (Electric Only)</v>
      </c>
      <c r="D61" s="186"/>
      <c r="E61" s="234" t="str">
        <f>+'Exh F - AA-BL Items'!E40</f>
        <v>(Notes A)</v>
      </c>
      <c r="F61" s="439" t="str">
        <f>+'Exh F - AA-BL Items'!F40</f>
        <v>Attachment 5</v>
      </c>
      <c r="G61" s="472"/>
      <c r="H61" s="374">
        <v>0</v>
      </c>
      <c r="I61" s="374">
        <v>0</v>
      </c>
      <c r="J61" s="1520" t="s">
        <v>79</v>
      </c>
      <c r="K61" s="1520"/>
      <c r="L61" s="1520"/>
      <c r="M61" s="1520"/>
      <c r="N61" s="1520"/>
      <c r="O61" s="1520"/>
      <c r="P61" s="1520"/>
      <c r="Q61" s="1560"/>
      <c r="S61" s="575"/>
      <c r="T61" s="575"/>
      <c r="U61" s="575"/>
      <c r="V61" s="575"/>
      <c r="W61" s="575"/>
      <c r="X61" s="575"/>
      <c r="Y61" s="575"/>
      <c r="Z61" s="575"/>
      <c r="AA61" s="575"/>
      <c r="AB61" s="575"/>
      <c r="AC61" s="575"/>
    </row>
    <row r="62" spans="1:29" ht="15.75" customHeight="1">
      <c r="A62" s="248"/>
      <c r="B62" s="231" t="s">
        <v>208</v>
      </c>
      <c r="C62" s="204"/>
      <c r="D62" s="205"/>
      <c r="E62" s="271"/>
      <c r="F62" s="238"/>
      <c r="G62" s="331"/>
      <c r="H62" s="146"/>
      <c r="I62" s="146"/>
      <c r="J62" s="146"/>
      <c r="K62" s="146"/>
      <c r="L62" s="146"/>
      <c r="M62" s="146"/>
      <c r="N62" s="146"/>
      <c r="O62" s="146"/>
      <c r="P62" s="146"/>
      <c r="Q62" s="329"/>
      <c r="S62" s="575"/>
      <c r="T62" s="575"/>
      <c r="U62" s="575"/>
      <c r="V62" s="575"/>
      <c r="W62" s="575"/>
      <c r="X62" s="575"/>
      <c r="Y62" s="575"/>
      <c r="Z62" s="575"/>
      <c r="AA62" s="575"/>
      <c r="AB62" s="575"/>
      <c r="AC62" s="575"/>
    </row>
    <row r="63" spans="1:29" ht="16.5" customHeight="1" thickBot="1">
      <c r="A63" s="301">
        <f>+'Exh F - AA-BL Items'!A52</f>
        <v>30</v>
      </c>
      <c r="B63" s="302"/>
      <c r="C63" s="313" t="str">
        <f>+'Exh F - AA-BL Items'!C52</f>
        <v>Transmission Accumulated Depreciation</v>
      </c>
      <c r="D63" s="558"/>
      <c r="E63" s="314">
        <f>+'Exh F - AA-BL Items'!E52</f>
        <v>0</v>
      </c>
      <c r="F63" s="328" t="str">
        <f>+'Exh F - AA-BL Items'!F52</f>
        <v>Attachment 5</v>
      </c>
      <c r="G63" s="471"/>
      <c r="H63" s="381">
        <v>0</v>
      </c>
      <c r="I63" s="381">
        <v>0</v>
      </c>
      <c r="J63" s="1522" t="s">
        <v>37</v>
      </c>
      <c r="K63" s="1522"/>
      <c r="L63" s="1522"/>
      <c r="M63" s="1522"/>
      <c r="N63" s="1522"/>
      <c r="O63" s="1522"/>
      <c r="P63" s="1522"/>
      <c r="Q63" s="1566"/>
      <c r="S63" s="575"/>
      <c r="T63" s="575"/>
      <c r="U63" s="575"/>
      <c r="V63" s="575"/>
      <c r="W63" s="575"/>
      <c r="X63" s="575"/>
      <c r="Y63" s="575"/>
      <c r="Z63" s="575"/>
      <c r="AA63" s="575"/>
      <c r="AB63" s="575"/>
      <c r="AC63" s="575"/>
    </row>
    <row r="64" spans="1:29" ht="12.75" customHeight="1">
      <c r="G64" s="144"/>
      <c r="H64" s="144"/>
      <c r="I64" s="144"/>
      <c r="J64" s="144"/>
      <c r="K64" s="144"/>
      <c r="L64" s="144"/>
      <c r="M64" s="144"/>
      <c r="N64" s="144"/>
      <c r="O64" s="144"/>
      <c r="P64" s="144"/>
      <c r="Q64" s="144"/>
      <c r="S64" s="575"/>
      <c r="T64" s="575"/>
      <c r="U64" s="575"/>
      <c r="V64" s="575"/>
      <c r="W64" s="575"/>
      <c r="X64" s="575"/>
      <c r="Y64" s="575"/>
      <c r="Z64" s="575"/>
      <c r="AA64" s="575"/>
      <c r="AB64" s="575"/>
      <c r="AC64" s="575"/>
    </row>
    <row r="65" spans="1:29" ht="22.5" customHeight="1" thickBot="1">
      <c r="A65" s="311" t="s">
        <v>293</v>
      </c>
      <c r="G65" s="144"/>
      <c r="H65" s="144"/>
      <c r="I65" s="144"/>
      <c r="J65" s="144"/>
      <c r="K65" s="144"/>
      <c r="L65" s="144"/>
      <c r="M65" s="144"/>
      <c r="N65" s="144"/>
      <c r="O65" s="144"/>
      <c r="P65" s="144"/>
      <c r="Q65" s="144"/>
      <c r="S65" s="575"/>
      <c r="T65" s="575"/>
      <c r="U65" s="575"/>
      <c r="V65" s="575"/>
      <c r="W65" s="575"/>
      <c r="X65" s="575"/>
      <c r="Y65" s="575"/>
      <c r="Z65" s="575"/>
      <c r="AA65" s="575"/>
      <c r="AB65" s="575"/>
      <c r="AC65" s="575"/>
    </row>
    <row r="66" spans="1:29" ht="27">
      <c r="A66" s="1523" t="s">
        <v>10</v>
      </c>
      <c r="B66" s="1524"/>
      <c r="C66" s="1524"/>
      <c r="D66" s="1524"/>
      <c r="E66" s="1524"/>
      <c r="F66" s="1525"/>
      <c r="G66" s="918" t="s">
        <v>498</v>
      </c>
      <c r="H66" s="918" t="s">
        <v>502</v>
      </c>
      <c r="I66" s="918" t="s">
        <v>577</v>
      </c>
      <c r="J66" s="1526" t="s">
        <v>425</v>
      </c>
      <c r="K66" s="1528"/>
      <c r="L66" s="1528"/>
      <c r="M66" s="1528"/>
      <c r="N66" s="1528"/>
      <c r="O66" s="1528"/>
      <c r="P66" s="1528"/>
      <c r="Q66" s="1565"/>
      <c r="S66" s="575"/>
      <c r="T66" s="575"/>
      <c r="U66" s="575"/>
      <c r="V66" s="575"/>
      <c r="W66" s="575"/>
      <c r="X66" s="575"/>
      <c r="Y66" s="575"/>
      <c r="Z66" s="575"/>
      <c r="AA66" s="575"/>
      <c r="AB66" s="575"/>
      <c r="AC66" s="575"/>
    </row>
    <row r="67" spans="1:29" ht="15.5">
      <c r="A67" s="248"/>
      <c r="B67" s="231"/>
      <c r="C67" s="195"/>
      <c r="D67" s="195"/>
      <c r="E67" s="247"/>
      <c r="F67" s="273"/>
      <c r="G67" s="146"/>
      <c r="H67" s="146"/>
      <c r="I67" s="146"/>
      <c r="J67" s="146"/>
      <c r="K67" s="146"/>
      <c r="L67" s="146"/>
      <c r="M67" s="146"/>
      <c r="N67" s="146"/>
      <c r="O67" s="146"/>
      <c r="P67" s="146"/>
      <c r="Q67" s="329"/>
      <c r="S67" s="575"/>
      <c r="T67" s="575"/>
      <c r="U67" s="575"/>
      <c r="V67" s="575"/>
      <c r="W67" s="575"/>
      <c r="X67" s="575"/>
      <c r="Y67" s="575"/>
      <c r="Z67" s="575"/>
      <c r="AA67" s="575"/>
      <c r="AB67" s="575"/>
      <c r="AC67" s="575"/>
    </row>
    <row r="68" spans="1:29" ht="12.75" customHeight="1">
      <c r="A68" s="248">
        <v>65</v>
      </c>
      <c r="B68" s="229"/>
      <c r="C68" s="206" t="s">
        <v>886</v>
      </c>
      <c r="D68" s="247"/>
      <c r="E68" s="277" t="s">
        <v>326</v>
      </c>
      <c r="F68" s="274" t="s">
        <v>887</v>
      </c>
      <c r="G68" s="1357">
        <v>15181104</v>
      </c>
      <c r="H68" s="402">
        <v>0</v>
      </c>
      <c r="I68" s="1357">
        <f>+G68-H68</f>
        <v>15181104</v>
      </c>
      <c r="J68" s="1567" t="s">
        <v>888</v>
      </c>
      <c r="K68" s="1567"/>
      <c r="L68" s="1567"/>
      <c r="M68" s="1567"/>
      <c r="N68" s="1567"/>
      <c r="O68" s="1567"/>
      <c r="P68" s="1567"/>
      <c r="Q68" s="1568"/>
      <c r="S68" s="575"/>
      <c r="T68" s="575"/>
      <c r="U68" s="575"/>
      <c r="V68" s="575"/>
      <c r="W68" s="575"/>
      <c r="X68" s="575"/>
      <c r="Y68" s="575"/>
      <c r="Z68" s="575"/>
      <c r="AA68" s="575"/>
      <c r="AB68" s="575"/>
      <c r="AC68" s="575"/>
    </row>
    <row r="69" spans="1:29" ht="12.75" customHeight="1">
      <c r="A69" s="248"/>
      <c r="B69" s="229"/>
      <c r="C69" s="206"/>
      <c r="D69" s="247"/>
      <c r="E69" s="277"/>
      <c r="F69" s="274"/>
      <c r="G69" s="1357"/>
      <c r="H69" s="402"/>
      <c r="I69" s="1357"/>
      <c r="J69" s="945"/>
      <c r="K69" s="945"/>
      <c r="L69" s="945"/>
      <c r="M69" s="945"/>
      <c r="N69" s="945"/>
      <c r="O69" s="945"/>
      <c r="P69" s="945"/>
      <c r="Q69" s="946"/>
      <c r="S69" s="575"/>
      <c r="T69" s="575"/>
      <c r="U69" s="575"/>
      <c r="V69" s="575"/>
      <c r="W69" s="575"/>
      <c r="X69" s="575"/>
      <c r="Y69" s="575"/>
      <c r="Z69" s="575"/>
      <c r="AA69" s="575"/>
      <c r="AB69" s="575"/>
      <c r="AC69" s="575"/>
    </row>
    <row r="70" spans="1:29" ht="12.75" customHeight="1">
      <c r="A70" s="44">
        <v>60</v>
      </c>
      <c r="B70" s="8"/>
      <c r="C70" s="206" t="s">
        <v>293</v>
      </c>
      <c r="D70" s="195"/>
      <c r="E70" s="203"/>
      <c r="F70" s="245" t="s">
        <v>176</v>
      </c>
      <c r="G70" s="1357">
        <v>49190464</v>
      </c>
      <c r="H70" s="1357">
        <f>+G70-I70</f>
        <v>48980262.200000003</v>
      </c>
      <c r="I70" s="1357">
        <v>210201.8</v>
      </c>
      <c r="J70" s="1567" t="s">
        <v>900</v>
      </c>
      <c r="K70" s="1567"/>
      <c r="L70" s="1567"/>
      <c r="M70" s="1567"/>
      <c r="N70" s="1567"/>
      <c r="O70" s="1567"/>
      <c r="P70" s="1567"/>
      <c r="Q70" s="1568"/>
      <c r="S70" s="575"/>
      <c r="T70" s="575"/>
      <c r="U70" s="575"/>
      <c r="V70" s="575"/>
      <c r="W70" s="575"/>
      <c r="X70" s="575"/>
      <c r="Y70" s="575"/>
      <c r="Z70" s="575"/>
      <c r="AA70" s="575"/>
      <c r="AB70" s="575"/>
      <c r="AC70" s="575"/>
    </row>
    <row r="71" spans="1:29" ht="12.75" customHeight="1" thickBot="1">
      <c r="A71" s="301"/>
      <c r="B71" s="312"/>
      <c r="C71" s="313"/>
      <c r="D71" s="317"/>
      <c r="E71" s="309"/>
      <c r="F71" s="315"/>
      <c r="G71" s="478"/>
      <c r="H71" s="463"/>
      <c r="I71" s="461"/>
      <c r="J71" s="1522"/>
      <c r="K71" s="1522"/>
      <c r="L71" s="1522"/>
      <c r="M71" s="1522"/>
      <c r="N71" s="1522"/>
      <c r="O71" s="1522"/>
      <c r="P71" s="1522"/>
      <c r="Q71" s="1566"/>
      <c r="S71" s="575"/>
      <c r="T71" s="575"/>
      <c r="U71" s="575"/>
      <c r="V71" s="575"/>
      <c r="W71" s="575"/>
      <c r="X71" s="575"/>
      <c r="Y71" s="575"/>
      <c r="Z71" s="575"/>
      <c r="AA71" s="575"/>
      <c r="AB71" s="575"/>
      <c r="AC71" s="575"/>
    </row>
    <row r="72" spans="1:29" ht="12.75" customHeight="1">
      <c r="G72" s="144"/>
      <c r="H72" s="144"/>
      <c r="I72" s="144"/>
      <c r="J72" s="144"/>
      <c r="K72" s="144"/>
      <c r="L72" s="144"/>
      <c r="M72" s="144"/>
      <c r="N72" s="144"/>
      <c r="O72" s="144"/>
      <c r="P72" s="144"/>
      <c r="Q72" s="144"/>
      <c r="S72" s="575"/>
      <c r="T72" s="575"/>
      <c r="U72" s="575"/>
      <c r="V72" s="575"/>
      <c r="W72" s="575"/>
      <c r="X72" s="575"/>
      <c r="Y72" s="575"/>
      <c r="Z72" s="575"/>
      <c r="AA72" s="575"/>
      <c r="AB72" s="575"/>
      <c r="AC72" s="575"/>
    </row>
    <row r="73" spans="1:29" ht="12.75" customHeight="1">
      <c r="G73" s="144"/>
      <c r="H73" s="144"/>
      <c r="I73" s="144"/>
      <c r="J73" s="144"/>
      <c r="K73" s="144"/>
      <c r="L73" s="144"/>
      <c r="M73" s="144"/>
      <c r="N73" s="144"/>
      <c r="O73" s="144"/>
      <c r="P73" s="144"/>
      <c r="Q73" s="144"/>
      <c r="S73" s="575"/>
      <c r="T73" s="575"/>
      <c r="U73" s="575"/>
      <c r="V73" s="575"/>
      <c r="W73" s="575"/>
      <c r="X73" s="575"/>
      <c r="Y73" s="575"/>
      <c r="Z73" s="575"/>
      <c r="AA73" s="575"/>
      <c r="AB73" s="575"/>
      <c r="AC73" s="575"/>
    </row>
    <row r="74" spans="1:29" ht="12.75" customHeight="1">
      <c r="G74" s="144"/>
      <c r="H74" s="144"/>
      <c r="I74" s="144"/>
      <c r="J74" s="144"/>
      <c r="K74" s="144"/>
      <c r="L74" s="144"/>
      <c r="M74" s="144"/>
      <c r="N74" s="144"/>
      <c r="O74" s="144"/>
      <c r="P74" s="144"/>
      <c r="Q74" s="144"/>
      <c r="S74" s="575"/>
      <c r="T74" s="575"/>
      <c r="U74" s="575"/>
      <c r="V74" s="575"/>
      <c r="W74" s="575"/>
      <c r="X74" s="575"/>
      <c r="Y74" s="575"/>
      <c r="Z74" s="575"/>
      <c r="AA74" s="575"/>
      <c r="AB74" s="575"/>
      <c r="AC74" s="575"/>
    </row>
    <row r="75" spans="1:29" ht="12.75" customHeight="1">
      <c r="G75" s="144"/>
      <c r="H75" s="144"/>
      <c r="I75" s="144"/>
      <c r="J75" s="144"/>
      <c r="K75" s="144"/>
      <c r="L75" s="144"/>
      <c r="M75" s="144"/>
      <c r="N75" s="144"/>
      <c r="O75" s="144"/>
      <c r="P75" s="144"/>
      <c r="Q75" s="144"/>
      <c r="S75" s="575"/>
      <c r="T75" s="575"/>
      <c r="U75" s="575"/>
      <c r="V75" s="575"/>
      <c r="W75" s="575"/>
      <c r="X75" s="575"/>
      <c r="Y75" s="575"/>
      <c r="Z75" s="575"/>
      <c r="AA75" s="575"/>
      <c r="AB75" s="575"/>
      <c r="AC75" s="575"/>
    </row>
    <row r="76" spans="1:29" ht="21.25" customHeight="1" thickBot="1">
      <c r="A76" s="311" t="s">
        <v>586</v>
      </c>
      <c r="G76" s="144"/>
      <c r="H76" s="144"/>
      <c r="I76" s="144"/>
      <c r="J76" s="144"/>
      <c r="K76" s="144"/>
      <c r="L76" s="144"/>
      <c r="M76" s="144"/>
      <c r="N76" s="144"/>
      <c r="O76" s="144"/>
      <c r="P76" s="144"/>
      <c r="Q76" s="144"/>
      <c r="S76" s="575"/>
      <c r="T76" s="575"/>
      <c r="U76" s="575"/>
      <c r="V76" s="575"/>
      <c r="W76" s="575"/>
      <c r="X76" s="575"/>
      <c r="Y76" s="575"/>
      <c r="Z76" s="575"/>
      <c r="AA76" s="575"/>
      <c r="AB76" s="575"/>
      <c r="AC76" s="575"/>
    </row>
    <row r="77" spans="1:29" ht="18" customHeight="1">
      <c r="A77" s="1523" t="s">
        <v>10</v>
      </c>
      <c r="B77" s="1524"/>
      <c r="C77" s="1524"/>
      <c r="D77" s="1524"/>
      <c r="E77" s="1524"/>
      <c r="F77" s="1525"/>
      <c r="G77" s="716" t="str">
        <f>+G54</f>
        <v>Form 1 Amount</v>
      </c>
      <c r="H77" s="716" t="s">
        <v>484</v>
      </c>
      <c r="I77" s="716"/>
      <c r="J77" s="1526" t="s">
        <v>425</v>
      </c>
      <c r="K77" s="1528"/>
      <c r="L77" s="1528"/>
      <c r="M77" s="1528"/>
      <c r="N77" s="1528"/>
      <c r="O77" s="1528"/>
      <c r="P77" s="1528"/>
      <c r="Q77" s="1565"/>
      <c r="S77" s="575"/>
      <c r="T77" s="575"/>
      <c r="U77" s="575"/>
      <c r="V77" s="575"/>
      <c r="W77" s="575"/>
      <c r="X77" s="575"/>
      <c r="Y77" s="575"/>
      <c r="Z77" s="575"/>
      <c r="AA77" s="575"/>
      <c r="AB77" s="575"/>
      <c r="AC77" s="575"/>
    </row>
    <row r="78" spans="1:29" ht="15.75" customHeight="1">
      <c r="A78" s="248"/>
      <c r="B78" s="231" t="s">
        <v>193</v>
      </c>
      <c r="C78" s="195"/>
      <c r="D78" s="195"/>
      <c r="E78" s="247"/>
      <c r="F78" s="273"/>
      <c r="G78" s="146"/>
      <c r="H78" s="146"/>
      <c r="I78" s="146"/>
      <c r="J78" s="1519"/>
      <c r="K78" s="1520"/>
      <c r="L78" s="1520"/>
      <c r="M78" s="1520"/>
      <c r="N78" s="1520"/>
      <c r="O78" s="1520"/>
      <c r="P78" s="1520"/>
      <c r="Q78" s="1560"/>
      <c r="S78" s="575"/>
      <c r="T78" s="575"/>
      <c r="U78" s="575"/>
      <c r="V78" s="575"/>
      <c r="W78" s="575"/>
      <c r="X78" s="575"/>
      <c r="Y78" s="575"/>
      <c r="Z78" s="575"/>
      <c r="AA78" s="575"/>
      <c r="AB78" s="575"/>
      <c r="AC78" s="575"/>
    </row>
    <row r="79" spans="1:29" ht="16.5" customHeight="1" thickBot="1">
      <c r="A79" s="301">
        <v>72</v>
      </c>
      <c r="B79" s="306"/>
      <c r="C79" s="307" t="str">
        <f>'Exh F - AA-BL Items'!C116</f>
        <v xml:space="preserve">    Less EPRI Dues</v>
      </c>
      <c r="D79" s="558"/>
      <c r="E79" s="320" t="str">
        <f>'Exh F - AA-BL Items'!E116</f>
        <v>(Note D)</v>
      </c>
      <c r="F79" s="318" t="str">
        <f>'Exh F - AA-BL Items'!F116</f>
        <v>p352-353</v>
      </c>
      <c r="G79" s="471">
        <v>0</v>
      </c>
      <c r="H79" s="463">
        <f>+G79</f>
        <v>0</v>
      </c>
      <c r="I79" s="381"/>
      <c r="J79" s="1522" t="s">
        <v>38</v>
      </c>
      <c r="K79" s="1522"/>
      <c r="L79" s="1522"/>
      <c r="M79" s="1522"/>
      <c r="N79" s="1522"/>
      <c r="O79" s="1522"/>
      <c r="P79" s="1522"/>
      <c r="Q79" s="1566"/>
      <c r="S79" s="575"/>
      <c r="T79" s="575"/>
      <c r="U79" s="575"/>
      <c r="V79" s="575"/>
      <c r="W79" s="575"/>
      <c r="X79" s="575"/>
      <c r="Y79" s="575"/>
      <c r="Z79" s="575"/>
      <c r="AA79" s="575"/>
      <c r="AB79" s="575"/>
      <c r="AC79" s="575"/>
    </row>
    <row r="80" spans="1:29" ht="20.149999999999999" customHeight="1">
      <c r="A80" s="367"/>
      <c r="B80" s="210"/>
      <c r="D80" s="124"/>
      <c r="E80" s="125"/>
      <c r="F80" s="126"/>
      <c r="H80" s="144"/>
      <c r="I80" s="144"/>
      <c r="J80" s="144"/>
      <c r="K80" s="144"/>
      <c r="L80" s="144"/>
      <c r="M80" s="144"/>
      <c r="N80" s="144"/>
      <c r="O80" s="144"/>
      <c r="P80" s="144"/>
      <c r="Q80" s="451"/>
      <c r="S80" s="575"/>
      <c r="T80" s="575"/>
      <c r="U80" s="575"/>
      <c r="V80" s="575"/>
      <c r="W80" s="575"/>
      <c r="X80" s="575"/>
      <c r="Y80" s="575"/>
      <c r="Z80" s="575"/>
      <c r="AA80" s="575"/>
      <c r="AB80" s="575"/>
      <c r="AC80" s="575"/>
    </row>
    <row r="81" spans="1:29" ht="21.25" customHeight="1" thickBot="1">
      <c r="A81" s="311" t="s">
        <v>245</v>
      </c>
      <c r="G81" s="144"/>
      <c r="H81" s="144"/>
      <c r="I81" s="144"/>
      <c r="J81" s="144"/>
      <c r="K81" s="144"/>
      <c r="L81" s="144"/>
      <c r="M81" s="144"/>
      <c r="N81" s="144"/>
      <c r="O81" s="144"/>
      <c r="P81" s="144"/>
      <c r="Q81" s="144"/>
      <c r="S81" s="575"/>
      <c r="T81" s="575"/>
      <c r="U81" s="575"/>
      <c r="V81" s="575"/>
      <c r="W81" s="575"/>
      <c r="X81" s="575"/>
      <c r="Y81" s="575"/>
      <c r="Z81" s="575"/>
      <c r="AA81" s="575"/>
      <c r="AB81" s="575"/>
      <c r="AC81" s="575"/>
    </row>
    <row r="82" spans="1:29" ht="30.25" customHeight="1">
      <c r="A82" s="1523" t="s">
        <v>10</v>
      </c>
      <c r="B82" s="1524"/>
      <c r="C82" s="1524"/>
      <c r="D82" s="1524"/>
      <c r="E82" s="1524"/>
      <c r="F82" s="1525"/>
      <c r="G82" s="716" t="str">
        <f>+G77</f>
        <v>Form 1 Amount</v>
      </c>
      <c r="H82" s="716" t="s">
        <v>246</v>
      </c>
      <c r="I82" s="716" t="s">
        <v>247</v>
      </c>
      <c r="J82" s="1526" t="s">
        <v>425</v>
      </c>
      <c r="K82" s="1528"/>
      <c r="L82" s="1528"/>
      <c r="M82" s="1528"/>
      <c r="N82" s="1528"/>
      <c r="O82" s="1528"/>
      <c r="P82" s="1528"/>
      <c r="Q82" s="1565"/>
      <c r="S82" s="575"/>
      <c r="T82" s="575"/>
      <c r="U82" s="575"/>
      <c r="V82" s="575"/>
      <c r="W82" s="575"/>
      <c r="X82" s="575"/>
      <c r="Y82" s="575"/>
      <c r="Z82" s="575"/>
      <c r="AA82" s="575"/>
      <c r="AB82" s="575"/>
      <c r="AC82" s="575"/>
    </row>
    <row r="83" spans="1:29" ht="15.75" customHeight="1">
      <c r="A83" s="248"/>
      <c r="B83" s="231" t="s">
        <v>193</v>
      </c>
      <c r="C83" s="195"/>
      <c r="D83" s="195"/>
      <c r="E83" s="247"/>
      <c r="F83" s="273"/>
      <c r="G83" s="146"/>
      <c r="H83" s="146"/>
      <c r="I83" s="146"/>
      <c r="J83" s="1519"/>
      <c r="K83" s="1520"/>
      <c r="L83" s="1520"/>
      <c r="M83" s="1520"/>
      <c r="N83" s="1520"/>
      <c r="O83" s="1520"/>
      <c r="P83" s="1520"/>
      <c r="Q83" s="1560"/>
      <c r="S83" s="575"/>
      <c r="T83" s="575"/>
      <c r="U83" s="1571"/>
      <c r="V83" s="575"/>
      <c r="W83" s="575"/>
      <c r="X83" s="575"/>
      <c r="Y83" s="575"/>
      <c r="Z83" s="575"/>
      <c r="AA83" s="575"/>
      <c r="AB83" s="575"/>
      <c r="AC83" s="575"/>
    </row>
    <row r="84" spans="1:29" ht="31.75" customHeight="1" thickBot="1">
      <c r="A84" s="301">
        <v>68</v>
      </c>
      <c r="B84" s="306"/>
      <c r="C84" s="307" t="str">
        <f>+'ATT H-2A'!C132</f>
        <v>Total A&amp;G</v>
      </c>
      <c r="D84" s="558"/>
      <c r="E84" s="320">
        <f>+'ATT H-2A'!E132</f>
        <v>0</v>
      </c>
      <c r="F84" s="318" t="s">
        <v>826</v>
      </c>
      <c r="G84" s="635">
        <v>210755463</v>
      </c>
      <c r="H84" s="636">
        <f>863120.02+689395.06+398441.27</f>
        <v>1950956.35</v>
      </c>
      <c r="I84" s="1471">
        <f>+G84-H84</f>
        <v>208804506.65000001</v>
      </c>
      <c r="J84" s="1573" t="s">
        <v>1305</v>
      </c>
      <c r="K84" s="1573"/>
      <c r="L84" s="1573"/>
      <c r="M84" s="1573"/>
      <c r="N84" s="1573"/>
      <c r="O84" s="1573"/>
      <c r="P84" s="1573"/>
      <c r="Q84" s="1574"/>
      <c r="S84" s="706"/>
      <c r="T84" s="706"/>
      <c r="U84" s="1572"/>
      <c r="V84" s="575"/>
      <c r="W84" s="575"/>
      <c r="X84" s="575"/>
      <c r="Y84" s="575"/>
      <c r="Z84" s="575"/>
      <c r="AA84" s="575"/>
      <c r="AB84" s="575"/>
      <c r="AC84" s="575"/>
    </row>
    <row r="85" spans="1:29" ht="13">
      <c r="G85" s="144"/>
      <c r="H85" s="144"/>
      <c r="I85" s="144"/>
      <c r="J85" s="144"/>
      <c r="K85" s="144"/>
      <c r="L85" s="144"/>
      <c r="M85" s="144"/>
      <c r="N85" s="144"/>
      <c r="O85" s="144"/>
      <c r="P85" s="144"/>
      <c r="Q85" s="144"/>
      <c r="S85" s="575"/>
      <c r="T85" s="575"/>
      <c r="U85" s="1572"/>
      <c r="V85" s="575"/>
      <c r="W85" s="575"/>
      <c r="X85" s="575"/>
      <c r="Y85" s="575"/>
      <c r="Z85" s="575"/>
      <c r="AA85" s="575"/>
      <c r="AB85" s="575"/>
      <c r="AC85" s="575"/>
    </row>
    <row r="86" spans="1:29" ht="20.5" thickBot="1">
      <c r="A86" s="311" t="s">
        <v>587</v>
      </c>
      <c r="G86" s="144"/>
      <c r="H86" s="144"/>
      <c r="I86" s="144"/>
      <c r="J86" s="144"/>
      <c r="K86" s="144"/>
      <c r="L86" s="144"/>
      <c r="M86" s="144"/>
      <c r="N86" s="144"/>
      <c r="O86" s="144"/>
      <c r="P86" s="144"/>
      <c r="Q86" s="144"/>
      <c r="S86" s="575"/>
      <c r="T86" s="575"/>
      <c r="U86" s="1572"/>
      <c r="V86" s="575"/>
      <c r="W86" s="575"/>
      <c r="X86" s="575"/>
      <c r="Y86" s="575"/>
      <c r="Z86" s="575"/>
      <c r="AA86" s="575"/>
      <c r="AB86" s="575"/>
      <c r="AC86" s="575"/>
    </row>
    <row r="87" spans="1:29" ht="27">
      <c r="A87" s="1523" t="s">
        <v>10</v>
      </c>
      <c r="B87" s="1524"/>
      <c r="C87" s="1524"/>
      <c r="D87" s="1524"/>
      <c r="E87" s="1524"/>
      <c r="F87" s="1525"/>
      <c r="G87" s="716" t="s">
        <v>498</v>
      </c>
      <c r="H87" s="716" t="s">
        <v>502</v>
      </c>
      <c r="I87" s="716" t="s">
        <v>577</v>
      </c>
      <c r="J87" s="1526" t="s">
        <v>425</v>
      </c>
      <c r="K87" s="1528"/>
      <c r="L87" s="1528"/>
      <c r="M87" s="1528"/>
      <c r="N87" s="1528"/>
      <c r="O87" s="1528"/>
      <c r="P87" s="1528"/>
      <c r="Q87" s="1565"/>
      <c r="S87" s="575"/>
      <c r="T87" s="575"/>
      <c r="U87" s="1572"/>
      <c r="V87" s="575"/>
      <c r="W87" s="575"/>
      <c r="X87" s="575"/>
      <c r="Y87" s="575"/>
      <c r="Z87" s="575"/>
      <c r="AA87" s="575"/>
      <c r="AB87" s="575"/>
      <c r="AC87" s="575"/>
    </row>
    <row r="88" spans="1:29" ht="15.5">
      <c r="A88" s="248"/>
      <c r="B88" s="231" t="str">
        <f>'Exh F - AA-BL Items'!B110</f>
        <v>Allocated General &amp; Common Expenses</v>
      </c>
      <c r="C88" s="195"/>
      <c r="D88" s="195"/>
      <c r="E88" s="247"/>
      <c r="F88" s="273"/>
      <c r="G88" s="146"/>
      <c r="H88" s="146"/>
      <c r="I88" s="146"/>
      <c r="J88" s="146"/>
      <c r="K88" s="146"/>
      <c r="L88" s="146"/>
      <c r="M88" s="146"/>
      <c r="N88" s="146"/>
      <c r="O88" s="146"/>
      <c r="P88" s="146"/>
      <c r="Q88" s="329"/>
      <c r="S88" s="575"/>
      <c r="T88" s="575"/>
      <c r="U88" s="1572"/>
      <c r="V88" s="575"/>
      <c r="W88" s="575"/>
      <c r="X88" s="575"/>
      <c r="Y88" s="575"/>
      <c r="Z88" s="575"/>
      <c r="AA88" s="575"/>
      <c r="AB88" s="575"/>
      <c r="AC88" s="575"/>
    </row>
    <row r="89" spans="1:29" ht="15.5">
      <c r="A89" s="248">
        <v>70</v>
      </c>
      <c r="B89" s="229"/>
      <c r="C89" s="206" t="str">
        <f>'Exh F - AA-BL Items'!C114</f>
        <v xml:space="preserve">    Less Regulatory Commission Exp Account 928</v>
      </c>
      <c r="D89" s="247"/>
      <c r="E89" s="277" t="str">
        <f>'Exh F - AA-BL Items'!E114</f>
        <v>(Note E)</v>
      </c>
      <c r="F89" s="274" t="str">
        <f>'Exh F - AA-BL Items'!F114</f>
        <v>p323.189.b</v>
      </c>
      <c r="G89" s="1357">
        <v>106729</v>
      </c>
      <c r="H89" s="364"/>
      <c r="I89" s="364"/>
      <c r="J89" s="365"/>
      <c r="K89" s="365"/>
      <c r="L89" s="365"/>
      <c r="M89" s="365"/>
      <c r="N89" s="365"/>
      <c r="O89" s="365"/>
      <c r="P89" s="365"/>
      <c r="Q89" s="366"/>
      <c r="S89" s="575"/>
      <c r="T89" s="575"/>
      <c r="U89" s="1572"/>
      <c r="V89" s="575"/>
      <c r="W89" s="575"/>
      <c r="X89" s="575"/>
      <c r="Y89" s="575"/>
      <c r="Z89" s="575"/>
      <c r="AA89" s="575"/>
      <c r="AB89" s="575"/>
      <c r="AC89" s="575"/>
    </row>
    <row r="90" spans="1:29" ht="15.5">
      <c r="A90" s="248"/>
      <c r="B90" s="231" t="str">
        <f>'Exh F - AA-BL Items'!B121</f>
        <v>Directly Assigned A&amp;G</v>
      </c>
      <c r="C90" s="185"/>
      <c r="D90" s="195"/>
      <c r="E90" s="203"/>
      <c r="F90" s="245"/>
      <c r="G90" s="181"/>
      <c r="H90" s="181"/>
      <c r="I90" s="181"/>
      <c r="J90" s="146"/>
      <c r="K90" s="146"/>
      <c r="L90" s="146"/>
      <c r="M90" s="146"/>
      <c r="N90" s="146"/>
      <c r="O90" s="146"/>
      <c r="P90" s="146"/>
      <c r="Q90" s="329"/>
      <c r="S90" s="575"/>
      <c r="T90" s="575"/>
      <c r="U90" s="1572"/>
      <c r="V90" s="575"/>
      <c r="W90" s="575"/>
      <c r="X90" s="575"/>
      <c r="Y90" s="575"/>
      <c r="Z90" s="575"/>
      <c r="AA90" s="575"/>
      <c r="AB90" s="575"/>
      <c r="AC90" s="575"/>
    </row>
    <row r="91" spans="1:29" ht="16.5" customHeight="1" thickBot="1">
      <c r="A91" s="301">
        <v>76</v>
      </c>
      <c r="B91" s="312"/>
      <c r="C91" s="313" t="str">
        <f>'Exh F - AA-BL Items'!C122</f>
        <v>Regulatory Commission Exp Account 928</v>
      </c>
      <c r="D91" s="317"/>
      <c r="E91" s="309" t="str">
        <f>'Exh F - AA-BL Items'!E122</f>
        <v>(Note G)</v>
      </c>
      <c r="F91" s="315" t="str">
        <f>'Exh F - AA-BL Items'!F122</f>
        <v>p323.189b</v>
      </c>
      <c r="G91" s="478"/>
      <c r="H91" s="463">
        <v>13382.5</v>
      </c>
      <c r="I91" s="461">
        <f>+G89-H91</f>
        <v>93346.5</v>
      </c>
      <c r="J91" s="1522" t="s">
        <v>1250</v>
      </c>
      <c r="K91" s="1522"/>
      <c r="L91" s="1522"/>
      <c r="M91" s="1522"/>
      <c r="N91" s="1522"/>
      <c r="O91" s="1522"/>
      <c r="P91" s="1522"/>
      <c r="Q91" s="1566"/>
      <c r="S91" s="575"/>
      <c r="T91" s="575"/>
      <c r="U91" s="1572"/>
      <c r="V91" s="575"/>
      <c r="W91" s="575"/>
      <c r="X91" s="575"/>
      <c r="Y91" s="575"/>
      <c r="Z91" s="575"/>
      <c r="AA91" s="575"/>
      <c r="AB91" s="575"/>
      <c r="AC91" s="575"/>
    </row>
    <row r="92" spans="1:29" ht="13">
      <c r="G92" s="144"/>
      <c r="H92" s="144"/>
      <c r="I92" s="144"/>
      <c r="J92" s="144"/>
      <c r="K92" s="144"/>
      <c r="L92" s="144"/>
      <c r="M92" s="144"/>
      <c r="N92" s="144"/>
      <c r="O92" s="144"/>
      <c r="P92" s="144"/>
      <c r="Q92" s="144"/>
      <c r="S92" s="575"/>
      <c r="T92" s="575"/>
      <c r="U92" s="1572"/>
      <c r="V92" s="575"/>
      <c r="W92" s="575"/>
      <c r="X92" s="575"/>
      <c r="Y92" s="575"/>
      <c r="Z92" s="575"/>
      <c r="AA92" s="575"/>
      <c r="AB92" s="575"/>
      <c r="AC92" s="575"/>
    </row>
    <row r="93" spans="1:29" ht="13">
      <c r="G93" s="144"/>
      <c r="H93" s="144"/>
      <c r="I93" s="144"/>
      <c r="J93" s="144"/>
      <c r="K93" s="144"/>
      <c r="L93" s="144"/>
      <c r="M93" s="144"/>
      <c r="N93" s="144"/>
      <c r="O93" s="144"/>
      <c r="P93" s="144"/>
      <c r="Q93" s="144"/>
      <c r="S93" s="575"/>
      <c r="T93" s="575"/>
      <c r="U93" s="1572"/>
      <c r="V93" s="575"/>
      <c r="W93" s="575"/>
      <c r="X93" s="575"/>
      <c r="Y93" s="575"/>
      <c r="Z93" s="575"/>
      <c r="AA93" s="575"/>
      <c r="AB93" s="575"/>
      <c r="AC93" s="575"/>
    </row>
    <row r="94" spans="1:29" ht="20.5" thickBot="1">
      <c r="A94" s="311" t="s">
        <v>588</v>
      </c>
      <c r="G94" s="144"/>
      <c r="H94" s="144"/>
      <c r="I94" s="144"/>
      <c r="J94" s="144"/>
      <c r="K94" s="144"/>
      <c r="L94" s="144"/>
      <c r="M94" s="144"/>
      <c r="N94" s="144"/>
      <c r="O94" s="144"/>
      <c r="P94" s="144"/>
      <c r="Q94" s="144"/>
      <c r="S94" s="575"/>
      <c r="T94" s="575"/>
      <c r="U94" s="1572"/>
      <c r="V94" s="575"/>
      <c r="W94" s="575"/>
      <c r="X94" s="575"/>
      <c r="Y94" s="575"/>
      <c r="Z94" s="575"/>
      <c r="AA94" s="575"/>
      <c r="AB94" s="575"/>
      <c r="AC94" s="575"/>
    </row>
    <row r="95" spans="1:29" ht="18">
      <c r="A95" s="1523" t="s">
        <v>10</v>
      </c>
      <c r="B95" s="1524"/>
      <c r="C95" s="1524"/>
      <c r="D95" s="1524"/>
      <c r="E95" s="1524"/>
      <c r="F95" s="1525"/>
      <c r="G95" s="343" t="s">
        <v>498</v>
      </c>
      <c r="H95" s="716" t="s">
        <v>504</v>
      </c>
      <c r="I95" s="716" t="s">
        <v>579</v>
      </c>
      <c r="J95" s="1526" t="s">
        <v>425</v>
      </c>
      <c r="K95" s="1528"/>
      <c r="L95" s="1528"/>
      <c r="M95" s="1528"/>
      <c r="N95" s="1528"/>
      <c r="O95" s="1528"/>
      <c r="P95" s="1528"/>
      <c r="Q95" s="1565"/>
      <c r="S95" s="575"/>
      <c r="T95" s="575"/>
      <c r="U95" s="1572"/>
      <c r="V95" s="575"/>
      <c r="W95" s="575"/>
      <c r="X95" s="575"/>
      <c r="Y95" s="575"/>
      <c r="Z95" s="575"/>
      <c r="AA95" s="575"/>
      <c r="AB95" s="575"/>
      <c r="AC95" s="575"/>
    </row>
    <row r="96" spans="1:29" ht="15.5">
      <c r="A96" s="248"/>
      <c r="B96" s="231" t="str">
        <f>'Exh F - AA-BL Items'!B121</f>
        <v>Directly Assigned A&amp;G</v>
      </c>
      <c r="C96" s="185"/>
      <c r="D96" s="195"/>
      <c r="E96" s="203"/>
      <c r="F96" s="245"/>
      <c r="G96" s="146"/>
      <c r="H96" s="146"/>
      <c r="I96" s="146"/>
      <c r="J96" s="146"/>
      <c r="K96" s="146"/>
      <c r="L96" s="146"/>
      <c r="M96" s="146"/>
      <c r="N96" s="146"/>
      <c r="O96" s="146"/>
      <c r="P96" s="146"/>
      <c r="Q96" s="329"/>
      <c r="S96" s="575"/>
      <c r="T96" s="575"/>
      <c r="U96" s="1572"/>
      <c r="V96" s="575"/>
      <c r="W96" s="575"/>
      <c r="X96" s="575"/>
      <c r="Y96" s="575"/>
      <c r="Z96" s="575"/>
      <c r="AA96" s="575"/>
      <c r="AB96" s="575"/>
      <c r="AC96" s="575"/>
    </row>
    <row r="97" spans="1:29" ht="16" thickBot="1">
      <c r="A97" s="301">
        <v>80</v>
      </c>
      <c r="B97" s="312"/>
      <c r="C97" s="313" t="str">
        <f>'Exh F - AA-BL Items'!C127</f>
        <v>General Advertising Exp Account 930.1</v>
      </c>
      <c r="D97" s="557"/>
      <c r="E97" s="317" t="str">
        <f>'Exh F - AA-BL Items'!E127</f>
        <v>(Note F)</v>
      </c>
      <c r="F97" s="315" t="str">
        <f>'Exh F - AA-BL Items'!F127</f>
        <v>p323.191.b</v>
      </c>
      <c r="G97" s="462">
        <v>849124</v>
      </c>
      <c r="H97" s="463">
        <v>0</v>
      </c>
      <c r="I97" s="463">
        <f>+G97-H97</f>
        <v>849124</v>
      </c>
      <c r="J97" s="1580" t="s">
        <v>881</v>
      </c>
      <c r="K97" s="1580"/>
      <c r="L97" s="1580"/>
      <c r="M97" s="1580"/>
      <c r="N97" s="1580"/>
      <c r="O97" s="1580"/>
      <c r="P97" s="1580"/>
      <c r="Q97" s="1581"/>
      <c r="S97" s="575"/>
      <c r="T97" s="575"/>
      <c r="U97" s="1572"/>
      <c r="V97" s="575"/>
      <c r="W97" s="575"/>
      <c r="X97" s="575"/>
      <c r="Y97" s="575"/>
      <c r="Z97" s="575"/>
      <c r="AA97" s="575"/>
      <c r="AB97" s="575"/>
      <c r="AC97" s="575"/>
    </row>
    <row r="98" spans="1:29" ht="15.5">
      <c r="A98" s="210"/>
      <c r="B98" s="263"/>
      <c r="C98" s="212"/>
      <c r="D98" s="195"/>
      <c r="E98" s="194"/>
      <c r="F98" s="212"/>
      <c r="G98" s="181"/>
      <c r="H98" s="181"/>
      <c r="I98" s="181"/>
      <c r="J98" s="719"/>
      <c r="K98" s="718"/>
      <c r="L98" s="718"/>
      <c r="M98" s="718"/>
      <c r="N98" s="718"/>
      <c r="O98" s="718"/>
      <c r="P98" s="718"/>
      <c r="Q98" s="718"/>
      <c r="S98" s="575"/>
      <c r="T98" s="575"/>
      <c r="U98" s="1572"/>
      <c r="V98" s="575"/>
      <c r="W98" s="575"/>
      <c r="X98" s="575"/>
      <c r="Y98" s="575"/>
      <c r="Z98" s="575"/>
      <c r="AA98" s="575"/>
      <c r="AB98" s="575"/>
      <c r="AC98" s="575"/>
    </row>
    <row r="99" spans="1:29" ht="13">
      <c r="G99" s="144"/>
      <c r="H99" s="144"/>
      <c r="I99" s="144"/>
      <c r="J99" s="144"/>
      <c r="K99" s="144"/>
      <c r="L99" s="144"/>
      <c r="M99" s="144"/>
      <c r="N99" s="144"/>
      <c r="O99" s="144"/>
      <c r="P99" s="144"/>
      <c r="Q99" s="144"/>
      <c r="S99" s="575"/>
      <c r="T99" s="575"/>
      <c r="U99" s="1572"/>
      <c r="V99" s="575"/>
      <c r="W99" s="575"/>
      <c r="X99" s="575"/>
      <c r="Y99" s="575"/>
      <c r="Z99" s="575"/>
      <c r="AA99" s="575"/>
      <c r="AB99" s="575"/>
      <c r="AC99" s="575"/>
    </row>
    <row r="100" spans="1:29" ht="20.5" thickBot="1">
      <c r="A100" s="311" t="s">
        <v>1220</v>
      </c>
      <c r="G100" s="144"/>
      <c r="H100" s="144"/>
      <c r="I100" s="144"/>
      <c r="J100" s="144"/>
      <c r="K100" s="144"/>
      <c r="L100" s="144"/>
      <c r="M100" s="144"/>
      <c r="N100" s="144"/>
      <c r="O100" s="144"/>
      <c r="P100" s="144"/>
      <c r="Q100" s="144"/>
      <c r="S100" s="575"/>
      <c r="T100" s="575"/>
      <c r="U100" s="1572"/>
      <c r="V100" s="575"/>
      <c r="W100" s="575"/>
      <c r="X100" s="575"/>
      <c r="Y100" s="575"/>
      <c r="Z100" s="575"/>
      <c r="AA100" s="575"/>
      <c r="AB100" s="575"/>
      <c r="AC100" s="575"/>
    </row>
    <row r="101" spans="1:29" ht="18">
      <c r="A101" s="1523" t="s">
        <v>10</v>
      </c>
      <c r="B101" s="1524"/>
      <c r="C101" s="1524"/>
      <c r="D101" s="1524"/>
      <c r="E101" s="1524"/>
      <c r="F101" s="1524"/>
      <c r="G101" s="343" t="s">
        <v>508</v>
      </c>
      <c r="H101" s="716" t="s">
        <v>509</v>
      </c>
      <c r="I101" s="716" t="s">
        <v>510</v>
      </c>
      <c r="J101" s="716" t="s">
        <v>511</v>
      </c>
      <c r="K101" s="716" t="s">
        <v>512</v>
      </c>
      <c r="L101" s="1526" t="s">
        <v>425</v>
      </c>
      <c r="M101" s="1528"/>
      <c r="N101" s="1528"/>
      <c r="O101" s="1528"/>
      <c r="P101" s="1528"/>
      <c r="Q101" s="1565"/>
      <c r="S101" s="575"/>
      <c r="T101" s="575"/>
      <c r="U101" s="1572"/>
      <c r="V101" s="575"/>
      <c r="W101" s="575"/>
      <c r="X101" s="575"/>
      <c r="Y101" s="575"/>
      <c r="Z101" s="575"/>
      <c r="AA101" s="575"/>
      <c r="AB101" s="575"/>
      <c r="AC101" s="575"/>
    </row>
    <row r="102" spans="1:29" ht="15.75" customHeight="1">
      <c r="A102" s="239" t="s">
        <v>166</v>
      </c>
      <c r="B102" s="220" t="s">
        <v>280</v>
      </c>
      <c r="C102" s="124"/>
      <c r="D102" s="124"/>
      <c r="E102" s="203"/>
      <c r="F102" s="201"/>
      <c r="G102" s="331"/>
      <c r="H102" s="146"/>
      <c r="I102" s="146"/>
      <c r="J102" s="146"/>
      <c r="K102" s="146"/>
      <c r="L102" s="146"/>
      <c r="M102" s="146"/>
      <c r="N102" s="146"/>
      <c r="O102" s="146"/>
      <c r="P102" s="146"/>
      <c r="Q102" s="329"/>
      <c r="S102" s="575"/>
      <c r="T102" s="575"/>
      <c r="U102" s="1572"/>
      <c r="V102" s="575"/>
      <c r="W102" s="575"/>
      <c r="X102" s="575"/>
      <c r="Y102" s="575"/>
      <c r="Z102" s="575"/>
      <c r="AA102" s="575"/>
      <c r="AB102" s="575"/>
      <c r="AC102" s="575"/>
    </row>
    <row r="103" spans="1:29" ht="15.5">
      <c r="A103" s="239"/>
      <c r="B103" s="220"/>
      <c r="C103" s="124"/>
      <c r="D103" s="124"/>
      <c r="E103" s="203"/>
      <c r="F103" s="201"/>
      <c r="G103" s="333" t="s">
        <v>40</v>
      </c>
      <c r="H103" s="181" t="s">
        <v>505</v>
      </c>
      <c r="I103" s="181" t="s">
        <v>505</v>
      </c>
      <c r="J103" s="181" t="s">
        <v>505</v>
      </c>
      <c r="K103" s="181" t="s">
        <v>505</v>
      </c>
      <c r="L103" s="1519" t="s">
        <v>507</v>
      </c>
      <c r="M103" s="1529"/>
      <c r="N103" s="1529"/>
      <c r="O103" s="1529"/>
      <c r="P103" s="1529"/>
      <c r="Q103" s="1582"/>
      <c r="S103" s="575"/>
      <c r="T103" s="575"/>
      <c r="U103" s="1572"/>
      <c r="V103" s="575"/>
      <c r="W103" s="575"/>
      <c r="X103" s="575"/>
      <c r="Y103" s="575"/>
      <c r="Z103" s="575"/>
      <c r="AA103" s="575"/>
      <c r="AB103" s="575"/>
      <c r="AC103" s="575"/>
    </row>
    <row r="104" spans="1:29" ht="16" thickBot="1">
      <c r="A104" s="301">
        <v>128</v>
      </c>
      <c r="B104" s="302"/>
      <c r="C104" s="324" t="str">
        <f>'Exh F - AA-BL Items'!C205</f>
        <v>SIT=State Income Tax Rate or Composite</v>
      </c>
      <c r="D104" s="325"/>
      <c r="E104" s="304" t="str">
        <f>'Exh F - AA-BL Items'!E205</f>
        <v>(Note I)</v>
      </c>
      <c r="F104" s="303">
        <f>'Exh F - AA-BL Items'!F205</f>
        <v>0</v>
      </c>
      <c r="G104" s="464">
        <v>8.2500000000000004E-2</v>
      </c>
      <c r="H104" s="381" t="s">
        <v>506</v>
      </c>
      <c r="I104" s="381" t="s">
        <v>506</v>
      </c>
      <c r="J104" s="381" t="s">
        <v>506</v>
      </c>
      <c r="K104" s="381" t="s">
        <v>506</v>
      </c>
      <c r="L104" s="1522" t="s">
        <v>41</v>
      </c>
      <c r="M104" s="1530"/>
      <c r="N104" s="1530"/>
      <c r="O104" s="1530"/>
      <c r="P104" s="1530"/>
      <c r="Q104" s="1588"/>
      <c r="S104" s="575"/>
      <c r="T104" s="575"/>
      <c r="U104" s="1572"/>
      <c r="V104" s="575"/>
      <c r="W104" s="575"/>
      <c r="X104" s="575"/>
      <c r="Y104" s="575"/>
      <c r="Z104" s="575"/>
      <c r="AA104" s="575"/>
      <c r="AB104" s="575"/>
      <c r="AC104" s="575"/>
    </row>
    <row r="105" spans="1:29" ht="13">
      <c r="G105" s="144"/>
      <c r="H105" s="144"/>
      <c r="I105" s="144"/>
      <c r="J105" s="144"/>
      <c r="K105" s="144"/>
      <c r="L105" s="144"/>
      <c r="M105" s="144"/>
      <c r="N105" s="144"/>
      <c r="O105" s="144"/>
      <c r="P105" s="144"/>
      <c r="Q105" s="144"/>
      <c r="S105" s="575"/>
      <c r="T105" s="575"/>
      <c r="U105" s="575"/>
      <c r="V105" s="575"/>
      <c r="W105" s="575"/>
      <c r="X105" s="575"/>
      <c r="Y105" s="575"/>
      <c r="Z105" s="575"/>
      <c r="AA105" s="575"/>
      <c r="AB105" s="575"/>
      <c r="AC105" s="575"/>
    </row>
    <row r="106" spans="1:29" ht="13">
      <c r="G106" s="144"/>
      <c r="H106" s="144"/>
      <c r="I106" s="144"/>
      <c r="J106" s="144"/>
      <c r="K106" s="144"/>
      <c r="L106" s="144"/>
      <c r="M106" s="144"/>
      <c r="N106" s="144"/>
      <c r="O106" s="144"/>
      <c r="P106" s="144"/>
      <c r="Q106" s="144"/>
      <c r="S106" s="575"/>
      <c r="T106" s="575"/>
      <c r="U106" s="575"/>
      <c r="V106" s="575"/>
      <c r="W106" s="575"/>
      <c r="X106" s="575"/>
      <c r="Y106" s="575"/>
      <c r="Z106" s="575"/>
      <c r="AA106" s="575"/>
      <c r="AB106" s="575"/>
      <c r="AC106" s="575"/>
    </row>
    <row r="107" spans="1:29" ht="20.5" thickBot="1">
      <c r="A107" s="311" t="s">
        <v>589</v>
      </c>
      <c r="G107" s="144"/>
      <c r="H107" s="144"/>
      <c r="I107" s="144"/>
      <c r="J107" s="144"/>
      <c r="K107" s="144"/>
      <c r="L107" s="144"/>
      <c r="M107" s="144"/>
      <c r="N107" s="144"/>
      <c r="O107" s="144"/>
      <c r="P107" s="144"/>
      <c r="Q107" s="144"/>
      <c r="S107" s="575"/>
      <c r="T107" s="575"/>
      <c r="U107" s="575"/>
      <c r="V107" s="575"/>
      <c r="W107" s="575"/>
      <c r="X107" s="575"/>
      <c r="Y107" s="575"/>
      <c r="Z107" s="575"/>
      <c r="AA107" s="575"/>
      <c r="AB107" s="575"/>
      <c r="AC107" s="575"/>
    </row>
    <row r="108" spans="1:29" ht="18">
      <c r="A108" s="1523" t="s">
        <v>10</v>
      </c>
      <c r="B108" s="1524"/>
      <c r="C108" s="1524"/>
      <c r="D108" s="1524"/>
      <c r="E108" s="1524"/>
      <c r="F108" s="1525"/>
      <c r="G108" s="343" t="s">
        <v>498</v>
      </c>
      <c r="H108" s="716" t="s">
        <v>513</v>
      </c>
      <c r="I108" s="716" t="s">
        <v>514</v>
      </c>
      <c r="J108" s="1526" t="s">
        <v>425</v>
      </c>
      <c r="K108" s="1528"/>
      <c r="L108" s="1528"/>
      <c r="M108" s="1528"/>
      <c r="N108" s="1528"/>
      <c r="O108" s="1528"/>
      <c r="P108" s="1528"/>
      <c r="Q108" s="1565"/>
      <c r="S108" s="575"/>
      <c r="T108" s="575"/>
      <c r="U108" s="575"/>
      <c r="V108" s="575"/>
      <c r="W108" s="575"/>
      <c r="X108" s="575"/>
      <c r="Y108" s="575"/>
      <c r="Z108" s="575"/>
      <c r="AA108" s="575"/>
      <c r="AB108" s="575"/>
      <c r="AC108" s="575"/>
    </row>
    <row r="109" spans="1:29" ht="15.5">
      <c r="A109" s="248"/>
      <c r="B109" s="231" t="s">
        <v>192</v>
      </c>
      <c r="C109" s="185"/>
      <c r="D109" s="195"/>
      <c r="E109" s="203"/>
      <c r="F109" s="245"/>
      <c r="G109" s="146"/>
      <c r="H109" s="146"/>
      <c r="I109" s="146"/>
      <c r="J109" s="146"/>
      <c r="K109" s="146"/>
      <c r="L109" s="146"/>
      <c r="M109" s="146"/>
      <c r="N109" s="146"/>
      <c r="O109" s="146"/>
      <c r="P109" s="146"/>
      <c r="Q109" s="329"/>
      <c r="S109" s="575"/>
      <c r="T109" s="575"/>
      <c r="U109" s="575"/>
      <c r="V109" s="575"/>
      <c r="W109" s="575"/>
      <c r="X109" s="575"/>
      <c r="Y109" s="575"/>
      <c r="Z109" s="575"/>
      <c r="AA109" s="575"/>
      <c r="AB109" s="575"/>
      <c r="AC109" s="575"/>
    </row>
    <row r="110" spans="1:29" ht="16" thickBot="1">
      <c r="A110" s="301">
        <v>77</v>
      </c>
      <c r="B110" s="312"/>
      <c r="C110" s="313" t="str">
        <f>'Exh F - AA-BL Items'!C123</f>
        <v>General Advertising Exp Account 930.1</v>
      </c>
      <c r="D110" s="326"/>
      <c r="E110" s="317" t="str">
        <f>'Exh F - AA-BL Items'!E123</f>
        <v>(Note K)</v>
      </c>
      <c r="F110" s="315" t="str">
        <f>'Exh F - AA-BL Items'!F123</f>
        <v>p323.191.b</v>
      </c>
      <c r="G110" s="465">
        <f>+G97</f>
        <v>849124</v>
      </c>
      <c r="H110" s="381">
        <v>0</v>
      </c>
      <c r="I110" s="381">
        <v>0</v>
      </c>
      <c r="J110" s="1569"/>
      <c r="K110" s="1522"/>
      <c r="L110" s="1522"/>
      <c r="M110" s="1522"/>
      <c r="N110" s="1522"/>
      <c r="O110" s="1522"/>
      <c r="P110" s="1522"/>
      <c r="Q110" s="1566"/>
      <c r="S110" s="575"/>
      <c r="T110" s="575"/>
      <c r="U110" s="575"/>
      <c r="V110" s="575"/>
      <c r="W110" s="575"/>
      <c r="X110" s="575"/>
      <c r="Y110" s="575"/>
      <c r="Z110" s="575"/>
      <c r="AA110" s="575"/>
      <c r="AB110" s="575"/>
      <c r="AC110" s="575"/>
    </row>
    <row r="111" spans="1:29" ht="13">
      <c r="G111" s="144"/>
      <c r="H111" s="144"/>
      <c r="I111" s="144"/>
      <c r="J111" s="144"/>
      <c r="K111" s="144"/>
      <c r="L111" s="144"/>
      <c r="M111" s="144"/>
      <c r="N111" s="144"/>
      <c r="O111" s="144"/>
      <c r="P111" s="144"/>
      <c r="Q111" s="144"/>
      <c r="S111" s="575"/>
      <c r="T111" s="575"/>
      <c r="U111" s="575"/>
      <c r="V111" s="575"/>
      <c r="W111" s="575"/>
      <c r="X111" s="575"/>
      <c r="Y111" s="575"/>
      <c r="Z111" s="575"/>
      <c r="AA111" s="575"/>
      <c r="AB111" s="575"/>
      <c r="AC111" s="575"/>
    </row>
    <row r="112" spans="1:29" ht="12.75" customHeight="1">
      <c r="G112" s="144"/>
      <c r="H112" s="144"/>
      <c r="I112" s="144"/>
      <c r="J112" s="144"/>
      <c r="K112" s="144"/>
      <c r="L112" s="144"/>
      <c r="M112" s="144"/>
      <c r="N112" s="144"/>
      <c r="O112" s="144"/>
      <c r="P112" s="144"/>
      <c r="Q112" s="144"/>
      <c r="S112" s="575"/>
      <c r="T112" s="575"/>
      <c r="U112" s="575"/>
      <c r="V112" s="575"/>
      <c r="W112" s="575"/>
      <c r="X112" s="575"/>
      <c r="Y112" s="575"/>
      <c r="Z112" s="575"/>
      <c r="AA112" s="575"/>
      <c r="AB112" s="575"/>
      <c r="AC112" s="575"/>
    </row>
    <row r="113" spans="1:29" ht="12.75" customHeight="1">
      <c r="A113" s="652"/>
      <c r="B113" s="652"/>
      <c r="C113" s="652"/>
      <c r="D113" s="652"/>
      <c r="E113" s="652"/>
      <c r="F113" s="652"/>
      <c r="G113" s="146"/>
      <c r="H113" s="146"/>
      <c r="I113" s="146"/>
      <c r="J113" s="146"/>
      <c r="K113" s="147"/>
      <c r="L113" s="146"/>
      <c r="M113" s="146"/>
      <c r="N113" s="146"/>
      <c r="O113" s="146"/>
      <c r="P113" s="146"/>
      <c r="Q113" s="146"/>
      <c r="S113" s="575"/>
      <c r="T113" s="575"/>
      <c r="U113" s="575"/>
      <c r="V113" s="575"/>
      <c r="W113" s="575"/>
      <c r="X113" s="575"/>
      <c r="Y113" s="575"/>
      <c r="Z113" s="575"/>
      <c r="AA113" s="575"/>
      <c r="AB113" s="575"/>
      <c r="AC113" s="575"/>
    </row>
    <row r="114" spans="1:29" ht="21.25" customHeight="1" thickBot="1">
      <c r="A114" s="311" t="s">
        <v>591</v>
      </c>
      <c r="G114" s="144"/>
      <c r="H114" s="144"/>
      <c r="I114" s="144"/>
      <c r="J114" s="144"/>
      <c r="K114" s="144"/>
      <c r="L114" s="144"/>
      <c r="M114" s="144"/>
      <c r="N114" s="144"/>
      <c r="O114" s="144"/>
      <c r="P114" s="144"/>
      <c r="Q114" s="144"/>
      <c r="S114" s="575"/>
      <c r="T114" s="575"/>
      <c r="U114" s="575"/>
      <c r="V114" s="575"/>
      <c r="W114" s="575"/>
      <c r="X114" s="575"/>
      <c r="Y114" s="575"/>
      <c r="Z114" s="575"/>
      <c r="AA114" s="575"/>
      <c r="AB114" s="575"/>
      <c r="AC114" s="575"/>
    </row>
    <row r="115" spans="1:29" ht="39.25" customHeight="1">
      <c r="A115" s="1523" t="s">
        <v>10</v>
      </c>
      <c r="B115" s="1524"/>
      <c r="C115" s="1524"/>
      <c r="D115" s="1524"/>
      <c r="E115" s="1524"/>
      <c r="F115" s="1525"/>
      <c r="G115" s="716" t="str">
        <f>+C117</f>
        <v>Excluded Transmission Facilities</v>
      </c>
      <c r="H115" s="1526" t="s">
        <v>516</v>
      </c>
      <c r="I115" s="1527"/>
      <c r="J115" s="1527"/>
      <c r="K115" s="1527"/>
      <c r="L115" s="1527"/>
      <c r="M115" s="1527"/>
      <c r="N115" s="1527"/>
      <c r="O115" s="1527"/>
      <c r="P115" s="1527"/>
      <c r="Q115" s="1570"/>
      <c r="S115" s="575"/>
      <c r="T115" s="575"/>
      <c r="U115" s="575"/>
      <c r="V115" s="575"/>
      <c r="W115" s="575"/>
      <c r="X115" s="575"/>
      <c r="Y115" s="575"/>
      <c r="Z115" s="575"/>
      <c r="AA115" s="575"/>
      <c r="AB115" s="575"/>
      <c r="AC115" s="575"/>
    </row>
    <row r="116" spans="1:29" ht="18" customHeight="1">
      <c r="A116" s="282"/>
      <c r="B116" s="182" t="s">
        <v>195</v>
      </c>
      <c r="C116" s="226"/>
      <c r="D116" s="227"/>
      <c r="E116" s="228"/>
      <c r="F116" s="283"/>
      <c r="G116" s="146"/>
      <c r="H116" s="146"/>
      <c r="I116" s="146"/>
      <c r="J116" s="146"/>
      <c r="K116" s="146"/>
      <c r="L116" s="146"/>
      <c r="M116" s="146"/>
      <c r="N116" s="146"/>
      <c r="O116" s="146"/>
      <c r="P116" s="146"/>
      <c r="Q116" s="329"/>
      <c r="S116" s="575"/>
      <c r="T116" s="575"/>
      <c r="U116" s="575"/>
      <c r="V116" s="575"/>
      <c r="W116" s="575"/>
      <c r="X116" s="575"/>
      <c r="Y116" s="575"/>
      <c r="Z116" s="575"/>
      <c r="AA116" s="575"/>
      <c r="AB116" s="575"/>
      <c r="AC116" s="575"/>
    </row>
    <row r="117" spans="1:29" ht="18" customHeight="1">
      <c r="A117" s="248">
        <v>148</v>
      </c>
      <c r="B117" s="229"/>
      <c r="C117" s="212" t="str">
        <f>+'ATT H-2A'!C270</f>
        <v>Excluded Transmission Facilities</v>
      </c>
      <c r="D117" s="227"/>
      <c r="E117" s="229" t="str">
        <f>+'ATT H-2A'!E270</f>
        <v>(Note M)</v>
      </c>
      <c r="F117" s="327" t="str">
        <f>+'ATT H-2A'!F270</f>
        <v>Attachment 5</v>
      </c>
      <c r="G117" s="359">
        <v>0</v>
      </c>
      <c r="H117" s="1519" t="s">
        <v>519</v>
      </c>
      <c r="I117" s="1520"/>
      <c r="J117" s="1520"/>
      <c r="K117" s="1520"/>
      <c r="L117" s="1520"/>
      <c r="M117" s="1520"/>
      <c r="N117" s="1520"/>
      <c r="O117" s="1520"/>
      <c r="P117" s="1520"/>
      <c r="Q117" s="1560"/>
      <c r="S117" s="575"/>
      <c r="T117" s="575"/>
      <c r="U117" s="575"/>
      <c r="V117" s="575"/>
      <c r="W117" s="575"/>
      <c r="X117" s="575"/>
      <c r="Y117" s="575"/>
      <c r="Z117" s="575"/>
      <c r="AA117" s="575"/>
      <c r="AB117" s="575"/>
      <c r="AC117" s="575"/>
    </row>
    <row r="118" spans="1:29" ht="18" customHeight="1">
      <c r="A118" s="248"/>
      <c r="B118" s="229"/>
      <c r="C118" s="206"/>
      <c r="D118" s="227"/>
      <c r="E118" s="208"/>
      <c r="F118" s="249"/>
      <c r="G118" s="146"/>
      <c r="H118" s="146"/>
      <c r="I118" s="146"/>
      <c r="J118" s="146"/>
      <c r="K118" s="146"/>
      <c r="L118" s="146"/>
      <c r="M118" s="146"/>
      <c r="N118" s="146"/>
      <c r="O118" s="181"/>
      <c r="P118" s="146"/>
      <c r="Q118" s="329"/>
      <c r="S118" s="575"/>
      <c r="T118" s="575"/>
      <c r="U118" s="575"/>
      <c r="V118" s="575"/>
      <c r="W118" s="575"/>
      <c r="X118" s="575"/>
      <c r="Y118" s="575"/>
      <c r="Z118" s="575"/>
      <c r="AA118" s="575"/>
      <c r="AB118" s="575"/>
      <c r="AC118" s="575"/>
    </row>
    <row r="119" spans="1:29" ht="18" customHeight="1">
      <c r="A119" s="248"/>
      <c r="B119" s="229"/>
      <c r="C119" s="206" t="s">
        <v>122</v>
      </c>
      <c r="D119" s="227"/>
      <c r="E119" s="208"/>
      <c r="F119" s="249"/>
      <c r="G119" s="181" t="s">
        <v>515</v>
      </c>
      <c r="H119" s="1519" t="s">
        <v>39</v>
      </c>
      <c r="I119" s="1520"/>
      <c r="J119" s="1520"/>
      <c r="K119" s="1520"/>
      <c r="L119" s="1520"/>
      <c r="M119" s="1520"/>
      <c r="N119" s="1520"/>
      <c r="O119" s="1520"/>
      <c r="P119" s="1520"/>
      <c r="Q119" s="1560"/>
      <c r="S119" s="575"/>
      <c r="T119" s="575"/>
      <c r="U119" s="575"/>
      <c r="V119" s="575"/>
      <c r="W119" s="575"/>
      <c r="X119" s="575"/>
      <c r="Y119" s="575"/>
      <c r="Z119" s="575"/>
      <c r="AA119" s="575"/>
      <c r="AB119" s="575"/>
      <c r="AC119" s="575"/>
    </row>
    <row r="120" spans="1:29" ht="18" customHeight="1">
      <c r="A120" s="248"/>
      <c r="B120" s="229">
        <v>1</v>
      </c>
      <c r="C120" s="206" t="s">
        <v>442</v>
      </c>
      <c r="D120" s="227"/>
      <c r="E120" s="208"/>
      <c r="F120" s="249"/>
      <c r="G120" s="496"/>
      <c r="H120" s="1519"/>
      <c r="I120" s="1520"/>
      <c r="J120" s="1520"/>
      <c r="K120" s="1520"/>
      <c r="L120" s="1520"/>
      <c r="M120" s="1520"/>
      <c r="N120" s="1520"/>
      <c r="O120" s="1520"/>
      <c r="P120" s="1520"/>
      <c r="Q120" s="1560"/>
      <c r="S120" s="575"/>
      <c r="T120" s="575"/>
      <c r="U120" s="575"/>
      <c r="V120" s="575"/>
      <c r="W120" s="575"/>
      <c r="X120" s="575"/>
      <c r="Y120" s="575"/>
      <c r="Z120" s="575"/>
      <c r="AA120" s="575"/>
      <c r="AB120" s="575"/>
      <c r="AC120" s="575"/>
    </row>
    <row r="121" spans="1:29" ht="18" customHeight="1">
      <c r="A121" s="248"/>
      <c r="B121" s="229"/>
      <c r="C121" s="206" t="s">
        <v>443</v>
      </c>
      <c r="D121" s="227"/>
      <c r="E121" s="208"/>
      <c r="F121" s="249"/>
      <c r="G121" s="496"/>
      <c r="H121" s="719"/>
      <c r="I121" s="718"/>
      <c r="J121" s="718"/>
      <c r="K121" s="718"/>
      <c r="L121" s="718"/>
      <c r="M121" s="718"/>
      <c r="N121" s="718"/>
      <c r="O121" s="718"/>
      <c r="P121" s="718"/>
      <c r="Q121" s="722"/>
      <c r="S121" s="575"/>
      <c r="T121" s="575"/>
      <c r="U121" s="575"/>
      <c r="V121" s="575"/>
      <c r="W121" s="575"/>
      <c r="X121" s="575"/>
      <c r="Y121" s="575"/>
      <c r="Z121" s="575"/>
      <c r="AA121" s="575"/>
      <c r="AB121" s="575"/>
      <c r="AC121" s="575"/>
    </row>
    <row r="122" spans="1:29" ht="18" customHeight="1">
      <c r="A122" s="248"/>
      <c r="B122" s="229">
        <v>2</v>
      </c>
      <c r="C122" s="206" t="s">
        <v>123</v>
      </c>
      <c r="D122" s="227"/>
      <c r="E122" s="208"/>
      <c r="F122" s="249"/>
      <c r="G122" s="181" t="s">
        <v>124</v>
      </c>
      <c r="H122" s="1519"/>
      <c r="I122" s="1520"/>
      <c r="J122" s="1520"/>
      <c r="K122" s="1520"/>
      <c r="L122" s="1520"/>
      <c r="M122" s="1520"/>
      <c r="N122" s="1520"/>
      <c r="O122" s="1520"/>
      <c r="P122" s="1520"/>
      <c r="Q122" s="1560"/>
      <c r="S122" s="575"/>
      <c r="T122" s="575"/>
      <c r="U122" s="575"/>
      <c r="V122" s="575"/>
      <c r="W122" s="575"/>
      <c r="X122" s="575"/>
      <c r="Y122" s="575"/>
      <c r="Z122" s="575"/>
      <c r="AA122" s="575"/>
      <c r="AB122" s="575"/>
      <c r="AC122" s="575"/>
    </row>
    <row r="123" spans="1:29" ht="18" customHeight="1">
      <c r="A123" s="248"/>
      <c r="B123" s="229"/>
      <c r="C123" s="206" t="s">
        <v>125</v>
      </c>
      <c r="D123" s="546" t="s">
        <v>126</v>
      </c>
      <c r="E123" s="208"/>
      <c r="F123" s="249"/>
      <c r="G123" s="181" t="str">
        <f>+G119</f>
        <v>Enter $</v>
      </c>
      <c r="H123" s="1519"/>
      <c r="I123" s="1520"/>
      <c r="J123" s="1520"/>
      <c r="K123" s="1520"/>
      <c r="L123" s="1520"/>
      <c r="M123" s="1520"/>
      <c r="N123" s="1520"/>
      <c r="O123" s="1520"/>
      <c r="P123" s="1520"/>
      <c r="Q123" s="1560"/>
      <c r="S123" s="575"/>
      <c r="T123" s="575"/>
      <c r="U123" s="575"/>
      <c r="V123" s="575"/>
      <c r="W123" s="575"/>
      <c r="X123" s="575"/>
      <c r="Y123" s="575"/>
      <c r="Z123" s="575"/>
      <c r="AA123" s="575"/>
      <c r="AB123" s="575"/>
      <c r="AC123" s="575"/>
    </row>
    <row r="124" spans="1:29" ht="15.75" customHeight="1">
      <c r="A124" s="649"/>
      <c r="B124" s="867" t="s">
        <v>168</v>
      </c>
      <c r="C124" s="206" t="s">
        <v>127</v>
      </c>
      <c r="D124" s="606">
        <v>1000000</v>
      </c>
      <c r="E124" s="565"/>
      <c r="F124" s="660"/>
      <c r="G124" s="496"/>
      <c r="H124" s="1519"/>
      <c r="I124" s="1520"/>
      <c r="J124" s="1520"/>
      <c r="K124" s="1520"/>
      <c r="L124" s="1520"/>
      <c r="M124" s="1520"/>
      <c r="N124" s="1520"/>
      <c r="O124" s="1520"/>
      <c r="P124" s="1520"/>
      <c r="Q124" s="1560"/>
      <c r="S124" s="575"/>
      <c r="T124" s="575"/>
      <c r="U124" s="575"/>
      <c r="V124" s="575"/>
      <c r="W124" s="575"/>
      <c r="X124" s="575"/>
      <c r="Y124" s="575"/>
      <c r="Z124" s="575"/>
      <c r="AA124" s="575"/>
      <c r="AB124" s="575"/>
      <c r="AC124" s="575"/>
    </row>
    <row r="125" spans="1:29" ht="15.75" customHeight="1">
      <c r="A125" s="649"/>
      <c r="B125" s="867" t="s">
        <v>323</v>
      </c>
      <c r="C125" s="206" t="s">
        <v>128</v>
      </c>
      <c r="D125" s="606">
        <v>500000</v>
      </c>
      <c r="E125" s="565"/>
      <c r="F125" s="660"/>
      <c r="G125" s="496"/>
      <c r="H125" s="1519"/>
      <c r="I125" s="1520"/>
      <c r="J125" s="1520"/>
      <c r="K125" s="1520"/>
      <c r="L125" s="1520"/>
      <c r="M125" s="1520"/>
      <c r="N125" s="1520"/>
      <c r="O125" s="1520"/>
      <c r="P125" s="1520"/>
      <c r="Q125" s="1560"/>
      <c r="S125" s="575"/>
      <c r="T125" s="575"/>
      <c r="U125" s="575"/>
      <c r="V125" s="575"/>
      <c r="W125" s="575"/>
      <c r="X125" s="575"/>
      <c r="Y125" s="575"/>
      <c r="Z125" s="575"/>
      <c r="AA125" s="575"/>
      <c r="AB125" s="575"/>
      <c r="AC125" s="575"/>
    </row>
    <row r="126" spans="1:29" ht="15.75" customHeight="1">
      <c r="A126" s="649"/>
      <c r="B126" s="867" t="s">
        <v>142</v>
      </c>
      <c r="C126" s="206" t="s">
        <v>129</v>
      </c>
      <c r="D126" s="606">
        <v>400000</v>
      </c>
      <c r="E126" s="565"/>
      <c r="F126" s="660"/>
      <c r="G126" s="496"/>
      <c r="H126" s="1519"/>
      <c r="I126" s="1520"/>
      <c r="J126" s="1520"/>
      <c r="K126" s="1520"/>
      <c r="L126" s="1520"/>
      <c r="M126" s="1520"/>
      <c r="N126" s="1520"/>
      <c r="O126" s="1520"/>
      <c r="P126" s="1520"/>
      <c r="Q126" s="1560"/>
      <c r="S126" s="575"/>
      <c r="T126" s="575"/>
      <c r="U126" s="575"/>
      <c r="V126" s="575"/>
      <c r="W126" s="575"/>
      <c r="X126" s="575"/>
      <c r="Y126" s="575"/>
      <c r="Z126" s="575"/>
      <c r="AA126" s="575"/>
      <c r="AB126" s="575"/>
      <c r="AC126" s="575"/>
    </row>
    <row r="127" spans="1:29" ht="15.75" customHeight="1">
      <c r="A127" s="649"/>
      <c r="B127" s="867" t="s">
        <v>169</v>
      </c>
      <c r="C127" s="206" t="s">
        <v>130</v>
      </c>
      <c r="D127" s="606">
        <f>+D124*(D126/(D125+D126))</f>
        <v>444444.44444444444</v>
      </c>
      <c r="E127" s="565"/>
      <c r="F127" s="660"/>
      <c r="G127" s="496"/>
      <c r="H127" s="1519"/>
      <c r="I127" s="1520"/>
      <c r="J127" s="1520"/>
      <c r="K127" s="1520"/>
      <c r="L127" s="1520"/>
      <c r="M127" s="1520"/>
      <c r="N127" s="1520"/>
      <c r="O127" s="1520"/>
      <c r="P127" s="1520"/>
      <c r="Q127" s="1560"/>
      <c r="S127" s="575"/>
      <c r="T127" s="575"/>
      <c r="U127" s="575"/>
      <c r="V127" s="575"/>
      <c r="W127" s="575"/>
      <c r="X127" s="575"/>
      <c r="Y127" s="575"/>
      <c r="Z127" s="575"/>
      <c r="AA127" s="575"/>
      <c r="AB127" s="575"/>
      <c r="AC127" s="575"/>
    </row>
    <row r="128" spans="1:29" ht="13.75" customHeight="1" thickBot="1">
      <c r="A128" s="661"/>
      <c r="B128" s="865"/>
      <c r="C128" s="865"/>
      <c r="D128" s="865"/>
      <c r="E128" s="865"/>
      <c r="F128" s="666"/>
      <c r="G128" s="330"/>
      <c r="H128" s="330"/>
      <c r="I128" s="330"/>
      <c r="J128" s="330"/>
      <c r="K128" s="345" t="s">
        <v>518</v>
      </c>
      <c r="L128" s="330"/>
      <c r="M128" s="330"/>
      <c r="N128" s="330"/>
      <c r="O128" s="330"/>
      <c r="P128" s="330"/>
      <c r="Q128" s="337"/>
      <c r="S128" s="575"/>
      <c r="T128" s="575"/>
      <c r="U128" s="575"/>
      <c r="V128" s="575"/>
      <c r="W128" s="575"/>
      <c r="X128" s="575"/>
      <c r="Y128" s="575"/>
      <c r="Z128" s="575"/>
      <c r="AA128" s="575"/>
      <c r="AB128" s="575"/>
      <c r="AC128" s="575"/>
    </row>
    <row r="129" spans="1:29" ht="12.75" customHeight="1">
      <c r="A129" s="652"/>
      <c r="B129" s="652"/>
      <c r="C129" s="652"/>
      <c r="D129" s="652"/>
      <c r="E129" s="652"/>
      <c r="F129" s="652"/>
      <c r="G129" s="146"/>
      <c r="H129" s="146"/>
      <c r="I129" s="146"/>
      <c r="J129" s="146"/>
      <c r="K129" s="147"/>
      <c r="L129" s="146"/>
      <c r="M129" s="146"/>
      <c r="N129" s="146"/>
      <c r="O129" s="146"/>
      <c r="P129" s="146"/>
      <c r="Q129" s="146"/>
      <c r="S129" s="575"/>
      <c r="T129" s="575"/>
      <c r="U129" s="575"/>
      <c r="V129" s="575"/>
      <c r="W129" s="575"/>
      <c r="X129" s="575"/>
      <c r="Y129" s="575"/>
      <c r="Z129" s="575"/>
      <c r="AA129" s="575"/>
      <c r="AB129" s="575"/>
      <c r="AC129" s="575"/>
    </row>
    <row r="130" spans="1:29" ht="12.75" customHeight="1">
      <c r="A130" s="652"/>
      <c r="B130" s="652"/>
      <c r="C130" s="652"/>
      <c r="D130" s="652"/>
      <c r="E130" s="652"/>
      <c r="F130" s="652"/>
      <c r="G130" s="146"/>
      <c r="H130" s="146"/>
      <c r="I130" s="146"/>
      <c r="J130" s="146"/>
      <c r="K130" s="147"/>
      <c r="L130" s="146"/>
      <c r="M130" s="146"/>
      <c r="N130" s="146"/>
      <c r="O130" s="146"/>
      <c r="P130" s="146"/>
      <c r="Q130" s="146"/>
      <c r="S130" s="575"/>
      <c r="T130" s="575"/>
      <c r="U130" s="575"/>
      <c r="V130" s="575"/>
      <c r="W130" s="575"/>
      <c r="X130" s="575"/>
      <c r="Y130" s="575"/>
      <c r="Z130" s="575"/>
      <c r="AA130" s="575"/>
      <c r="AB130" s="575"/>
      <c r="AC130" s="575"/>
    </row>
    <row r="131" spans="1:29" ht="21.25" customHeight="1" thickBot="1">
      <c r="A131" s="311" t="s">
        <v>592</v>
      </c>
      <c r="G131" s="144"/>
      <c r="H131" s="144"/>
      <c r="I131" s="144"/>
      <c r="J131" s="144"/>
      <c r="K131" s="144"/>
      <c r="L131" s="144"/>
      <c r="M131" s="144"/>
      <c r="N131" s="144"/>
      <c r="O131" s="144"/>
      <c r="P131" s="144"/>
      <c r="Q131" s="144"/>
      <c r="S131" s="575"/>
      <c r="T131" s="575"/>
      <c r="U131" s="575"/>
      <c r="V131" s="575"/>
      <c r="W131" s="575"/>
      <c r="X131" s="575"/>
      <c r="Y131" s="575"/>
      <c r="Z131" s="575"/>
      <c r="AA131" s="575"/>
      <c r="AB131" s="575"/>
      <c r="AC131" s="575"/>
    </row>
    <row r="132" spans="1:29" ht="26.5" customHeight="1">
      <c r="A132" s="1523" t="s">
        <v>10</v>
      </c>
      <c r="B132" s="1524"/>
      <c r="C132" s="1524"/>
      <c r="D132" s="1524"/>
      <c r="E132" s="1524"/>
      <c r="F132" s="1525"/>
      <c r="G132" s="716" t="str">
        <f>+C134</f>
        <v>Outstanding Network Credits</v>
      </c>
      <c r="H132" s="1526" t="s">
        <v>523</v>
      </c>
      <c r="I132" s="1527"/>
      <c r="J132" s="1527"/>
      <c r="K132" s="1527"/>
      <c r="L132" s="1527"/>
      <c r="M132" s="1527"/>
      <c r="N132" s="1527"/>
      <c r="O132" s="1527"/>
      <c r="P132" s="1527"/>
      <c r="Q132" s="1570"/>
      <c r="S132" s="575"/>
      <c r="T132" s="575"/>
      <c r="U132" s="575"/>
      <c r="V132" s="575"/>
      <c r="W132" s="575"/>
      <c r="X132" s="575"/>
      <c r="Y132" s="575"/>
      <c r="Z132" s="575"/>
      <c r="AA132" s="575"/>
      <c r="AB132" s="575"/>
      <c r="AC132" s="575"/>
    </row>
    <row r="133" spans="1:29" ht="15.75" customHeight="1">
      <c r="A133" s="269"/>
      <c r="B133" s="204" t="s">
        <v>469</v>
      </c>
      <c r="C133" s="270"/>
      <c r="D133" s="211"/>
      <c r="E133" s="271"/>
      <c r="F133" s="238"/>
      <c r="G133" s="146"/>
      <c r="H133" s="146"/>
      <c r="I133" s="146"/>
      <c r="J133" s="146"/>
      <c r="K133" s="146"/>
      <c r="L133" s="146"/>
      <c r="M133" s="146"/>
      <c r="N133" s="146"/>
      <c r="O133" s="146"/>
      <c r="P133" s="146"/>
      <c r="Q133" s="329"/>
      <c r="S133" s="575"/>
      <c r="T133" s="575"/>
      <c r="U133" s="575"/>
      <c r="V133" s="575"/>
      <c r="W133" s="575"/>
      <c r="X133" s="575"/>
      <c r="Y133" s="575"/>
      <c r="Z133" s="575"/>
      <c r="AA133" s="575"/>
      <c r="AB133" s="575"/>
      <c r="AC133" s="575"/>
    </row>
    <row r="134" spans="1:29" ht="12.75" customHeight="1">
      <c r="A134" s="508">
        <v>55</v>
      </c>
      <c r="B134" s="509"/>
      <c r="C134" s="510" t="str">
        <f>+'ATT H-2A'!C111</f>
        <v>Outstanding Network Credits</v>
      </c>
      <c r="D134" s="509"/>
      <c r="E134" s="509" t="str">
        <f>+'ATT H-2A'!E111</f>
        <v>(Note N)</v>
      </c>
      <c r="F134" s="512" t="str">
        <f>+'ATT H-2A'!F111</f>
        <v>From PJM</v>
      </c>
      <c r="G134" s="359">
        <v>0</v>
      </c>
      <c r="H134" s="1519" t="s">
        <v>521</v>
      </c>
      <c r="I134" s="1520"/>
      <c r="J134" s="1520"/>
      <c r="K134" s="1520"/>
      <c r="L134" s="1520"/>
      <c r="M134" s="1520"/>
      <c r="N134" s="1520"/>
      <c r="O134" s="1520"/>
      <c r="P134" s="1520"/>
      <c r="Q134" s="1560"/>
      <c r="S134" s="575"/>
      <c r="T134" s="575"/>
      <c r="U134" s="575"/>
      <c r="V134" s="575"/>
      <c r="W134" s="575"/>
      <c r="X134" s="575"/>
      <c r="Y134" s="575"/>
      <c r="Z134" s="575"/>
      <c r="AA134" s="575"/>
      <c r="AB134" s="575"/>
      <c r="AC134" s="575"/>
    </row>
    <row r="135" spans="1:29" ht="12.75" customHeight="1">
      <c r="A135" s="508"/>
      <c r="B135" s="509"/>
      <c r="C135" s="510"/>
      <c r="D135" s="509"/>
      <c r="E135" s="511"/>
      <c r="F135" s="512"/>
      <c r="G135" s="146"/>
      <c r="H135" s="146"/>
      <c r="I135" s="146"/>
      <c r="J135" s="146"/>
      <c r="K135" s="146"/>
      <c r="L135" s="146"/>
      <c r="M135" s="146"/>
      <c r="N135" s="146"/>
      <c r="O135" s="181"/>
      <c r="P135" s="146"/>
      <c r="Q135" s="329"/>
      <c r="S135" s="575"/>
      <c r="T135" s="575"/>
      <c r="U135" s="575"/>
      <c r="V135" s="575"/>
      <c r="W135" s="575"/>
      <c r="X135" s="575"/>
      <c r="Y135" s="575"/>
      <c r="Z135" s="575"/>
      <c r="AA135" s="575"/>
      <c r="AB135" s="575"/>
      <c r="AC135" s="575"/>
    </row>
    <row r="136" spans="1:29" ht="12.75" customHeight="1">
      <c r="A136" s="508"/>
      <c r="B136" s="509"/>
      <c r="C136" s="510"/>
      <c r="D136" s="509"/>
      <c r="E136" s="511"/>
      <c r="F136" s="512"/>
      <c r="G136" s="181" t="s">
        <v>515</v>
      </c>
      <c r="H136" s="1519" t="s">
        <v>39</v>
      </c>
      <c r="I136" s="1520"/>
      <c r="J136" s="1520"/>
      <c r="K136" s="1520"/>
      <c r="L136" s="1520"/>
      <c r="M136" s="1520"/>
      <c r="N136" s="1520"/>
      <c r="O136" s="1520"/>
      <c r="P136" s="1520"/>
      <c r="Q136" s="1560"/>
      <c r="S136" s="575"/>
      <c r="T136" s="575"/>
      <c r="U136" s="575"/>
      <c r="V136" s="575"/>
      <c r="W136" s="575"/>
      <c r="X136" s="575"/>
      <c r="Y136" s="575"/>
      <c r="Z136" s="575"/>
      <c r="AA136" s="575"/>
      <c r="AB136" s="575"/>
      <c r="AC136" s="575"/>
    </row>
    <row r="137" spans="1:29" ht="12.75" customHeight="1">
      <c r="A137" s="508"/>
      <c r="B137" s="509"/>
      <c r="C137" s="510"/>
      <c r="D137" s="509"/>
      <c r="E137" s="511"/>
      <c r="F137" s="512"/>
      <c r="G137" s="181"/>
      <c r="H137" s="1519"/>
      <c r="I137" s="1520"/>
      <c r="J137" s="1520"/>
      <c r="K137" s="1520"/>
      <c r="L137" s="1520"/>
      <c r="M137" s="1520"/>
      <c r="N137" s="1520"/>
      <c r="O137" s="1520"/>
      <c r="P137" s="1520"/>
      <c r="Q137" s="1560"/>
      <c r="S137" s="575"/>
      <c r="T137" s="575"/>
      <c r="U137" s="575"/>
      <c r="V137" s="575"/>
      <c r="W137" s="575"/>
      <c r="X137" s="575"/>
      <c r="Y137" s="575"/>
      <c r="Z137" s="575"/>
      <c r="AA137" s="575"/>
      <c r="AB137" s="575"/>
      <c r="AC137" s="575"/>
    </row>
    <row r="138" spans="1:29" ht="12.75" customHeight="1">
      <c r="A138" s="508"/>
      <c r="B138" s="509"/>
      <c r="C138" s="510"/>
      <c r="D138" s="509"/>
      <c r="E138" s="511"/>
      <c r="F138" s="512"/>
      <c r="G138" s="181"/>
      <c r="H138" s="1519"/>
      <c r="I138" s="1520"/>
      <c r="J138" s="1520"/>
      <c r="K138" s="1520"/>
      <c r="L138" s="1520"/>
      <c r="M138" s="1520"/>
      <c r="N138" s="1520"/>
      <c r="O138" s="1520"/>
      <c r="P138" s="1520"/>
      <c r="Q138" s="1560"/>
      <c r="S138" s="575"/>
      <c r="T138" s="575"/>
      <c r="U138" s="575"/>
      <c r="V138" s="575"/>
      <c r="W138" s="575"/>
      <c r="X138" s="575"/>
      <c r="Y138" s="575"/>
      <c r="Z138" s="575"/>
      <c r="AA138" s="575"/>
      <c r="AB138" s="575"/>
      <c r="AC138" s="575"/>
    </row>
    <row r="139" spans="1:29" ht="12.75" customHeight="1">
      <c r="A139" s="508">
        <v>56</v>
      </c>
      <c r="B139" s="509"/>
      <c r="C139" s="510" t="str">
        <f>+'ATT H-2A'!C112</f>
        <v xml:space="preserve">    Less Accumulated Depreciation Associated with Facilities with Outstanding Network Credits</v>
      </c>
      <c r="D139" s="509"/>
      <c r="E139" s="509" t="str">
        <f>+'ATT H-2A'!E112</f>
        <v>(Note N)</v>
      </c>
      <c r="F139" s="512" t="str">
        <f>+'ATT H-2A'!F112</f>
        <v>From PJM</v>
      </c>
      <c r="G139" s="181">
        <v>0</v>
      </c>
      <c r="H139" s="1519"/>
      <c r="I139" s="1520"/>
      <c r="J139" s="1520"/>
      <c r="K139" s="1520"/>
      <c r="L139" s="1520"/>
      <c r="M139" s="1520"/>
      <c r="N139" s="1520"/>
      <c r="O139" s="1520"/>
      <c r="P139" s="1520"/>
      <c r="Q139" s="1560"/>
      <c r="S139" s="575"/>
      <c r="T139" s="575"/>
      <c r="U139" s="575"/>
      <c r="V139" s="575"/>
      <c r="W139" s="575"/>
      <c r="X139" s="575"/>
      <c r="Y139" s="575"/>
      <c r="Z139" s="575"/>
      <c r="AA139" s="575"/>
      <c r="AB139" s="575"/>
      <c r="AC139" s="575"/>
    </row>
    <row r="140" spans="1:29" ht="15.75" customHeight="1">
      <c r="A140" s="248"/>
      <c r="B140" s="229"/>
      <c r="C140" s="229"/>
      <c r="D140" s="229"/>
      <c r="E140" s="277"/>
      <c r="F140" s="327"/>
      <c r="G140" s="181"/>
      <c r="H140" s="1519"/>
      <c r="I140" s="1520"/>
      <c r="J140" s="1520"/>
      <c r="K140" s="1520"/>
      <c r="L140" s="1520"/>
      <c r="M140" s="1520"/>
      <c r="N140" s="1520"/>
      <c r="O140" s="1520"/>
      <c r="P140" s="1520"/>
      <c r="Q140" s="1560"/>
      <c r="S140" s="575"/>
      <c r="T140" s="575"/>
      <c r="U140" s="575"/>
      <c r="V140" s="575"/>
      <c r="W140" s="575"/>
      <c r="X140" s="575"/>
      <c r="Y140" s="575"/>
      <c r="Z140" s="575"/>
      <c r="AA140" s="575"/>
      <c r="AB140" s="575"/>
      <c r="AC140" s="575"/>
    </row>
    <row r="141" spans="1:29" ht="15.75" customHeight="1">
      <c r="A141" s="248"/>
      <c r="B141" s="229"/>
      <c r="C141" s="229"/>
      <c r="D141" s="229"/>
      <c r="E141" s="277"/>
      <c r="F141" s="327"/>
      <c r="G141" s="181" t="s">
        <v>515</v>
      </c>
      <c r="H141" s="1519" t="s">
        <v>39</v>
      </c>
      <c r="I141" s="1520"/>
      <c r="J141" s="1520"/>
      <c r="K141" s="1520"/>
      <c r="L141" s="1520"/>
      <c r="M141" s="1520"/>
      <c r="N141" s="1520"/>
      <c r="O141" s="1520"/>
      <c r="P141" s="1520"/>
      <c r="Q141" s="1560"/>
      <c r="S141" s="575"/>
      <c r="T141" s="575"/>
      <c r="U141" s="575"/>
      <c r="V141" s="575"/>
      <c r="W141" s="575"/>
      <c r="X141" s="575"/>
      <c r="Y141" s="575"/>
      <c r="Z141" s="575"/>
      <c r="AA141" s="575"/>
      <c r="AB141" s="575"/>
      <c r="AC141" s="575"/>
    </row>
    <row r="142" spans="1:29" ht="15.75" customHeight="1">
      <c r="A142" s="248"/>
      <c r="B142" s="229"/>
      <c r="C142" s="229"/>
      <c r="D142" s="229"/>
      <c r="E142" s="277"/>
      <c r="F142" s="327"/>
      <c r="G142" s="181"/>
      <c r="H142" s="1519"/>
      <c r="I142" s="1520"/>
      <c r="J142" s="1520"/>
      <c r="K142" s="1520"/>
      <c r="L142" s="1520"/>
      <c r="M142" s="1520"/>
      <c r="N142" s="1520"/>
      <c r="O142" s="1520"/>
      <c r="P142" s="1520"/>
      <c r="Q142" s="1560"/>
      <c r="S142" s="575"/>
      <c r="T142" s="575"/>
      <c r="U142" s="575"/>
      <c r="V142" s="575"/>
      <c r="W142" s="575"/>
      <c r="X142" s="575"/>
      <c r="Y142" s="575"/>
      <c r="Z142" s="575"/>
      <c r="AA142" s="575"/>
      <c r="AB142" s="575"/>
      <c r="AC142" s="575"/>
    </row>
    <row r="143" spans="1:29" ht="16.5" customHeight="1" thickBot="1">
      <c r="A143" s="301"/>
      <c r="B143" s="306"/>
      <c r="C143" s="306"/>
      <c r="D143" s="306"/>
      <c r="E143" s="314"/>
      <c r="F143" s="328"/>
      <c r="G143" s="330"/>
      <c r="H143" s="330"/>
      <c r="I143" s="330"/>
      <c r="J143" s="330"/>
      <c r="K143" s="345" t="s">
        <v>518</v>
      </c>
      <c r="L143" s="330"/>
      <c r="M143" s="330"/>
      <c r="N143" s="330"/>
      <c r="O143" s="330"/>
      <c r="P143" s="330"/>
      <c r="Q143" s="337"/>
      <c r="S143" s="575"/>
      <c r="T143" s="575"/>
      <c r="U143" s="575"/>
      <c r="V143" s="575"/>
      <c r="W143" s="575"/>
      <c r="X143" s="575"/>
      <c r="Y143" s="575"/>
      <c r="Z143" s="575"/>
      <c r="AA143" s="575"/>
      <c r="AB143" s="575"/>
      <c r="AC143" s="575"/>
    </row>
    <row r="144" spans="1:29" ht="15.75" customHeight="1">
      <c r="A144" s="229"/>
      <c r="B144" s="229"/>
      <c r="C144" s="229"/>
      <c r="D144" s="229"/>
      <c r="E144" s="277"/>
      <c r="F144" s="229"/>
      <c r="G144" s="146"/>
      <c r="H144" s="146"/>
      <c r="I144" s="146"/>
      <c r="J144" s="146"/>
      <c r="K144" s="147"/>
      <c r="L144" s="146"/>
      <c r="M144" s="146"/>
      <c r="N144" s="146"/>
      <c r="O144" s="146"/>
      <c r="P144" s="146"/>
      <c r="Q144" s="146"/>
      <c r="S144" s="575"/>
      <c r="T144" s="575"/>
      <c r="U144" s="575"/>
      <c r="V144" s="575"/>
      <c r="W144" s="575"/>
      <c r="X144" s="575"/>
      <c r="Y144" s="575"/>
      <c r="Z144" s="575"/>
      <c r="AA144" s="575"/>
      <c r="AB144" s="575"/>
      <c r="AC144" s="575"/>
    </row>
    <row r="145" spans="1:29" ht="15.75" customHeight="1">
      <c r="A145" s="229"/>
      <c r="B145" s="229"/>
      <c r="C145" s="229"/>
      <c r="D145" s="229"/>
      <c r="E145" s="277"/>
      <c r="F145" s="229"/>
      <c r="G145" s="146"/>
      <c r="H145" s="146"/>
      <c r="I145" s="146"/>
      <c r="J145" s="146"/>
      <c r="K145" s="147"/>
      <c r="L145" s="146"/>
      <c r="M145" s="146"/>
      <c r="N145" s="146"/>
      <c r="O145" s="146"/>
      <c r="P145" s="146"/>
      <c r="Q145" s="146"/>
      <c r="S145" s="575"/>
      <c r="T145" s="575"/>
      <c r="U145" s="575"/>
      <c r="V145" s="575"/>
      <c r="W145" s="575"/>
      <c r="X145" s="575"/>
      <c r="Y145" s="575"/>
      <c r="Z145" s="575"/>
      <c r="AA145" s="575"/>
      <c r="AB145" s="575"/>
      <c r="AC145" s="575"/>
    </row>
    <row r="146" spans="1:29" ht="21.25" customHeight="1" thickBot="1">
      <c r="A146" s="311" t="s">
        <v>613</v>
      </c>
      <c r="G146" s="144"/>
      <c r="H146" s="144"/>
      <c r="I146" s="144"/>
      <c r="J146" s="144"/>
      <c r="K146" s="144"/>
      <c r="L146" s="144"/>
      <c r="M146" s="144"/>
      <c r="N146" s="144"/>
      <c r="O146" s="144"/>
      <c r="P146" s="144"/>
      <c r="Q146" s="144"/>
      <c r="S146" s="575"/>
      <c r="T146" s="575"/>
      <c r="U146" s="575"/>
      <c r="V146" s="575"/>
      <c r="W146" s="575"/>
      <c r="X146" s="575"/>
      <c r="Y146" s="575"/>
      <c r="Z146" s="575"/>
      <c r="AA146" s="575"/>
      <c r="AB146" s="575"/>
      <c r="AC146" s="575"/>
    </row>
    <row r="147" spans="1:29" ht="26.5" customHeight="1">
      <c r="A147" s="1523" t="s">
        <v>10</v>
      </c>
      <c r="B147" s="1524"/>
      <c r="C147" s="1524"/>
      <c r="D147" s="1524"/>
      <c r="E147" s="1524"/>
      <c r="F147" s="1525"/>
      <c r="G147" s="716" t="s">
        <v>322</v>
      </c>
      <c r="H147" s="716" t="s">
        <v>614</v>
      </c>
      <c r="I147" s="716" t="s">
        <v>502</v>
      </c>
      <c r="J147" s="1526" t="s">
        <v>425</v>
      </c>
      <c r="K147" s="1528"/>
      <c r="L147" s="1528"/>
      <c r="M147" s="1528"/>
      <c r="N147" s="1528"/>
      <c r="O147" s="1528"/>
      <c r="P147" s="1528"/>
      <c r="Q147" s="1565"/>
      <c r="S147" s="575"/>
      <c r="T147" s="575"/>
      <c r="U147" s="575"/>
      <c r="V147" s="575"/>
      <c r="W147" s="575"/>
      <c r="X147" s="575"/>
      <c r="Y147" s="575"/>
      <c r="Z147" s="575"/>
      <c r="AA147" s="575"/>
      <c r="AB147" s="575"/>
      <c r="AC147" s="575"/>
    </row>
    <row r="148" spans="1:29" ht="15.75" customHeight="1">
      <c r="A148" s="248">
        <f>+'ATT H-2A'!A89</f>
        <v>44</v>
      </c>
      <c r="B148" s="231" t="s">
        <v>19</v>
      </c>
      <c r="C148" s="185"/>
      <c r="D148" s="195"/>
      <c r="E148" s="203"/>
      <c r="F148" s="245"/>
      <c r="G148" s="497" t="s">
        <v>515</v>
      </c>
      <c r="H148" s="498"/>
      <c r="I148" s="498" t="s">
        <v>413</v>
      </c>
      <c r="J148" s="146"/>
      <c r="K148" s="146"/>
      <c r="L148" s="146"/>
      <c r="M148" s="146"/>
      <c r="N148" s="146"/>
      <c r="O148" s="146"/>
      <c r="P148" s="146"/>
      <c r="Q148" s="329"/>
      <c r="S148" s="575"/>
      <c r="T148" s="575"/>
      <c r="U148" s="575"/>
      <c r="V148" s="575"/>
      <c r="W148" s="575"/>
      <c r="X148" s="575"/>
      <c r="Y148" s="575"/>
      <c r="Z148" s="575"/>
      <c r="AA148" s="575"/>
      <c r="AB148" s="575"/>
      <c r="AC148" s="575"/>
    </row>
    <row r="149" spans="1:29" ht="15.75" customHeight="1">
      <c r="A149" s="248"/>
      <c r="B149" s="231"/>
      <c r="C149" s="185" t="s">
        <v>615</v>
      </c>
      <c r="D149" s="195"/>
      <c r="E149" s="203"/>
      <c r="F149" s="245"/>
      <c r="G149" s="531">
        <v>0</v>
      </c>
      <c r="H149" s="528">
        <v>1</v>
      </c>
      <c r="I149" s="498">
        <f>+G149*H149</f>
        <v>0</v>
      </c>
      <c r="J149" s="146"/>
      <c r="K149" s="146"/>
      <c r="L149" s="146"/>
      <c r="M149" s="146"/>
      <c r="N149" s="146"/>
      <c r="O149" s="146"/>
      <c r="P149" s="146"/>
      <c r="Q149" s="329"/>
      <c r="S149" s="575"/>
      <c r="T149" s="575"/>
      <c r="U149" s="575"/>
      <c r="V149" s="575"/>
      <c r="W149" s="575"/>
      <c r="X149" s="575"/>
      <c r="Y149" s="575"/>
      <c r="Z149" s="575"/>
      <c r="AA149" s="575"/>
      <c r="AB149" s="575"/>
      <c r="AC149" s="575"/>
    </row>
    <row r="150" spans="1:29" ht="15.75" customHeight="1">
      <c r="A150" s="248"/>
      <c r="B150" s="231"/>
      <c r="C150" s="185" t="s">
        <v>616</v>
      </c>
      <c r="D150" s="195"/>
      <c r="E150" s="203"/>
      <c r="F150" s="245"/>
      <c r="G150" s="531">
        <v>0</v>
      </c>
      <c r="H150" s="529">
        <f>+'ATT H-2A'!H16</f>
        <v>0.16107005309484509</v>
      </c>
      <c r="I150" s="498">
        <f>+G150*H150</f>
        <v>0</v>
      </c>
      <c r="J150" s="146"/>
      <c r="K150" s="146"/>
      <c r="L150" s="146"/>
      <c r="M150" s="146"/>
      <c r="N150" s="146"/>
      <c r="O150" s="146"/>
      <c r="P150" s="146"/>
      <c r="Q150" s="329"/>
      <c r="S150" s="575"/>
      <c r="T150" s="575"/>
      <c r="U150" s="575"/>
      <c r="V150" s="575"/>
      <c r="W150" s="575"/>
      <c r="X150" s="575"/>
      <c r="Y150" s="575"/>
      <c r="Z150" s="575"/>
      <c r="AA150" s="575"/>
      <c r="AB150" s="575"/>
      <c r="AC150" s="575"/>
    </row>
    <row r="151" spans="1:29" ht="15.75" customHeight="1">
      <c r="A151" s="248"/>
      <c r="B151" s="231"/>
      <c r="C151" s="185" t="s">
        <v>402</v>
      </c>
      <c r="D151" s="195"/>
      <c r="E151" s="203"/>
      <c r="F151" s="245"/>
      <c r="G151" s="531">
        <v>0</v>
      </c>
      <c r="H151" s="529">
        <f>+'ATT H-2A'!H32</f>
        <v>0.221715942881543</v>
      </c>
      <c r="I151" s="498">
        <f>+G151*H151</f>
        <v>0</v>
      </c>
      <c r="J151" s="146"/>
      <c r="K151" s="146"/>
      <c r="L151" s="146"/>
      <c r="M151" s="146"/>
      <c r="N151" s="146"/>
      <c r="O151" s="146"/>
      <c r="P151" s="146"/>
      <c r="Q151" s="329"/>
      <c r="S151" s="575"/>
      <c r="T151" s="575"/>
      <c r="U151" s="575"/>
      <c r="V151" s="575"/>
      <c r="W151" s="575"/>
      <c r="X151" s="575"/>
      <c r="Y151" s="575"/>
      <c r="Z151" s="575"/>
      <c r="AA151" s="575"/>
      <c r="AB151" s="575"/>
      <c r="AC151" s="575"/>
    </row>
    <row r="152" spans="1:29" ht="15.75" customHeight="1" thickBot="1">
      <c r="A152" s="248"/>
      <c r="B152" s="231"/>
      <c r="C152" s="185" t="s">
        <v>514</v>
      </c>
      <c r="D152" s="195"/>
      <c r="E152" s="203"/>
      <c r="F152" s="245"/>
      <c r="G152" s="532">
        <v>0</v>
      </c>
      <c r="H152" s="529">
        <v>0</v>
      </c>
      <c r="I152" s="498">
        <f>+G152*H152</f>
        <v>0</v>
      </c>
      <c r="J152" s="146"/>
      <c r="K152" s="146"/>
      <c r="L152" s="146"/>
      <c r="M152" s="146"/>
      <c r="N152" s="146"/>
      <c r="O152" s="146"/>
      <c r="P152" s="146"/>
      <c r="Q152" s="329"/>
      <c r="S152" s="575"/>
      <c r="T152" s="575"/>
      <c r="U152" s="575"/>
      <c r="V152" s="575"/>
      <c r="W152" s="575"/>
      <c r="X152" s="575"/>
      <c r="Y152" s="575"/>
      <c r="Z152" s="575"/>
      <c r="AA152" s="575"/>
      <c r="AB152" s="575"/>
      <c r="AC152" s="575"/>
    </row>
    <row r="153" spans="1:29" ht="16.5" customHeight="1" thickBot="1">
      <c r="A153" s="868"/>
      <c r="B153" s="312"/>
      <c r="C153" s="499" t="s">
        <v>131</v>
      </c>
      <c r="D153" s="326"/>
      <c r="E153" s="500"/>
      <c r="F153" s="501"/>
      <c r="G153" s="530">
        <f>SUM(G149:G152)</f>
        <v>0</v>
      </c>
      <c r="H153" s="502"/>
      <c r="I153" s="503">
        <f>SUM(I149:I152)</f>
        <v>0</v>
      </c>
      <c r="J153" s="1569"/>
      <c r="K153" s="1522"/>
      <c r="L153" s="1522"/>
      <c r="M153" s="1522"/>
      <c r="N153" s="1522"/>
      <c r="O153" s="1522"/>
      <c r="P153" s="1522"/>
      <c r="Q153" s="1566"/>
      <c r="S153" s="575"/>
      <c r="T153" s="575"/>
      <c r="U153" s="575"/>
      <c r="V153" s="575"/>
      <c r="W153" s="575"/>
      <c r="X153" s="575"/>
      <c r="Y153" s="575"/>
      <c r="Z153" s="575"/>
      <c r="AA153" s="575"/>
      <c r="AB153" s="575"/>
      <c r="AC153" s="575"/>
    </row>
    <row r="154" spans="1:29" ht="15.75" customHeight="1">
      <c r="A154" s="229"/>
      <c r="B154" s="229"/>
      <c r="C154" s="229"/>
      <c r="D154" s="229"/>
      <c r="E154" s="277"/>
      <c r="F154" s="229"/>
      <c r="G154" s="146"/>
      <c r="H154" s="146"/>
      <c r="I154" s="146"/>
      <c r="J154" s="146"/>
      <c r="K154" s="147"/>
      <c r="L154" s="146"/>
      <c r="M154" s="146"/>
      <c r="N154" s="146"/>
      <c r="O154" s="146"/>
      <c r="P154" s="146"/>
      <c r="Q154" s="146"/>
      <c r="S154" s="575"/>
      <c r="T154" s="575"/>
      <c r="U154" s="575"/>
      <c r="V154" s="575"/>
      <c r="W154" s="575"/>
      <c r="X154" s="575"/>
      <c r="Y154" s="575"/>
      <c r="Z154" s="575"/>
      <c r="AA154" s="575"/>
      <c r="AB154" s="575"/>
      <c r="AC154" s="575"/>
    </row>
    <row r="155" spans="1:29" ht="15.75" customHeight="1">
      <c r="A155" s="229"/>
      <c r="B155" s="229"/>
      <c r="C155" s="229"/>
      <c r="D155" s="229"/>
      <c r="E155" s="277"/>
      <c r="F155" s="229"/>
      <c r="G155" s="146"/>
      <c r="H155" s="146"/>
      <c r="I155" s="146"/>
      <c r="J155" s="146"/>
      <c r="K155" s="147"/>
      <c r="L155" s="146"/>
      <c r="M155" s="146"/>
      <c r="N155" s="146"/>
      <c r="O155" s="146"/>
      <c r="P155" s="146"/>
      <c r="Q155" s="146"/>
      <c r="S155" s="575"/>
      <c r="T155" s="575"/>
      <c r="U155" s="575"/>
      <c r="V155" s="575"/>
      <c r="W155" s="575"/>
      <c r="X155" s="575"/>
      <c r="Y155" s="575"/>
      <c r="Z155" s="575"/>
      <c r="AA155" s="575"/>
      <c r="AB155" s="575"/>
      <c r="AC155" s="575"/>
    </row>
    <row r="156" spans="1:29" ht="21.25" customHeight="1" thickBot="1">
      <c r="A156" s="311" t="s">
        <v>209</v>
      </c>
      <c r="G156" s="144"/>
      <c r="H156" s="144"/>
      <c r="I156" s="144"/>
      <c r="J156" s="144"/>
      <c r="K156" s="144"/>
      <c r="L156" s="144"/>
      <c r="M156" s="144"/>
      <c r="N156" s="144"/>
      <c r="O156" s="144"/>
      <c r="P156" s="144"/>
      <c r="Q156" s="144"/>
      <c r="S156" s="575"/>
      <c r="T156" s="575"/>
      <c r="U156" s="575"/>
      <c r="V156" s="575"/>
      <c r="W156" s="575"/>
      <c r="X156" s="575"/>
      <c r="Y156" s="575"/>
      <c r="Z156" s="575"/>
      <c r="AA156" s="575"/>
      <c r="AB156" s="575"/>
      <c r="AC156" s="575"/>
    </row>
    <row r="157" spans="1:29" ht="39.25" customHeight="1">
      <c r="A157" s="1523" t="s">
        <v>10</v>
      </c>
      <c r="B157" s="1524"/>
      <c r="C157" s="1524"/>
      <c r="D157" s="1524"/>
      <c r="E157" s="1524"/>
      <c r="F157" s="1525"/>
      <c r="G157" s="343" t="s">
        <v>118</v>
      </c>
      <c r="H157" s="716" t="s">
        <v>483</v>
      </c>
      <c r="I157" s="716" t="s">
        <v>499</v>
      </c>
      <c r="J157" s="1526" t="s">
        <v>132</v>
      </c>
      <c r="K157" s="1526"/>
      <c r="L157" s="1526"/>
      <c r="M157" s="1526"/>
      <c r="N157" s="1526"/>
      <c r="O157" s="1526"/>
      <c r="P157" s="1526"/>
      <c r="Q157" s="1591"/>
      <c r="S157" s="575"/>
      <c r="T157" s="575"/>
      <c r="U157" s="575"/>
      <c r="V157" s="575"/>
      <c r="W157" s="575"/>
      <c r="X157" s="575"/>
      <c r="Y157" s="575"/>
      <c r="Z157" s="575"/>
      <c r="AA157" s="575"/>
      <c r="AB157" s="575"/>
      <c r="AC157" s="575"/>
    </row>
    <row r="158" spans="1:29" ht="15.75" customHeight="1">
      <c r="A158" s="586">
        <v>45</v>
      </c>
      <c r="B158" s="204" t="s">
        <v>209</v>
      </c>
      <c r="C158" s="270"/>
      <c r="D158" s="211"/>
      <c r="E158" s="271"/>
      <c r="F158" s="238"/>
      <c r="G158" s="146"/>
      <c r="H158" s="146"/>
      <c r="I158" s="146"/>
      <c r="J158" s="146"/>
      <c r="K158" s="146"/>
      <c r="L158" s="146"/>
      <c r="M158" s="146"/>
      <c r="N158" s="146"/>
      <c r="O158" s="146"/>
      <c r="P158" s="146"/>
      <c r="Q158" s="329"/>
      <c r="S158" s="575"/>
      <c r="T158" s="575"/>
      <c r="U158" s="575"/>
      <c r="V158" s="575"/>
      <c r="W158" s="575"/>
      <c r="X158" s="575"/>
      <c r="Y158" s="575"/>
      <c r="Z158" s="575"/>
      <c r="AA158" s="575"/>
      <c r="AB158" s="575"/>
      <c r="AC158" s="575"/>
    </row>
    <row r="159" spans="1:29" ht="15.75" customHeight="1">
      <c r="A159" s="248"/>
      <c r="B159" s="229"/>
      <c r="C159" s="652"/>
      <c r="D159" s="221"/>
      <c r="E159" s="221" t="s">
        <v>343</v>
      </c>
      <c r="F159" s="266"/>
      <c r="G159" s="359"/>
      <c r="H159" s="1519"/>
      <c r="I159" s="1520"/>
      <c r="J159" s="1520"/>
      <c r="K159" s="1520"/>
      <c r="L159" s="1520"/>
      <c r="M159" s="1520"/>
      <c r="N159" s="1520"/>
      <c r="O159" s="1520"/>
      <c r="P159" s="1520"/>
      <c r="Q159" s="1560"/>
      <c r="S159" s="575"/>
      <c r="T159" s="575"/>
      <c r="U159" s="575"/>
      <c r="V159" s="575"/>
      <c r="W159" s="575"/>
      <c r="X159" s="575"/>
      <c r="Y159" s="575"/>
      <c r="Z159" s="575"/>
      <c r="AA159" s="575"/>
      <c r="AB159" s="575"/>
      <c r="AC159" s="575"/>
    </row>
    <row r="160" spans="1:29" ht="26.5" customHeight="1">
      <c r="A160" s="248"/>
      <c r="B160" s="229"/>
      <c r="C160" s="652" t="s">
        <v>855</v>
      </c>
      <c r="D160" s="911">
        <f>+H160</f>
        <v>1147088.5199100003</v>
      </c>
      <c r="E160" s="504">
        <f>'ATT H-2A'!H35</f>
        <v>0.25273645210431184</v>
      </c>
      <c r="F160" s="505">
        <f>+D160*E160</f>
        <v>289911.08277163975</v>
      </c>
      <c r="G160" s="869">
        <v>1585495.9000000001</v>
      </c>
      <c r="H160" s="1358">
        <v>1147088.5199100003</v>
      </c>
      <c r="I160" s="516">
        <f>G160-H160</f>
        <v>438407.38008999988</v>
      </c>
      <c r="J160" s="1589" t="s">
        <v>1307</v>
      </c>
      <c r="K160" s="1589"/>
      <c r="L160" s="1589"/>
      <c r="M160" s="1589"/>
      <c r="N160" s="1589"/>
      <c r="O160" s="1589"/>
      <c r="P160" s="1589"/>
      <c r="Q160" s="1590"/>
      <c r="S160" s="575"/>
      <c r="T160" s="575"/>
      <c r="U160" s="575"/>
      <c r="V160" s="575"/>
      <c r="W160" s="575"/>
      <c r="X160" s="575"/>
      <c r="Y160" s="575"/>
      <c r="Z160" s="575"/>
      <c r="AA160" s="575"/>
      <c r="AB160" s="575"/>
      <c r="AC160" s="575"/>
    </row>
    <row r="161" spans="1:29" ht="39.25" customHeight="1">
      <c r="A161" s="248"/>
      <c r="B161" s="229"/>
      <c r="C161" s="652" t="s">
        <v>221</v>
      </c>
      <c r="D161" s="911">
        <f>+H161</f>
        <v>182810565.90600002</v>
      </c>
      <c r="E161" s="506">
        <f>'ATT H-2A'!H16</f>
        <v>0.16107005309484509</v>
      </c>
      <c r="F161" s="505">
        <f>+D161*E161</f>
        <v>29445307.556778103</v>
      </c>
      <c r="G161" s="869">
        <v>270030378</v>
      </c>
      <c r="H161" s="1358">
        <f>G161*0.677</f>
        <v>182810565.90600002</v>
      </c>
      <c r="I161" s="482">
        <f>G161-H161</f>
        <v>87219812.093999982</v>
      </c>
      <c r="J161" s="1561" t="s">
        <v>876</v>
      </c>
      <c r="K161" s="1561"/>
      <c r="L161" s="1561"/>
      <c r="M161" s="1561"/>
      <c r="N161" s="1561"/>
      <c r="O161" s="1561"/>
      <c r="P161" s="1561"/>
      <c r="Q161" s="1562"/>
      <c r="S161" s="575"/>
      <c r="T161" s="575"/>
      <c r="U161" s="575"/>
      <c r="V161" s="575"/>
      <c r="W161" s="575"/>
      <c r="X161" s="575"/>
      <c r="Y161" s="575"/>
      <c r="Z161" s="575"/>
      <c r="AA161" s="575"/>
      <c r="AB161" s="575"/>
      <c r="AC161" s="575"/>
    </row>
    <row r="162" spans="1:29" ht="15.75" customHeight="1">
      <c r="A162" s="248"/>
      <c r="B162" s="229"/>
      <c r="C162" s="652"/>
      <c r="D162" s="533"/>
      <c r="E162" s="506"/>
      <c r="F162" s="505"/>
      <c r="G162" s="517"/>
      <c r="H162" s="482"/>
      <c r="I162" s="482"/>
      <c r="J162" s="480"/>
      <c r="K162" s="718"/>
      <c r="L162" s="718"/>
      <c r="M162" s="718"/>
      <c r="N162" s="718"/>
      <c r="O162" s="718"/>
      <c r="P162" s="718"/>
      <c r="Q162" s="722"/>
      <c r="S162" s="575"/>
      <c r="T162" s="575"/>
      <c r="U162" s="575"/>
      <c r="V162" s="575"/>
      <c r="W162" s="575"/>
      <c r="X162" s="575"/>
      <c r="Y162" s="575"/>
      <c r="Z162" s="575"/>
      <c r="AA162" s="575"/>
      <c r="AB162" s="575"/>
      <c r="AC162" s="575"/>
    </row>
    <row r="163" spans="1:29" ht="15.75" customHeight="1" thickBot="1">
      <c r="A163" s="301"/>
      <c r="B163" s="306"/>
      <c r="C163" s="866" t="s">
        <v>77</v>
      </c>
      <c r="D163" s="534"/>
      <c r="E163" s="535"/>
      <c r="F163" s="536">
        <f>SUM(F160:F162)</f>
        <v>29735218.639549743</v>
      </c>
      <c r="G163" s="344"/>
      <c r="H163" s="720"/>
      <c r="I163" s="721"/>
      <c r="J163" s="537"/>
      <c r="K163" s="721"/>
      <c r="L163" s="721"/>
      <c r="M163" s="721"/>
      <c r="N163" s="721"/>
      <c r="O163" s="721"/>
      <c r="P163" s="721"/>
      <c r="Q163" s="723"/>
      <c r="S163" s="575"/>
      <c r="T163" s="575"/>
      <c r="U163" s="575"/>
      <c r="V163" s="575"/>
      <c r="W163" s="575"/>
      <c r="X163" s="575"/>
      <c r="Y163" s="575"/>
      <c r="Z163" s="575"/>
      <c r="AA163" s="575"/>
      <c r="AB163" s="575"/>
      <c r="AC163" s="575"/>
    </row>
    <row r="164" spans="1:29" ht="15.5">
      <c r="A164" s="229"/>
      <c r="B164" s="229"/>
      <c r="C164" s="565"/>
      <c r="D164" s="533"/>
      <c r="E164" s="507"/>
      <c r="F164" s="507"/>
      <c r="G164" s="181"/>
      <c r="H164" s="719"/>
      <c r="I164" s="718"/>
      <c r="J164" s="480"/>
      <c r="K164" s="718"/>
      <c r="L164" s="718"/>
      <c r="M164" s="718"/>
      <c r="N164" s="718"/>
      <c r="O164" s="718"/>
      <c r="P164" s="718"/>
      <c r="Q164" s="718"/>
      <c r="S164" s="575"/>
      <c r="T164" s="575"/>
      <c r="U164" s="575"/>
      <c r="V164" s="575"/>
      <c r="W164" s="575"/>
      <c r="X164" s="575"/>
      <c r="Y164" s="575"/>
      <c r="Z164" s="575"/>
      <c r="AA164" s="575"/>
      <c r="AB164" s="575"/>
      <c r="AC164" s="575"/>
    </row>
    <row r="165" spans="1:29" ht="20.5" thickBot="1">
      <c r="A165" s="539" t="s">
        <v>223</v>
      </c>
      <c r="B165" s="229"/>
      <c r="C165" s="229"/>
      <c r="D165" s="229"/>
      <c r="E165" s="277"/>
      <c r="F165" s="229"/>
      <c r="G165" s="146"/>
      <c r="H165" s="389"/>
      <c r="I165" s="146"/>
      <c r="J165" s="146"/>
      <c r="K165" s="147"/>
      <c r="L165" s="146"/>
      <c r="M165" s="146"/>
      <c r="N165" s="146"/>
      <c r="O165" s="146"/>
      <c r="P165" s="146"/>
      <c r="Q165" s="146"/>
      <c r="S165" s="575"/>
      <c r="T165" s="575"/>
      <c r="U165" s="575"/>
      <c r="V165" s="575"/>
      <c r="W165" s="575"/>
      <c r="X165" s="575"/>
      <c r="Y165" s="575"/>
      <c r="Z165" s="575"/>
      <c r="AA165" s="575"/>
      <c r="AB165" s="575"/>
      <c r="AC165" s="575"/>
    </row>
    <row r="166" spans="1:29" ht="15.75" customHeight="1">
      <c r="A166" s="1523" t="s">
        <v>10</v>
      </c>
      <c r="B166" s="1524"/>
      <c r="C166" s="1524"/>
      <c r="D166" s="1524"/>
      <c r="E166" s="1524"/>
      <c r="F166" s="1525"/>
      <c r="G166" s="638" t="s">
        <v>87</v>
      </c>
      <c r="H166" s="540" t="s">
        <v>224</v>
      </c>
      <c r="I166" s="540" t="s">
        <v>607</v>
      </c>
      <c r="J166" s="540" t="s">
        <v>225</v>
      </c>
      <c r="K166" s="541"/>
      <c r="L166" s="540"/>
      <c r="M166" s="540"/>
      <c r="N166" s="540"/>
      <c r="O166" s="540"/>
      <c r="P166" s="540"/>
      <c r="Q166" s="418"/>
      <c r="S166" s="575"/>
      <c r="T166" s="575"/>
      <c r="U166" s="575"/>
      <c r="V166" s="575"/>
      <c r="W166" s="575"/>
      <c r="X166" s="575"/>
      <c r="Y166" s="575"/>
      <c r="Z166" s="575"/>
      <c r="AA166" s="575"/>
      <c r="AB166" s="575"/>
      <c r="AC166" s="575"/>
    </row>
    <row r="167" spans="1:29" ht="15.75" customHeight="1">
      <c r="A167" s="248">
        <v>61</v>
      </c>
      <c r="B167" s="229"/>
      <c r="C167" s="212" t="str">
        <f>'ATT H-2A'!C123</f>
        <v>Less extraordinary property losses</v>
      </c>
      <c r="D167" s="229"/>
      <c r="E167" s="229"/>
      <c r="F167" s="327" t="s">
        <v>55</v>
      </c>
      <c r="G167" s="542"/>
      <c r="H167" s="146"/>
      <c r="I167" s="146"/>
      <c r="J167" s="146"/>
      <c r="K167" s="147"/>
      <c r="L167" s="146"/>
      <c r="M167" s="146"/>
      <c r="N167" s="146"/>
      <c r="O167" s="146"/>
      <c r="P167" s="146"/>
      <c r="Q167" s="329"/>
      <c r="S167" s="575"/>
      <c r="T167" s="575"/>
      <c r="U167" s="575"/>
      <c r="V167" s="575"/>
      <c r="W167" s="575"/>
      <c r="X167" s="575"/>
      <c r="Y167" s="575"/>
      <c r="Z167" s="575"/>
      <c r="AA167" s="575"/>
      <c r="AB167" s="575"/>
      <c r="AC167" s="575"/>
    </row>
    <row r="168" spans="1:29" ht="24" customHeight="1" thickBot="1">
      <c r="A168" s="301">
        <v>62</v>
      </c>
      <c r="B168" s="306"/>
      <c r="C168" s="313" t="str">
        <f>'ATT H-2A'!C124</f>
        <v>Plus amortization of extraordinary property losses</v>
      </c>
      <c r="D168" s="306"/>
      <c r="E168" s="306"/>
      <c r="F168" s="328" t="s">
        <v>55</v>
      </c>
      <c r="G168" s="336"/>
      <c r="H168" s="330">
        <v>5</v>
      </c>
      <c r="I168" s="543">
        <f>G167/H168</f>
        <v>0</v>
      </c>
      <c r="J168" s="543">
        <f>I168-ISPMT('ATT H-2A'!H220,1, H168,'5 - Cost Support'!G167)</f>
        <v>0</v>
      </c>
      <c r="K168" s="345"/>
      <c r="L168" s="330"/>
      <c r="M168" s="330"/>
      <c r="N168" s="330"/>
      <c r="O168" s="330"/>
      <c r="P168" s="330"/>
      <c r="Q168" s="337"/>
      <c r="S168" s="575"/>
      <c r="T168" s="575"/>
      <c r="U168" s="575"/>
      <c r="V168" s="575"/>
      <c r="W168" s="575"/>
      <c r="X168" s="575"/>
      <c r="Y168" s="575"/>
      <c r="Z168" s="575"/>
      <c r="AA168" s="575"/>
      <c r="AB168" s="575"/>
      <c r="AC168" s="575"/>
    </row>
    <row r="169" spans="1:29" ht="12.75" customHeight="1">
      <c r="A169" s="652"/>
      <c r="B169" s="652"/>
      <c r="C169" s="652"/>
      <c r="D169" s="652"/>
      <c r="E169" s="652"/>
      <c r="F169" s="652"/>
      <c r="G169" s="146"/>
      <c r="H169" s="146"/>
      <c r="I169" s="146"/>
      <c r="J169" s="146"/>
      <c r="K169" s="147"/>
      <c r="L169" s="146"/>
      <c r="M169" s="146"/>
      <c r="N169" s="146"/>
      <c r="O169" s="146"/>
      <c r="P169" s="146"/>
      <c r="Q169" s="146"/>
      <c r="S169" s="575"/>
      <c r="T169" s="575"/>
      <c r="U169" s="575"/>
      <c r="V169" s="575"/>
      <c r="W169" s="575"/>
      <c r="X169" s="575"/>
      <c r="Y169" s="575"/>
      <c r="Z169" s="575"/>
      <c r="AA169" s="575"/>
      <c r="AB169" s="575"/>
      <c r="AC169" s="575"/>
    </row>
    <row r="170" spans="1:29" ht="20.149999999999999" customHeight="1">
      <c r="A170" s="367"/>
      <c r="B170" s="210"/>
      <c r="D170" s="124"/>
      <c r="E170" s="125"/>
      <c r="F170" s="126"/>
      <c r="G170" s="544"/>
      <c r="H170" s="144"/>
      <c r="I170" s="144"/>
      <c r="J170" s="144"/>
      <c r="K170" s="144"/>
      <c r="L170" s="144"/>
      <c r="M170" s="144"/>
      <c r="N170" s="144"/>
      <c r="O170" s="144"/>
      <c r="P170" s="144"/>
      <c r="Q170" s="451"/>
      <c r="S170" s="575"/>
      <c r="T170" s="575"/>
      <c r="U170" s="575"/>
      <c r="V170" s="575"/>
      <c r="W170" s="575"/>
      <c r="X170" s="575"/>
      <c r="Y170" s="575"/>
      <c r="Z170" s="575"/>
      <c r="AA170" s="575"/>
      <c r="AB170" s="575"/>
      <c r="AC170" s="575"/>
    </row>
    <row r="171" spans="1:29" ht="21.25" customHeight="1">
      <c r="A171" s="652"/>
      <c r="B171" s="652"/>
      <c r="C171" s="652"/>
      <c r="D171" s="652"/>
      <c r="E171" s="652"/>
      <c r="F171" s="652"/>
      <c r="G171" s="146"/>
      <c r="H171" s="146"/>
      <c r="I171" s="146"/>
      <c r="J171" s="146"/>
      <c r="K171" s="147"/>
      <c r="L171" s="146"/>
      <c r="M171" s="146"/>
      <c r="N171" s="146"/>
      <c r="O171" s="146"/>
      <c r="P171" s="270"/>
      <c r="Q171" s="146"/>
      <c r="S171" s="575"/>
      <c r="T171" s="575"/>
      <c r="U171" s="575"/>
      <c r="V171" s="575"/>
      <c r="W171" s="575"/>
      <c r="X171" s="575"/>
      <c r="Y171" s="575"/>
      <c r="Z171" s="575"/>
      <c r="AA171" s="575"/>
      <c r="AB171" s="575"/>
      <c r="AC171" s="575"/>
    </row>
    <row r="172" spans="1:29" ht="21.25" customHeight="1" thickBot="1">
      <c r="A172" s="311" t="s">
        <v>592</v>
      </c>
      <c r="G172" s="144"/>
      <c r="H172" s="144"/>
      <c r="I172" s="144"/>
      <c r="J172" s="144"/>
      <c r="K172" s="144"/>
      <c r="L172" s="144"/>
      <c r="M172" s="144"/>
      <c r="N172" s="144"/>
      <c r="O172" s="144"/>
      <c r="P172" s="144"/>
      <c r="Q172" s="144"/>
      <c r="S172" s="575"/>
      <c r="T172" s="575"/>
      <c r="U172" s="575"/>
      <c r="V172" s="575"/>
      <c r="W172" s="575"/>
      <c r="X172" s="575"/>
      <c r="Y172" s="575"/>
      <c r="Z172" s="575"/>
      <c r="AA172" s="575"/>
      <c r="AB172" s="575"/>
      <c r="AC172" s="575"/>
    </row>
    <row r="173" spans="1:29" ht="26.5" customHeight="1">
      <c r="A173" s="1523" t="s">
        <v>10</v>
      </c>
      <c r="B173" s="1524"/>
      <c r="C173" s="1524"/>
      <c r="D173" s="1524"/>
      <c r="E173" s="1524"/>
      <c r="F173" s="1525"/>
      <c r="G173" s="343" t="str">
        <f>+C175</f>
        <v>Outstanding Network Credits</v>
      </c>
      <c r="H173" s="1526" t="s">
        <v>523</v>
      </c>
      <c r="I173" s="1527"/>
      <c r="J173" s="1527"/>
      <c r="K173" s="1527"/>
      <c r="L173" s="1527"/>
      <c r="M173" s="1527"/>
      <c r="N173" s="1527"/>
      <c r="O173" s="1527"/>
      <c r="P173" s="1527"/>
      <c r="Q173" s="1570"/>
      <c r="S173" s="575"/>
      <c r="T173" s="575"/>
      <c r="U173" s="575"/>
      <c r="V173" s="575"/>
      <c r="W173" s="575"/>
      <c r="X173" s="575"/>
      <c r="Y173" s="575"/>
      <c r="Z173" s="575"/>
      <c r="AA173" s="575"/>
      <c r="AB173" s="575"/>
      <c r="AC173" s="575"/>
    </row>
    <row r="174" spans="1:29" ht="15.75" customHeight="1">
      <c r="A174" s="269"/>
      <c r="B174" s="204" t="s">
        <v>469</v>
      </c>
      <c r="C174" s="270"/>
      <c r="D174" s="211"/>
      <c r="E174" s="271"/>
      <c r="F174" s="238"/>
      <c r="G174" s="331"/>
      <c r="H174" s="146"/>
      <c r="I174" s="146"/>
      <c r="J174" s="146"/>
      <c r="K174" s="146"/>
      <c r="L174" s="146"/>
      <c r="M174" s="146"/>
      <c r="N174" s="146"/>
      <c r="O174" s="146"/>
      <c r="P174" s="146"/>
      <c r="Q174" s="329"/>
      <c r="S174" s="575"/>
      <c r="T174" s="575"/>
      <c r="U174" s="575"/>
      <c r="V174" s="575"/>
      <c r="W174" s="575"/>
      <c r="X174" s="575"/>
      <c r="Y174" s="575"/>
      <c r="Z174" s="575"/>
      <c r="AA174" s="575"/>
      <c r="AB174" s="575"/>
      <c r="AC174" s="575"/>
    </row>
    <row r="175" spans="1:29" ht="15.75" customHeight="1">
      <c r="A175" s="248">
        <v>55</v>
      </c>
      <c r="B175" s="229"/>
      <c r="C175" s="212" t="str">
        <f>'Exh F - AA-BL Items'!C94</f>
        <v>Outstanding Network Credits</v>
      </c>
      <c r="D175" s="229"/>
      <c r="E175" s="277" t="str">
        <f>'Exh F - AA-BL Items'!E94</f>
        <v>(Note N)</v>
      </c>
      <c r="F175" s="327" t="str">
        <f>'Exh F - AA-BL Items'!F94</f>
        <v>From PJM</v>
      </c>
      <c r="G175" s="334">
        <v>0</v>
      </c>
      <c r="H175" s="1519" t="s">
        <v>521</v>
      </c>
      <c r="I175" s="1520"/>
      <c r="J175" s="1520"/>
      <c r="K175" s="1520"/>
      <c r="L175" s="1520"/>
      <c r="M175" s="1520"/>
      <c r="N175" s="1520"/>
      <c r="O175" s="1520"/>
      <c r="P175" s="1520"/>
      <c r="Q175" s="1560"/>
      <c r="S175" s="575"/>
      <c r="T175" s="575"/>
      <c r="U175" s="575"/>
      <c r="V175" s="575"/>
      <c r="W175" s="575"/>
      <c r="X175" s="575"/>
      <c r="Y175" s="575"/>
      <c r="Z175" s="575"/>
      <c r="AA175" s="575"/>
      <c r="AB175" s="575"/>
      <c r="AC175" s="575"/>
    </row>
    <row r="176" spans="1:29" ht="15.75" customHeight="1">
      <c r="A176" s="248"/>
      <c r="B176" s="229"/>
      <c r="C176" s="229"/>
      <c r="D176" s="229"/>
      <c r="E176" s="277"/>
      <c r="F176" s="327"/>
      <c r="G176" s="331"/>
      <c r="H176" s="146"/>
      <c r="I176" s="146"/>
      <c r="J176" s="146"/>
      <c r="K176" s="146"/>
      <c r="L176" s="146"/>
      <c r="M176" s="146"/>
      <c r="N176" s="146"/>
      <c r="O176" s="181"/>
      <c r="P176" s="146"/>
      <c r="Q176" s="329"/>
      <c r="S176" s="575"/>
      <c r="T176" s="575"/>
      <c r="U176" s="575"/>
      <c r="V176" s="575"/>
      <c r="W176" s="575"/>
      <c r="X176" s="575"/>
      <c r="Y176" s="575"/>
      <c r="Z176" s="575"/>
      <c r="AA176" s="575"/>
      <c r="AB176" s="575"/>
      <c r="AC176" s="575"/>
    </row>
    <row r="177" spans="1:29" ht="15.75" customHeight="1">
      <c r="A177" s="248"/>
      <c r="B177" s="229"/>
      <c r="C177" s="229"/>
      <c r="D177" s="229"/>
      <c r="E177" s="277"/>
      <c r="F177" s="327"/>
      <c r="G177" s="333" t="s">
        <v>515</v>
      </c>
      <c r="H177" s="1519" t="s">
        <v>39</v>
      </c>
      <c r="I177" s="1520"/>
      <c r="J177" s="1520"/>
      <c r="K177" s="1520"/>
      <c r="L177" s="1520"/>
      <c r="M177" s="1520"/>
      <c r="N177" s="1520"/>
      <c r="O177" s="1520"/>
      <c r="P177" s="1520"/>
      <c r="Q177" s="1560"/>
      <c r="S177" s="575"/>
      <c r="T177" s="575"/>
      <c r="U177" s="575"/>
      <c r="V177" s="575"/>
      <c r="W177" s="575"/>
      <c r="X177" s="575"/>
      <c r="Y177" s="575"/>
      <c r="Z177" s="575"/>
      <c r="AA177" s="575"/>
      <c r="AB177" s="575"/>
      <c r="AC177" s="575"/>
    </row>
    <row r="178" spans="1:29" ht="15.75" customHeight="1">
      <c r="A178" s="248"/>
      <c r="B178" s="229"/>
      <c r="C178" s="229"/>
      <c r="D178" s="229"/>
      <c r="E178" s="277"/>
      <c r="F178" s="327"/>
      <c r="G178" s="333"/>
      <c r="H178" s="1519"/>
      <c r="I178" s="1520"/>
      <c r="J178" s="1520"/>
      <c r="K178" s="1520"/>
      <c r="L178" s="1520"/>
      <c r="M178" s="1520"/>
      <c r="N178" s="1520"/>
      <c r="O178" s="1520"/>
      <c r="P178" s="1520"/>
      <c r="Q178" s="1560"/>
      <c r="S178" s="575"/>
      <c r="T178" s="575"/>
      <c r="U178" s="575"/>
      <c r="V178" s="575"/>
      <c r="W178" s="575"/>
      <c r="X178" s="575"/>
      <c r="Y178" s="575"/>
      <c r="Z178" s="575"/>
      <c r="AA178" s="575"/>
      <c r="AB178" s="575"/>
      <c r="AC178" s="575"/>
    </row>
    <row r="179" spans="1:29" ht="15.75" customHeight="1">
      <c r="A179" s="248"/>
      <c r="B179" s="229"/>
      <c r="C179" s="229"/>
      <c r="D179" s="229"/>
      <c r="E179" s="277"/>
      <c r="F179" s="327"/>
      <c r="G179" s="333"/>
      <c r="H179" s="1519"/>
      <c r="I179" s="1520"/>
      <c r="J179" s="1520"/>
      <c r="K179" s="1520"/>
      <c r="L179" s="1520"/>
      <c r="M179" s="1520"/>
      <c r="N179" s="1520"/>
      <c r="O179" s="1520"/>
      <c r="P179" s="1520"/>
      <c r="Q179" s="1560"/>
      <c r="S179" s="575"/>
      <c r="T179" s="575"/>
      <c r="U179" s="575"/>
      <c r="V179" s="575"/>
      <c r="W179" s="575"/>
      <c r="X179" s="575"/>
      <c r="Y179" s="575"/>
      <c r="Z179" s="575"/>
      <c r="AA179" s="575"/>
      <c r="AB179" s="575"/>
      <c r="AC179" s="575"/>
    </row>
    <row r="180" spans="1:29" ht="15.75" customHeight="1">
      <c r="A180" s="248">
        <v>56</v>
      </c>
      <c r="B180" s="229"/>
      <c r="C180" s="212" t="str">
        <f>+'ATT H-2A'!C112</f>
        <v xml:space="preserve">    Less Accumulated Depreciation Associated with Facilities with Outstanding Network Credits</v>
      </c>
      <c r="D180" s="229"/>
      <c r="E180" s="212" t="str">
        <f>+'ATT H-2A'!E112</f>
        <v>(Note N)</v>
      </c>
      <c r="F180" s="229" t="str">
        <f>+'ATT H-2A'!F112</f>
        <v>From PJM</v>
      </c>
      <c r="G180" s="333">
        <v>0</v>
      </c>
      <c r="H180" s="1519"/>
      <c r="I180" s="1520"/>
      <c r="J180" s="1520"/>
      <c r="K180" s="1520"/>
      <c r="L180" s="1520"/>
      <c r="M180" s="1520"/>
      <c r="N180" s="1520"/>
      <c r="O180" s="1520"/>
      <c r="P180" s="1520"/>
      <c r="Q180" s="1560"/>
      <c r="S180" s="575"/>
      <c r="T180" s="575"/>
      <c r="U180" s="575"/>
      <c r="V180" s="575"/>
      <c r="W180" s="575"/>
      <c r="X180" s="575"/>
      <c r="Y180" s="575"/>
      <c r="Z180" s="575"/>
      <c r="AA180" s="575"/>
      <c r="AB180" s="575"/>
      <c r="AC180" s="575"/>
    </row>
    <row r="181" spans="1:29" ht="15.75" customHeight="1">
      <c r="A181" s="248"/>
      <c r="B181" s="229"/>
      <c r="C181" s="229"/>
      <c r="D181" s="229"/>
      <c r="E181" s="277"/>
      <c r="F181" s="327"/>
      <c r="G181" s="333"/>
      <c r="H181" s="1519"/>
      <c r="I181" s="1520"/>
      <c r="J181" s="1520"/>
      <c r="K181" s="1520"/>
      <c r="L181" s="1520"/>
      <c r="M181" s="1520"/>
      <c r="N181" s="1520"/>
      <c r="O181" s="1520"/>
      <c r="P181" s="1520"/>
      <c r="Q181" s="1560"/>
      <c r="S181" s="575"/>
      <c r="T181" s="575"/>
      <c r="U181" s="575"/>
      <c r="V181" s="575"/>
      <c r="W181" s="575"/>
      <c r="X181" s="575"/>
      <c r="Y181" s="575"/>
      <c r="Z181" s="575"/>
      <c r="AA181" s="575"/>
      <c r="AB181" s="575"/>
      <c r="AC181" s="575"/>
    </row>
    <row r="182" spans="1:29" ht="15.75" customHeight="1">
      <c r="A182" s="248"/>
      <c r="B182" s="229"/>
      <c r="C182" s="229"/>
      <c r="D182" s="229"/>
      <c r="E182" s="277"/>
      <c r="F182" s="327"/>
      <c r="G182" s="333" t="s">
        <v>515</v>
      </c>
      <c r="H182" s="1519" t="s">
        <v>39</v>
      </c>
      <c r="I182" s="1520"/>
      <c r="J182" s="1520"/>
      <c r="K182" s="1520"/>
      <c r="L182" s="1520"/>
      <c r="M182" s="1520"/>
      <c r="N182" s="1520"/>
      <c r="O182" s="1520"/>
      <c r="P182" s="1520"/>
      <c r="Q182" s="1560"/>
      <c r="S182" s="575"/>
      <c r="T182" s="575"/>
      <c r="U182" s="575"/>
      <c r="V182" s="575"/>
      <c r="W182" s="575"/>
      <c r="X182" s="575"/>
      <c r="Y182" s="575"/>
      <c r="Z182" s="575"/>
      <c r="AA182" s="575"/>
      <c r="AB182" s="575"/>
      <c r="AC182" s="575"/>
    </row>
    <row r="183" spans="1:29" ht="15.75" customHeight="1">
      <c r="A183" s="248"/>
      <c r="B183" s="229"/>
      <c r="C183" s="229"/>
      <c r="D183" s="229"/>
      <c r="E183" s="277"/>
      <c r="F183" s="327"/>
      <c r="G183" s="333"/>
      <c r="H183" s="1519"/>
      <c r="I183" s="1520"/>
      <c r="J183" s="1520"/>
      <c r="K183" s="1520"/>
      <c r="L183" s="1520"/>
      <c r="M183" s="1520"/>
      <c r="N183" s="1520"/>
      <c r="O183" s="1520"/>
      <c r="P183" s="1520"/>
      <c r="Q183" s="1560"/>
      <c r="S183" s="575"/>
      <c r="T183" s="575"/>
      <c r="U183" s="575"/>
      <c r="V183" s="575"/>
      <c r="W183" s="575"/>
      <c r="X183" s="575"/>
      <c r="Y183" s="575"/>
      <c r="Z183" s="575"/>
      <c r="AA183" s="575"/>
      <c r="AB183" s="575"/>
      <c r="AC183" s="575"/>
    </row>
    <row r="184" spans="1:29" ht="16.5" customHeight="1" thickBot="1">
      <c r="A184" s="301"/>
      <c r="B184" s="306"/>
      <c r="C184" s="306"/>
      <c r="D184" s="306"/>
      <c r="E184" s="314"/>
      <c r="F184" s="328"/>
      <c r="G184" s="336"/>
      <c r="H184" s="330"/>
      <c r="I184" s="330"/>
      <c r="J184" s="330"/>
      <c r="K184" s="345" t="s">
        <v>518</v>
      </c>
      <c r="L184" s="330"/>
      <c r="M184" s="330"/>
      <c r="N184" s="330"/>
      <c r="O184" s="330"/>
      <c r="P184" s="330"/>
      <c r="Q184" s="337"/>
      <c r="S184" s="575"/>
      <c r="T184" s="575"/>
      <c r="U184" s="575"/>
      <c r="V184" s="575"/>
      <c r="W184" s="575"/>
      <c r="X184" s="575"/>
      <c r="Y184" s="575"/>
      <c r="Z184" s="575"/>
      <c r="AA184" s="575"/>
      <c r="AB184" s="575"/>
      <c r="AC184" s="575"/>
    </row>
    <row r="185" spans="1:29" ht="15.75" customHeight="1">
      <c r="A185" s="229"/>
      <c r="B185" s="229"/>
      <c r="C185" s="229"/>
      <c r="D185" s="229"/>
      <c r="E185" s="277"/>
      <c r="F185" s="229"/>
      <c r="G185" s="146"/>
      <c r="H185" s="146"/>
      <c r="I185" s="146"/>
      <c r="J185" s="146"/>
      <c r="K185" s="147"/>
      <c r="L185" s="146"/>
      <c r="M185" s="146"/>
      <c r="N185" s="146"/>
      <c r="O185" s="146"/>
      <c r="P185" s="146"/>
      <c r="Q185" s="146"/>
      <c r="S185" s="575"/>
      <c r="T185" s="575"/>
      <c r="U185" s="575"/>
      <c r="V185" s="575"/>
      <c r="W185" s="575"/>
      <c r="X185" s="575"/>
      <c r="Y185" s="575"/>
      <c r="Z185" s="575"/>
      <c r="AA185" s="575"/>
      <c r="AB185" s="575"/>
      <c r="AC185" s="575"/>
    </row>
    <row r="186" spans="1:29" ht="15.75" customHeight="1">
      <c r="A186" s="229"/>
      <c r="B186" s="229"/>
      <c r="C186" s="229"/>
      <c r="D186" s="229"/>
      <c r="E186" s="277"/>
      <c r="F186" s="229"/>
      <c r="G186" s="146"/>
      <c r="H186" s="146"/>
      <c r="I186" s="146"/>
      <c r="J186" s="146"/>
      <c r="K186" s="147"/>
      <c r="L186" s="146"/>
      <c r="M186" s="146"/>
      <c r="N186" s="146"/>
      <c r="O186" s="146"/>
      <c r="P186" s="146"/>
      <c r="Q186" s="146"/>
      <c r="S186" s="575"/>
      <c r="T186" s="575"/>
      <c r="U186" s="575"/>
      <c r="V186" s="575"/>
      <c r="W186" s="575"/>
      <c r="X186" s="575"/>
      <c r="Y186" s="575"/>
      <c r="Z186" s="575"/>
      <c r="AA186" s="575"/>
      <c r="AB186" s="575"/>
      <c r="AC186" s="575"/>
    </row>
    <row r="187" spans="1:29" ht="24" customHeight="1">
      <c r="A187" s="622" t="s">
        <v>759</v>
      </c>
      <c r="B187" s="623"/>
      <c r="C187" s="623"/>
      <c r="D187" s="623"/>
      <c r="E187" s="623"/>
      <c r="F187" s="623"/>
      <c r="G187" s="623"/>
      <c r="H187" s="624"/>
      <c r="I187" s="146"/>
      <c r="J187" s="146"/>
      <c r="K187" s="147"/>
      <c r="L187" s="146"/>
      <c r="M187" s="146"/>
      <c r="N187" s="146"/>
      <c r="O187" s="146"/>
      <c r="P187" s="146"/>
      <c r="Q187" s="146"/>
      <c r="S187" s="575"/>
      <c r="T187" s="575"/>
      <c r="U187" s="575"/>
      <c r="V187" s="575"/>
      <c r="W187" s="575"/>
      <c r="X187" s="575"/>
      <c r="Y187" s="575"/>
      <c r="Z187" s="575"/>
      <c r="AA187" s="575"/>
      <c r="AB187" s="575"/>
      <c r="AC187" s="575"/>
    </row>
    <row r="188" spans="1:29" ht="15.75" customHeight="1">
      <c r="A188" s="616"/>
      <c r="B188" s="600"/>
      <c r="C188" s="600" t="s">
        <v>737</v>
      </c>
      <c r="D188" s="600" t="s">
        <v>736</v>
      </c>
      <c r="E188" s="600"/>
      <c r="F188" s="877" t="s">
        <v>763</v>
      </c>
      <c r="G188" s="877" t="s">
        <v>856</v>
      </c>
      <c r="H188" s="617" t="s">
        <v>891</v>
      </c>
      <c r="I188" s="146"/>
      <c r="J188" s="146"/>
      <c r="K188" s="147"/>
      <c r="L188" s="146"/>
      <c r="M188" s="146"/>
      <c r="N188" s="146"/>
      <c r="O188" s="146"/>
      <c r="P188" s="146"/>
      <c r="Q188" s="146"/>
      <c r="S188" s="575"/>
      <c r="T188" s="575"/>
      <c r="U188" s="575"/>
      <c r="V188" s="575"/>
      <c r="W188" s="575"/>
      <c r="X188" s="575"/>
      <c r="Y188" s="575"/>
      <c r="Z188" s="575"/>
      <c r="AA188" s="575"/>
      <c r="AB188" s="575"/>
      <c r="AC188" s="575"/>
    </row>
    <row r="189" spans="1:29" ht="15.75" customHeight="1">
      <c r="A189" s="616"/>
      <c r="B189" s="600"/>
      <c r="C189" s="600"/>
      <c r="D189" s="600"/>
      <c r="E189" s="600"/>
      <c r="F189" s="877"/>
      <c r="G189" s="877"/>
      <c r="H189" s="617"/>
      <c r="I189" s="146"/>
      <c r="J189" s="146"/>
      <c r="K189" s="147"/>
      <c r="L189" s="146"/>
      <c r="M189" s="146"/>
      <c r="N189" s="146"/>
      <c r="O189" s="146"/>
      <c r="P189" s="146"/>
      <c r="Q189" s="146"/>
      <c r="S189" s="575"/>
      <c r="T189" s="575"/>
      <c r="U189" s="575"/>
      <c r="V189" s="575"/>
      <c r="W189" s="575"/>
      <c r="X189" s="575"/>
      <c r="Y189" s="575"/>
      <c r="Z189" s="575"/>
      <c r="AA189" s="575"/>
      <c r="AB189" s="575"/>
      <c r="AC189" s="575"/>
    </row>
    <row r="190" spans="1:29" ht="154.5">
      <c r="A190" s="618" t="s">
        <v>741</v>
      </c>
      <c r="B190" s="565"/>
      <c r="C190" s="602" t="s">
        <v>760</v>
      </c>
      <c r="D190" s="625" t="s">
        <v>898</v>
      </c>
      <c r="E190" s="600"/>
      <c r="F190" s="878">
        <v>0</v>
      </c>
      <c r="G190" s="878">
        <v>0</v>
      </c>
      <c r="H190" s="1359">
        <v>1780501.2000000002</v>
      </c>
      <c r="I190" s="146"/>
      <c r="J190" s="146"/>
      <c r="K190" s="147"/>
      <c r="L190" s="146"/>
      <c r="M190" s="146"/>
      <c r="N190" s="146"/>
      <c r="O190" s="146"/>
      <c r="P190" s="146"/>
      <c r="Q190" s="146"/>
      <c r="S190" s="575"/>
      <c r="T190" s="575"/>
      <c r="U190" s="575"/>
      <c r="V190" s="575"/>
      <c r="W190" s="575"/>
      <c r="X190" s="575"/>
      <c r="Y190" s="575"/>
      <c r="Z190" s="575"/>
      <c r="AA190" s="575"/>
      <c r="AB190" s="575"/>
      <c r="AC190" s="575"/>
    </row>
    <row r="191" spans="1:29" ht="140.5">
      <c r="A191" s="618" t="s">
        <v>742</v>
      </c>
      <c r="B191" s="565"/>
      <c r="C191" s="602" t="s">
        <v>746</v>
      </c>
      <c r="D191" s="625" t="s">
        <v>899</v>
      </c>
      <c r="E191" s="600"/>
      <c r="F191" s="878"/>
      <c r="G191" s="878">
        <v>1</v>
      </c>
      <c r="H191" s="1359">
        <v>3</v>
      </c>
      <c r="I191" s="146"/>
      <c r="J191" s="146"/>
      <c r="K191" s="147"/>
      <c r="L191" s="146"/>
      <c r="M191" s="146"/>
      <c r="N191" s="146"/>
      <c r="O191" s="146"/>
      <c r="P191" s="146"/>
      <c r="Q191" s="146"/>
      <c r="S191" s="575"/>
      <c r="T191" s="575"/>
      <c r="U191" s="575"/>
      <c r="V191" s="575"/>
      <c r="W191" s="575"/>
      <c r="X191" s="575"/>
      <c r="Y191" s="575"/>
      <c r="Z191" s="575"/>
      <c r="AA191" s="575"/>
      <c r="AB191" s="575"/>
      <c r="AC191" s="575"/>
    </row>
    <row r="192" spans="1:29" ht="15.75" customHeight="1">
      <c r="A192" s="618" t="s">
        <v>747</v>
      </c>
      <c r="B192" s="565"/>
      <c r="C192" s="602" t="s">
        <v>764</v>
      </c>
      <c r="D192" s="565" t="s">
        <v>743</v>
      </c>
      <c r="E192" s="600"/>
      <c r="F192" s="632" t="e">
        <f>+F190/F191</f>
        <v>#DIV/0!</v>
      </c>
      <c r="G192" s="632">
        <f>+G190/G191</f>
        <v>0</v>
      </c>
      <c r="H192" s="619">
        <f>+H190/H191</f>
        <v>593500.4</v>
      </c>
      <c r="I192" s="146"/>
      <c r="J192" s="146"/>
      <c r="K192" s="147"/>
      <c r="L192" s="146"/>
      <c r="M192" s="146"/>
      <c r="N192" s="146"/>
      <c r="O192" s="146"/>
      <c r="P192" s="146"/>
      <c r="Q192" s="146"/>
      <c r="S192" s="575"/>
      <c r="T192" s="575"/>
      <c r="U192" s="575"/>
      <c r="V192" s="575"/>
      <c r="W192" s="575"/>
      <c r="X192" s="575"/>
      <c r="Y192" s="575"/>
      <c r="Z192" s="575"/>
      <c r="AA192" s="575"/>
      <c r="AB192" s="575"/>
      <c r="AC192" s="575"/>
    </row>
    <row r="193" spans="1:29" ht="15.75" customHeight="1">
      <c r="A193" s="618"/>
      <c r="B193" s="565"/>
      <c r="C193" s="65"/>
      <c r="D193" s="600"/>
      <c r="E193" s="600"/>
      <c r="F193" s="877"/>
      <c r="G193" s="877"/>
      <c r="H193" s="617"/>
      <c r="I193" s="146"/>
      <c r="J193" s="146"/>
      <c r="K193" s="147"/>
      <c r="L193" s="146"/>
      <c r="M193" s="146"/>
      <c r="N193" s="146"/>
      <c r="O193" s="146"/>
      <c r="P193" s="146"/>
      <c r="Q193" s="146"/>
      <c r="S193" s="575"/>
      <c r="T193" s="575"/>
      <c r="U193" s="575"/>
      <c r="V193" s="575"/>
      <c r="W193" s="575"/>
      <c r="X193" s="575"/>
      <c r="Y193" s="575"/>
      <c r="Z193" s="575"/>
      <c r="AA193" s="575"/>
      <c r="AB193" s="575"/>
      <c r="AC193" s="575"/>
    </row>
    <row r="194" spans="1:29" ht="15.75" customHeight="1">
      <c r="A194" s="618" t="s">
        <v>748</v>
      </c>
      <c r="B194" s="565"/>
      <c r="C194" s="65" t="s">
        <v>749</v>
      </c>
      <c r="D194" s="565" t="s">
        <v>754</v>
      </c>
      <c r="E194" s="600"/>
      <c r="F194" s="632"/>
      <c r="G194" s="632">
        <f>+G190-G192</f>
        <v>0</v>
      </c>
      <c r="H194" s="619">
        <f>+H190-H192</f>
        <v>1187000.8000000003</v>
      </c>
      <c r="I194" s="952"/>
      <c r="J194" s="146"/>
      <c r="K194" s="147"/>
      <c r="L194" s="146"/>
      <c r="M194" s="146"/>
      <c r="N194" s="146"/>
      <c r="O194" s="146"/>
      <c r="P194" s="146"/>
      <c r="Q194" s="146"/>
      <c r="S194" s="575"/>
      <c r="T194" s="575"/>
      <c r="U194" s="575"/>
      <c r="V194" s="575"/>
      <c r="W194" s="575"/>
      <c r="X194" s="575"/>
      <c r="Y194" s="575"/>
      <c r="Z194" s="575"/>
      <c r="AA194" s="575"/>
      <c r="AB194" s="575"/>
      <c r="AC194" s="575"/>
    </row>
    <row r="195" spans="1:29" ht="15.75" customHeight="1">
      <c r="A195" s="618" t="s">
        <v>750</v>
      </c>
      <c r="B195" s="565"/>
      <c r="C195" s="602" t="s">
        <v>765</v>
      </c>
      <c r="D195" s="565" t="s">
        <v>755</v>
      </c>
      <c r="E195" s="600"/>
      <c r="F195" s="632">
        <f>+(F190+F194)/2</f>
        <v>0</v>
      </c>
      <c r="G195" s="632">
        <f>+(G190+G194)/2</f>
        <v>0</v>
      </c>
      <c r="H195" s="619">
        <f>+(H190+H194)/2</f>
        <v>1483751.0000000002</v>
      </c>
      <c r="I195" s="146"/>
      <c r="J195" s="146"/>
      <c r="K195" s="147"/>
      <c r="L195" s="146"/>
      <c r="M195" s="146"/>
      <c r="N195" s="146"/>
      <c r="O195" s="146"/>
      <c r="P195" s="146"/>
      <c r="Q195" s="146"/>
      <c r="S195" s="575"/>
      <c r="T195" s="575"/>
      <c r="U195" s="575"/>
      <c r="V195" s="575"/>
      <c r="W195" s="575"/>
      <c r="X195" s="575"/>
      <c r="Y195" s="575"/>
      <c r="Z195" s="575"/>
      <c r="AA195" s="575"/>
      <c r="AB195" s="575"/>
      <c r="AC195" s="575"/>
    </row>
    <row r="196" spans="1:29" ht="15.75" customHeight="1">
      <c r="A196" s="616"/>
      <c r="B196" s="600"/>
      <c r="C196" s="600"/>
      <c r="D196" s="600"/>
      <c r="E196" s="600"/>
      <c r="F196" s="877"/>
      <c r="G196" s="877"/>
      <c r="H196" s="617"/>
      <c r="I196" s="146"/>
      <c r="J196" s="146"/>
      <c r="K196" s="147"/>
      <c r="L196" s="146"/>
      <c r="M196" s="146"/>
      <c r="N196" s="146"/>
      <c r="O196" s="146"/>
      <c r="P196" s="146"/>
      <c r="Q196" s="146"/>
    </row>
    <row r="197" spans="1:29" ht="15.75" customHeight="1">
      <c r="A197" s="618" t="s">
        <v>751</v>
      </c>
      <c r="B197" s="565"/>
      <c r="C197" s="65" t="s">
        <v>735</v>
      </c>
      <c r="D197" s="565" t="s">
        <v>739</v>
      </c>
      <c r="E197" s="565"/>
      <c r="F197" s="632">
        <f>+'ATT H-2A'!H263+'ATT H-2A'!H264</f>
        <v>107817816.19849017</v>
      </c>
      <c r="G197" s="632">
        <f t="shared" ref="G197:H199" si="1">+F197</f>
        <v>107817816.19849017</v>
      </c>
      <c r="H197" s="619">
        <f t="shared" si="1"/>
        <v>107817816.19849017</v>
      </c>
      <c r="I197" s="146"/>
      <c r="J197" s="146"/>
      <c r="K197" s="147"/>
      <c r="L197" s="146"/>
      <c r="M197" s="146"/>
      <c r="N197" s="146"/>
      <c r="O197" s="146"/>
      <c r="P197" s="146"/>
      <c r="Q197" s="146"/>
    </row>
    <row r="198" spans="1:29" ht="15.75" customHeight="1">
      <c r="A198" s="618" t="s">
        <v>752</v>
      </c>
      <c r="B198" s="565"/>
      <c r="C198" s="65" t="s">
        <v>309</v>
      </c>
      <c r="D198" s="565" t="s">
        <v>740</v>
      </c>
      <c r="E198" s="565"/>
      <c r="F198" s="632">
        <f>+'ATT H-2A'!H258</f>
        <v>1293730294.9093878</v>
      </c>
      <c r="G198" s="632">
        <f t="shared" si="1"/>
        <v>1293730294.9093878</v>
      </c>
      <c r="H198" s="619">
        <f t="shared" si="1"/>
        <v>1293730294.9093878</v>
      </c>
      <c r="I198" s="146"/>
      <c r="J198" s="146"/>
      <c r="K198" s="147"/>
      <c r="L198" s="146"/>
      <c r="M198" s="146"/>
      <c r="N198" s="146"/>
      <c r="O198" s="146"/>
      <c r="P198" s="146"/>
      <c r="Q198" s="146"/>
    </row>
    <row r="199" spans="1:29" ht="15.75" customHeight="1">
      <c r="A199" s="618" t="s">
        <v>753</v>
      </c>
      <c r="B199" s="565"/>
      <c r="C199" s="65" t="s">
        <v>766</v>
      </c>
      <c r="D199" s="565" t="s">
        <v>761</v>
      </c>
      <c r="E199" s="565"/>
      <c r="F199" s="725">
        <f>+F197/F198</f>
        <v>8.3338711803175078E-2</v>
      </c>
      <c r="G199" s="928">
        <f t="shared" si="1"/>
        <v>8.3338711803175078E-2</v>
      </c>
      <c r="H199" s="620">
        <f t="shared" si="1"/>
        <v>8.3338711803175078E-2</v>
      </c>
      <c r="I199" s="146"/>
      <c r="J199" s="146"/>
      <c r="K199" s="147"/>
      <c r="L199" s="146"/>
      <c r="M199" s="146"/>
      <c r="N199" s="146"/>
      <c r="O199" s="146"/>
      <c r="P199" s="146"/>
      <c r="Q199" s="146"/>
    </row>
    <row r="200" spans="1:29" ht="15.75" customHeight="1">
      <c r="A200" s="618"/>
      <c r="B200" s="565"/>
      <c r="C200" s="65"/>
      <c r="D200" s="565"/>
      <c r="E200" s="565"/>
      <c r="F200" s="565"/>
      <c r="G200" s="565"/>
      <c r="H200" s="621"/>
      <c r="I200" s="146"/>
      <c r="J200" s="146"/>
      <c r="K200" s="147"/>
      <c r="L200" s="146"/>
      <c r="M200" s="146"/>
      <c r="N200" s="146"/>
      <c r="O200" s="146"/>
      <c r="P200" s="146"/>
      <c r="Q200" s="146"/>
    </row>
    <row r="201" spans="1:29" ht="15.75" customHeight="1">
      <c r="A201" s="618" t="s">
        <v>756</v>
      </c>
      <c r="B201" s="565"/>
      <c r="C201" s="65"/>
      <c r="D201" s="565"/>
      <c r="E201" s="565"/>
      <c r="F201" s="565"/>
      <c r="G201" s="565"/>
      <c r="H201" s="621"/>
      <c r="I201" s="146"/>
      <c r="J201" s="146"/>
      <c r="K201" s="147"/>
      <c r="L201" s="146"/>
      <c r="M201" s="146"/>
      <c r="N201" s="146"/>
      <c r="O201" s="146"/>
      <c r="P201" s="146"/>
      <c r="Q201" s="146"/>
    </row>
    <row r="202" spans="1:29" ht="15.75" customHeight="1">
      <c r="A202" s="618" t="s">
        <v>757</v>
      </c>
      <c r="B202" s="565"/>
      <c r="C202" s="65"/>
      <c r="D202" s="565"/>
      <c r="E202" s="565"/>
      <c r="F202" s="565"/>
      <c r="G202" s="565"/>
      <c r="H202" s="621"/>
      <c r="I202" s="146"/>
      <c r="J202" s="146"/>
      <c r="K202" s="147"/>
      <c r="L202" s="146"/>
      <c r="M202" s="146"/>
      <c r="N202" s="146"/>
      <c r="O202" s="146"/>
      <c r="P202" s="146"/>
      <c r="Q202" s="146"/>
    </row>
    <row r="203" spans="1:29" ht="15.75" customHeight="1">
      <c r="A203" s="879" t="s">
        <v>762</v>
      </c>
      <c r="B203" s="880"/>
      <c r="C203" s="362"/>
      <c r="D203" s="880"/>
      <c r="E203" s="880"/>
      <c r="F203" s="880"/>
      <c r="G203" s="880"/>
      <c r="H203" s="881"/>
      <c r="I203" s="146"/>
      <c r="J203" s="146"/>
      <c r="K203" s="147"/>
      <c r="L203" s="146"/>
      <c r="M203" s="146"/>
      <c r="N203" s="146"/>
      <c r="O203" s="146"/>
      <c r="P203" s="146"/>
      <c r="Q203" s="146"/>
    </row>
    <row r="204" spans="1:29" ht="15.75" customHeight="1">
      <c r="A204" s="229"/>
      <c r="B204" s="229"/>
      <c r="C204" s="229"/>
      <c r="D204" s="229"/>
      <c r="E204" s="277"/>
      <c r="F204" s="229"/>
      <c r="G204" s="146"/>
      <c r="H204" s="146"/>
      <c r="I204" s="146"/>
      <c r="J204" s="146"/>
      <c r="K204" s="147"/>
      <c r="L204" s="146"/>
      <c r="M204" s="146"/>
      <c r="N204" s="146"/>
      <c r="O204" s="146"/>
      <c r="P204" s="146"/>
      <c r="Q204" s="146"/>
    </row>
    <row r="205" spans="1:29" ht="15.75" customHeight="1">
      <c r="A205" s="229"/>
      <c r="B205" s="229"/>
      <c r="C205" s="229"/>
      <c r="D205" s="229"/>
      <c r="E205" s="277"/>
      <c r="F205" s="229"/>
      <c r="G205" s="146"/>
      <c r="H205" s="146"/>
      <c r="I205" s="146"/>
      <c r="J205" s="146"/>
      <c r="K205" s="147"/>
      <c r="L205" s="146"/>
      <c r="M205" s="146"/>
      <c r="N205" s="146"/>
      <c r="O205" s="146"/>
      <c r="P205" s="146"/>
      <c r="Q205" s="146"/>
    </row>
    <row r="206" spans="1:29" ht="21.25" customHeight="1" thickBot="1">
      <c r="A206" s="311" t="s">
        <v>594</v>
      </c>
      <c r="G206" s="144"/>
      <c r="H206" s="144"/>
      <c r="I206" s="144"/>
      <c r="J206" s="144"/>
      <c r="K206" s="144"/>
      <c r="L206" s="144"/>
      <c r="M206" s="144"/>
      <c r="N206" s="144"/>
      <c r="O206" s="144"/>
      <c r="P206" s="144"/>
      <c r="Q206" s="144"/>
    </row>
    <row r="207" spans="1:29" ht="26.5" customHeight="1">
      <c r="A207" s="1523" t="s">
        <v>10</v>
      </c>
      <c r="B207" s="1524"/>
      <c r="C207" s="1524"/>
      <c r="D207" s="1524"/>
      <c r="E207" s="1524"/>
      <c r="F207" s="1525"/>
      <c r="G207" s="343" t="str">
        <f>+C209</f>
        <v>Interest on Network Credits</v>
      </c>
      <c r="H207" s="1526" t="s">
        <v>526</v>
      </c>
      <c r="I207" s="1527"/>
      <c r="J207" s="1527"/>
      <c r="K207" s="1527"/>
      <c r="L207" s="1527"/>
      <c r="M207" s="1527"/>
      <c r="N207" s="1527"/>
      <c r="O207" s="1527"/>
      <c r="P207" s="1527"/>
      <c r="Q207" s="1570"/>
    </row>
    <row r="208" spans="1:29" ht="15.75" customHeight="1">
      <c r="A208" s="248"/>
      <c r="B208" s="204"/>
      <c r="C208" s="229"/>
      <c r="D208" s="229"/>
      <c r="E208" s="229"/>
      <c r="F208" s="327"/>
      <c r="G208" s="331"/>
      <c r="H208" s="146"/>
      <c r="I208" s="146"/>
      <c r="J208" s="146"/>
      <c r="K208" s="146"/>
      <c r="L208" s="146"/>
      <c r="M208" s="146"/>
      <c r="N208" s="146"/>
      <c r="O208" s="146"/>
      <c r="P208" s="146"/>
      <c r="Q208" s="329"/>
    </row>
    <row r="209" spans="1:17" ht="15.75" customHeight="1">
      <c r="A209" s="248">
        <v>154</v>
      </c>
      <c r="B209" s="229"/>
      <c r="C209" s="229" t="str">
        <f>'Exh F - AA-BL Items'!C247</f>
        <v>Interest on Network Credits</v>
      </c>
      <c r="D209" s="229"/>
      <c r="E209" s="277" t="str">
        <f>'Exh F - AA-BL Items'!E247</f>
        <v>(Note N)</v>
      </c>
      <c r="F209" s="327" t="str">
        <f>'Exh F - AA-BL Items'!F247</f>
        <v>PJM Data</v>
      </c>
      <c r="G209" s="334">
        <v>0</v>
      </c>
      <c r="H209" s="1519" t="s">
        <v>521</v>
      </c>
      <c r="I209" s="1520"/>
      <c r="J209" s="1520"/>
      <c r="K209" s="1520"/>
      <c r="L209" s="1520"/>
      <c r="M209" s="1520"/>
      <c r="N209" s="1520"/>
      <c r="O209" s="1520"/>
      <c r="P209" s="1520"/>
      <c r="Q209" s="1560"/>
    </row>
    <row r="210" spans="1:17" ht="15.75" customHeight="1">
      <c r="A210" s="248"/>
      <c r="B210" s="229"/>
      <c r="C210" s="229"/>
      <c r="D210" s="229"/>
      <c r="E210" s="277"/>
      <c r="F210" s="327"/>
      <c r="G210" s="331"/>
      <c r="H210" s="146"/>
      <c r="I210" s="146"/>
      <c r="J210" s="146"/>
      <c r="K210" s="146"/>
      <c r="L210" s="146"/>
      <c r="M210" s="146"/>
      <c r="N210" s="146"/>
      <c r="O210" s="181"/>
      <c r="P210" s="146"/>
      <c r="Q210" s="329"/>
    </row>
    <row r="211" spans="1:17" ht="15.5">
      <c r="A211" s="248"/>
      <c r="B211" s="229"/>
      <c r="C211" s="229"/>
      <c r="D211" s="229"/>
      <c r="E211" s="277"/>
      <c r="F211" s="327"/>
      <c r="G211" s="333" t="s">
        <v>515</v>
      </c>
      <c r="H211" s="1519" t="s">
        <v>39</v>
      </c>
      <c r="I211" s="1520"/>
      <c r="J211" s="1520"/>
      <c r="K211" s="1520"/>
      <c r="L211" s="1520"/>
      <c r="M211" s="1520"/>
      <c r="N211" s="1520"/>
      <c r="O211" s="1520"/>
      <c r="P211" s="1520"/>
      <c r="Q211" s="1560"/>
    </row>
    <row r="212" spans="1:17" ht="15.5">
      <c r="A212" s="248"/>
      <c r="B212" s="229"/>
      <c r="C212" s="229"/>
      <c r="D212" s="229"/>
      <c r="E212" s="277"/>
      <c r="F212" s="327"/>
      <c r="G212" s="333"/>
      <c r="H212" s="1519"/>
      <c r="I212" s="1520"/>
      <c r="J212" s="1520"/>
      <c r="K212" s="1520"/>
      <c r="L212" s="1520"/>
      <c r="M212" s="1520"/>
      <c r="N212" s="1520"/>
      <c r="O212" s="1520"/>
      <c r="P212" s="1520"/>
      <c r="Q212" s="1560"/>
    </row>
    <row r="213" spans="1:17" ht="15.5">
      <c r="A213" s="248"/>
      <c r="B213" s="229"/>
      <c r="C213" s="229"/>
      <c r="D213" s="229"/>
      <c r="E213" s="277"/>
      <c r="F213" s="327"/>
      <c r="G213" s="333"/>
      <c r="H213" s="1519"/>
      <c r="I213" s="1520"/>
      <c r="J213" s="1520"/>
      <c r="K213" s="1520"/>
      <c r="L213" s="1520"/>
      <c r="M213" s="1520"/>
      <c r="N213" s="1520"/>
      <c r="O213" s="1520"/>
      <c r="P213" s="1520"/>
      <c r="Q213" s="1560"/>
    </row>
    <row r="214" spans="1:17" ht="16" thickBot="1">
      <c r="A214" s="301"/>
      <c r="B214" s="306"/>
      <c r="C214" s="306"/>
      <c r="D214" s="306"/>
      <c r="E214" s="314"/>
      <c r="F214" s="328"/>
      <c r="G214" s="336"/>
      <c r="H214" s="330"/>
      <c r="I214" s="330"/>
      <c r="J214" s="330"/>
      <c r="K214" s="345" t="s">
        <v>518</v>
      </c>
      <c r="L214" s="330"/>
      <c r="M214" s="330"/>
      <c r="N214" s="330"/>
      <c r="O214" s="330"/>
      <c r="P214" s="330"/>
      <c r="Q214" s="337"/>
    </row>
    <row r="215" spans="1:17" ht="15.5">
      <c r="A215" s="229"/>
      <c r="B215" s="229"/>
      <c r="C215" s="229"/>
      <c r="D215" s="229"/>
      <c r="E215" s="277"/>
      <c r="F215" s="229"/>
      <c r="G215" s="146"/>
      <c r="H215" s="146"/>
      <c r="I215" s="146"/>
      <c r="J215" s="146"/>
      <c r="K215" s="147"/>
      <c r="L215" s="146"/>
      <c r="M215" s="146"/>
      <c r="N215" s="146"/>
      <c r="O215" s="146"/>
      <c r="P215" s="146"/>
      <c r="Q215" s="146"/>
    </row>
    <row r="216" spans="1:17" ht="15.5">
      <c r="A216" s="229"/>
      <c r="B216" s="229"/>
      <c r="C216" s="229"/>
      <c r="D216" s="229"/>
      <c r="E216" s="277"/>
      <c r="F216" s="229"/>
      <c r="G216" s="146"/>
      <c r="H216" s="146"/>
      <c r="I216" s="146"/>
      <c r="J216" s="146"/>
      <c r="K216" s="147"/>
      <c r="L216" s="146"/>
      <c r="M216" s="146"/>
      <c r="N216" s="146"/>
      <c r="O216" s="146"/>
      <c r="P216" s="146"/>
      <c r="Q216" s="146"/>
    </row>
    <row r="217" spans="1:17" ht="20.5" thickBot="1">
      <c r="A217" s="311" t="str">
        <f>+'ATT H-2A'!C301</f>
        <v>Facility Credits under Section 30.9 of the PJM OATT paid by Utility</v>
      </c>
      <c r="G217" s="144"/>
      <c r="H217" s="144"/>
      <c r="I217" s="144"/>
      <c r="J217" s="144"/>
      <c r="K217" s="144"/>
      <c r="L217" s="144"/>
      <c r="M217" s="144"/>
      <c r="N217" s="144"/>
      <c r="O217" s="144"/>
      <c r="P217" s="144"/>
      <c r="Q217" s="144"/>
    </row>
    <row r="218" spans="1:17" ht="18">
      <c r="A218" s="1523" t="s">
        <v>10</v>
      </c>
      <c r="B218" s="1524"/>
      <c r="C218" s="1524"/>
      <c r="D218" s="1524"/>
      <c r="E218" s="1524"/>
      <c r="F218" s="1525"/>
      <c r="G218" s="716" t="s">
        <v>413</v>
      </c>
      <c r="H218" s="1526" t="s">
        <v>524</v>
      </c>
      <c r="I218" s="1527"/>
      <c r="J218" s="1527"/>
      <c r="K218" s="1527"/>
      <c r="L218" s="1527"/>
      <c r="M218" s="1527"/>
      <c r="N218" s="1527"/>
      <c r="O218" s="1527"/>
      <c r="P218" s="1527"/>
      <c r="Q218" s="1570"/>
    </row>
    <row r="219" spans="1:17" ht="15.5">
      <c r="A219" s="248"/>
      <c r="B219" s="225" t="str">
        <f>+'ATT H-2A'!C298</f>
        <v>Net Revenue Requirement</v>
      </c>
      <c r="C219" s="185"/>
      <c r="D219" s="185"/>
      <c r="E219" s="186"/>
      <c r="F219" s="245"/>
      <c r="G219" s="146"/>
      <c r="H219" s="146"/>
      <c r="I219" s="146"/>
      <c r="J219" s="146"/>
      <c r="K219" s="146"/>
      <c r="L219" s="146"/>
      <c r="M219" s="146"/>
      <c r="N219" s="146"/>
      <c r="O219" s="146"/>
      <c r="P219" s="146"/>
      <c r="Q219" s="329"/>
    </row>
    <row r="220" spans="1:17" ht="16" thickBot="1">
      <c r="A220" s="301">
        <v>171</v>
      </c>
      <c r="B220" s="302"/>
      <c r="C220" s="306" t="str">
        <f>+'ATT H-2A'!C302</f>
        <v>Net Zonal Revenue Requirement</v>
      </c>
      <c r="D220" s="308"/>
      <c r="E220" s="306"/>
      <c r="F220" s="306"/>
      <c r="G220" s="466">
        <v>0</v>
      </c>
      <c r="H220" s="1521"/>
      <c r="I220" s="1522"/>
      <c r="J220" s="1522"/>
      <c r="K220" s="1522"/>
      <c r="L220" s="1522"/>
      <c r="M220" s="1522"/>
      <c r="N220" s="1522"/>
      <c r="O220" s="1522"/>
      <c r="P220" s="1522"/>
      <c r="Q220" s="1566"/>
    </row>
    <row r="221" spans="1:17" ht="15.5">
      <c r="A221" s="229"/>
      <c r="B221" s="210"/>
      <c r="C221" s="229"/>
      <c r="D221" s="195"/>
      <c r="E221" s="229"/>
      <c r="F221" s="229"/>
      <c r="G221" s="514"/>
      <c r="H221" s="719"/>
      <c r="I221" s="718"/>
      <c r="J221" s="718"/>
      <c r="K221" s="718"/>
      <c r="L221" s="718"/>
      <c r="M221" s="718"/>
      <c r="N221" s="718"/>
      <c r="O221" s="718"/>
      <c r="P221" s="718"/>
      <c r="Q221" s="718"/>
    </row>
    <row r="222" spans="1:17" ht="21.25" customHeight="1">
      <c r="A222" s="229"/>
      <c r="B222" s="210"/>
      <c r="C222" s="229"/>
      <c r="D222" s="195"/>
      <c r="E222" s="229"/>
      <c r="F222" s="229"/>
      <c r="G222" s="514"/>
      <c r="H222" s="719"/>
      <c r="I222" s="718"/>
      <c r="J222" s="718"/>
      <c r="K222" s="718"/>
      <c r="L222" s="718"/>
      <c r="M222" s="718"/>
      <c r="N222" s="718"/>
      <c r="O222" s="718"/>
      <c r="P222" s="718"/>
      <c r="Q222" s="718"/>
    </row>
    <row r="223" spans="1:17" ht="21.25" customHeight="1" thickBot="1">
      <c r="A223" s="311" t="s">
        <v>838</v>
      </c>
      <c r="G223" s="144"/>
      <c r="H223" s="144"/>
      <c r="I223" s="144"/>
      <c r="J223" s="144"/>
      <c r="K223" s="144"/>
      <c r="L223" s="144"/>
      <c r="M223" s="144"/>
      <c r="N223" s="144"/>
      <c r="O223" s="144"/>
      <c r="P223" s="144"/>
      <c r="Q223" s="144"/>
    </row>
    <row r="224" spans="1:17" ht="27" customHeight="1">
      <c r="A224" s="1523" t="s">
        <v>10</v>
      </c>
      <c r="B224" s="1524"/>
      <c r="C224" s="1524"/>
      <c r="D224" s="1524"/>
      <c r="E224" s="1524"/>
      <c r="F224" s="1525"/>
      <c r="G224" s="716" t="s">
        <v>839</v>
      </c>
      <c r="H224" s="716" t="s">
        <v>837</v>
      </c>
      <c r="I224" s="716" t="s">
        <v>840</v>
      </c>
      <c r="J224" s="1526" t="s">
        <v>425</v>
      </c>
      <c r="K224" s="1528"/>
      <c r="L224" s="1528"/>
      <c r="M224" s="1528"/>
      <c r="N224" s="1528"/>
      <c r="O224" s="1528"/>
      <c r="P224" s="1528"/>
      <c r="Q224" s="1565"/>
    </row>
    <row r="225" spans="1:17" ht="21.25" customHeight="1">
      <c r="A225" s="248"/>
      <c r="B225" s="231" t="s">
        <v>351</v>
      </c>
      <c r="C225" s="195"/>
      <c r="D225" s="195"/>
      <c r="E225" s="247"/>
      <c r="F225" s="273"/>
      <c r="G225" s="146"/>
      <c r="H225" s="146"/>
      <c r="I225" s="146"/>
      <c r="J225" s="1519"/>
      <c r="K225" s="1520"/>
      <c r="L225" s="1520"/>
      <c r="M225" s="1520"/>
      <c r="N225" s="1520"/>
      <c r="O225" s="1520"/>
      <c r="P225" s="1520"/>
      <c r="Q225" s="1560"/>
    </row>
    <row r="226" spans="1:17" ht="63.75" customHeight="1" thickBot="1">
      <c r="A226" s="301">
        <v>168</v>
      </c>
      <c r="B226" s="306"/>
      <c r="C226" s="307" t="s">
        <v>639</v>
      </c>
      <c r="D226" s="558"/>
      <c r="E226" s="320"/>
      <c r="F226" s="318"/>
      <c r="G226" s="635">
        <f>+'6- Est &amp; True-up WS'!H142</f>
        <v>11579877.921471881</v>
      </c>
      <c r="H226" s="636">
        <v>0</v>
      </c>
      <c r="I226" s="1374">
        <f>+G226+H226</f>
        <v>11579877.921471881</v>
      </c>
      <c r="J226" s="1592"/>
      <c r="K226" s="1592"/>
      <c r="L226" s="1592"/>
      <c r="M226" s="1592"/>
      <c r="N226" s="1592"/>
      <c r="O226" s="1592"/>
      <c r="P226" s="1592"/>
      <c r="Q226" s="1593"/>
    </row>
    <row r="227" spans="1:17" ht="21.25" customHeight="1">
      <c r="A227" s="229"/>
      <c r="B227" s="210"/>
      <c r="C227" s="229"/>
      <c r="D227" s="195"/>
      <c r="E227" s="229"/>
      <c r="F227" s="229"/>
      <c r="G227" s="514"/>
      <c r="H227" s="719"/>
      <c r="I227" s="718"/>
      <c r="J227" s="718"/>
      <c r="K227" s="718"/>
      <c r="L227" s="718"/>
      <c r="M227" s="718"/>
      <c r="N227" s="718"/>
      <c r="O227" s="718"/>
      <c r="P227" s="718"/>
      <c r="Q227" s="718"/>
    </row>
    <row r="228" spans="1:17" ht="13">
      <c r="G228" s="144"/>
      <c r="H228" s="144"/>
      <c r="I228" s="144"/>
      <c r="J228" s="144"/>
      <c r="K228" s="144"/>
      <c r="L228" s="144"/>
      <c r="M228" s="144"/>
      <c r="N228" s="144"/>
      <c r="O228" s="144"/>
      <c r="P228" s="144"/>
      <c r="Q228" s="144"/>
    </row>
    <row r="229" spans="1:17" ht="20.5" thickBot="1">
      <c r="A229" s="311" t="s">
        <v>590</v>
      </c>
      <c r="G229" s="144"/>
      <c r="H229" s="144"/>
      <c r="I229" s="144"/>
      <c r="J229" s="144"/>
      <c r="K229" s="144"/>
      <c r="L229" s="144"/>
      <c r="M229" s="144"/>
      <c r="N229" s="144"/>
      <c r="O229" s="144"/>
      <c r="P229" s="144"/>
      <c r="Q229" s="144"/>
    </row>
    <row r="230" spans="1:17" ht="18">
      <c r="A230" s="1523" t="s">
        <v>10</v>
      </c>
      <c r="B230" s="1524"/>
      <c r="C230" s="1524"/>
      <c r="D230" s="1524"/>
      <c r="E230" s="1524"/>
      <c r="F230" s="1525"/>
      <c r="G230" s="343" t="str">
        <f>+C232</f>
        <v>1 CP Peak</v>
      </c>
      <c r="H230" s="1526" t="s">
        <v>524</v>
      </c>
      <c r="I230" s="1527"/>
      <c r="J230" s="1527"/>
      <c r="K230" s="1527"/>
      <c r="L230" s="1527"/>
      <c r="M230" s="1527"/>
      <c r="N230" s="1527"/>
      <c r="O230" s="1527"/>
      <c r="P230" s="1527"/>
      <c r="Q230" s="1570"/>
    </row>
    <row r="231" spans="1:17" ht="15.75" customHeight="1">
      <c r="A231" s="248"/>
      <c r="B231" s="225" t="s">
        <v>479</v>
      </c>
      <c r="C231" s="185"/>
      <c r="D231" s="185"/>
      <c r="E231" s="186"/>
      <c r="F231" s="245"/>
      <c r="G231" s="331"/>
      <c r="H231" s="146"/>
      <c r="I231" s="146"/>
      <c r="J231" s="146"/>
      <c r="K231" s="146"/>
      <c r="L231" s="146"/>
      <c r="M231" s="146"/>
      <c r="N231" s="146"/>
      <c r="O231" s="146"/>
      <c r="P231" s="146"/>
      <c r="Q231" s="329"/>
    </row>
    <row r="232" spans="1:17" ht="16.5" customHeight="1" thickBot="1">
      <c r="A232" s="301">
        <v>172</v>
      </c>
      <c r="B232" s="302"/>
      <c r="C232" s="303" t="str">
        <f>'Exh F - AA-BL Items'!C272</f>
        <v>1 CP Peak</v>
      </c>
      <c r="D232" s="308"/>
      <c r="E232" s="304" t="str">
        <f>'Exh F - AA-BL Items'!E272</f>
        <v>(Note L)</v>
      </c>
      <c r="F232" s="305" t="str">
        <f>'Exh F - AA-BL Items'!F272</f>
        <v>PJM Data</v>
      </c>
      <c r="G232" s="1360">
        <v>0</v>
      </c>
      <c r="H232" s="1521" t="s">
        <v>44</v>
      </c>
      <c r="I232" s="1522"/>
      <c r="J232" s="1522"/>
      <c r="K232" s="1522"/>
      <c r="L232" s="1522"/>
      <c r="M232" s="1522"/>
      <c r="N232" s="1522"/>
      <c r="O232" s="1522"/>
      <c r="P232" s="1522"/>
      <c r="Q232" s="1566"/>
    </row>
    <row r="233" spans="1:17" ht="12.75" customHeight="1">
      <c r="G233" s="144"/>
      <c r="H233" s="144"/>
      <c r="I233" s="144"/>
      <c r="J233" s="144"/>
      <c r="K233" s="144"/>
      <c r="L233" s="144"/>
      <c r="M233" s="144"/>
      <c r="N233" s="144"/>
      <c r="O233" s="144"/>
      <c r="P233" s="144"/>
      <c r="Q233" s="144"/>
    </row>
    <row r="234" spans="1:17" ht="12.75" customHeight="1">
      <c r="G234" s="144"/>
      <c r="H234" s="144"/>
      <c r="I234" s="144"/>
      <c r="J234" s="144"/>
      <c r="K234" s="144"/>
      <c r="L234" s="144"/>
      <c r="M234" s="144"/>
      <c r="N234" s="144"/>
      <c r="O234" s="144"/>
      <c r="P234" s="144"/>
      <c r="Q234" s="144"/>
    </row>
    <row r="235" spans="1:17" ht="21.25" customHeight="1" thickBot="1">
      <c r="A235" s="311" t="s">
        <v>530</v>
      </c>
      <c r="G235" s="144"/>
      <c r="H235" s="144"/>
      <c r="I235" s="144"/>
      <c r="J235" s="144"/>
      <c r="K235" s="144"/>
      <c r="L235" s="144"/>
      <c r="M235" s="144"/>
      <c r="N235" s="144"/>
      <c r="O235" s="144"/>
      <c r="P235" s="144"/>
      <c r="Q235" s="144"/>
    </row>
    <row r="236" spans="1:17" ht="18" customHeight="1">
      <c r="A236" s="714"/>
      <c r="B236" s="715"/>
      <c r="C236" s="355" t="s">
        <v>531</v>
      </c>
      <c r="D236" s="355" t="s">
        <v>532</v>
      </c>
      <c r="E236" s="355" t="s">
        <v>533</v>
      </c>
      <c r="F236" s="355" t="s">
        <v>534</v>
      </c>
      <c r="G236" s="1546" t="s">
        <v>535</v>
      </c>
      <c r="H236" s="1547"/>
      <c r="I236" s="1548" t="s">
        <v>536</v>
      </c>
      <c r="J236" s="1547"/>
      <c r="K236" s="1548" t="s">
        <v>537</v>
      </c>
      <c r="L236" s="1547"/>
      <c r="M236" s="347"/>
      <c r="N236" s="347"/>
      <c r="O236" s="347"/>
      <c r="P236" s="347"/>
      <c r="Q236" s="348"/>
    </row>
    <row r="237" spans="1:17" ht="15.75" customHeight="1">
      <c r="A237" s="248"/>
      <c r="B237" s="204"/>
      <c r="C237" s="229" t="s">
        <v>42</v>
      </c>
      <c r="D237" s="1361">
        <v>0</v>
      </c>
      <c r="E237" s="1362">
        <v>0</v>
      </c>
      <c r="F237" s="815">
        <f>+'ATT H-2A'!H306</f>
        <v>0</v>
      </c>
      <c r="G237" s="1597">
        <f>+D237*E237</f>
        <v>0</v>
      </c>
      <c r="H237" s="1598"/>
      <c r="I237" s="1599">
        <f>+F237*'ATT H-2A'!H305</f>
        <v>0</v>
      </c>
      <c r="J237" s="1598"/>
      <c r="K237" s="1599">
        <v>0</v>
      </c>
      <c r="L237" s="1598"/>
      <c r="M237" s="349"/>
      <c r="N237" s="349"/>
      <c r="O237" s="349"/>
      <c r="P237" s="349"/>
      <c r="Q237" s="350"/>
    </row>
    <row r="238" spans="1:17" ht="15.75" customHeight="1">
      <c r="A238" s="248"/>
      <c r="B238" s="229"/>
      <c r="C238" s="229"/>
      <c r="D238" s="229"/>
      <c r="E238" s="555"/>
      <c r="F238" s="356"/>
      <c r="G238" s="1597">
        <f>+E238*D238*(151/365)</f>
        <v>0</v>
      </c>
      <c r="H238" s="1598"/>
      <c r="I238" s="1600"/>
      <c r="J238" s="1601"/>
      <c r="K238" s="1600"/>
      <c r="L238" s="1602"/>
      <c r="M238" s="351"/>
      <c r="N238" s="351"/>
      <c r="O238" s="351"/>
      <c r="P238" s="351"/>
      <c r="Q238" s="352"/>
    </row>
    <row r="239" spans="1:17" ht="15.75" customHeight="1">
      <c r="A239" s="248"/>
      <c r="B239" s="229"/>
      <c r="C239" s="229"/>
      <c r="D239" s="229"/>
      <c r="E239" s="356"/>
      <c r="F239" s="356"/>
      <c r="G239" s="358"/>
      <c r="H239" s="870"/>
      <c r="I239" s="357"/>
      <c r="J239" s="725"/>
      <c r="K239" s="357"/>
      <c r="L239" s="725"/>
      <c r="M239" s="351"/>
      <c r="N239" s="351"/>
      <c r="O239" s="351"/>
      <c r="P239" s="351"/>
      <c r="Q239" s="352"/>
    </row>
    <row r="240" spans="1:17" ht="16.5" customHeight="1" thickBot="1">
      <c r="A240" s="301"/>
      <c r="B240" s="306"/>
      <c r="C240" s="306" t="s">
        <v>322</v>
      </c>
      <c r="D240" s="306"/>
      <c r="E240" s="314"/>
      <c r="F240" s="306"/>
      <c r="G240" s="1594">
        <f>SUM(G237:H239)</f>
        <v>0</v>
      </c>
      <c r="H240" s="1595"/>
      <c r="I240" s="1596">
        <f>SUM(I237:J239)</f>
        <v>0</v>
      </c>
      <c r="J240" s="1595"/>
      <c r="K240" s="1596">
        <f>SUM(K237:L239)</f>
        <v>0</v>
      </c>
      <c r="L240" s="1595"/>
      <c r="M240" s="353"/>
      <c r="N240" s="353"/>
      <c r="O240" s="353"/>
      <c r="P240" s="353"/>
      <c r="Q240" s="354"/>
    </row>
    <row r="241" spans="1:21" ht="12.75" customHeight="1">
      <c r="G241" s="144"/>
      <c r="H241" s="144"/>
      <c r="I241" s="144"/>
      <c r="J241" s="144"/>
      <c r="K241" s="144"/>
      <c r="L241" s="144"/>
      <c r="M241" s="144"/>
      <c r="N241" s="144"/>
      <c r="O241" s="144"/>
      <c r="P241" s="144"/>
      <c r="Q241" s="144"/>
    </row>
    <row r="242" spans="1:21" ht="13.5" thickBot="1">
      <c r="G242" s="144"/>
      <c r="H242" s="144"/>
      <c r="I242" s="144"/>
      <c r="J242" s="144"/>
      <c r="K242" s="144"/>
      <c r="L242" s="144"/>
      <c r="M242" s="144"/>
      <c r="N242" s="144"/>
      <c r="O242" s="144"/>
      <c r="P242" s="144"/>
      <c r="Q242" s="144"/>
    </row>
    <row r="243" spans="1:21" ht="18.5" thickBot="1">
      <c r="A243" s="1543" t="s">
        <v>862</v>
      </c>
      <c r="B243" s="1544"/>
      <c r="C243" s="1544"/>
      <c r="D243" s="1544"/>
      <c r="E243" s="1544"/>
      <c r="F243" s="1545"/>
      <c r="G243" s="1546"/>
      <c r="H243" s="1547"/>
      <c r="I243" s="1548"/>
      <c r="J243" s="1547"/>
      <c r="K243" s="1548"/>
      <c r="L243" s="1547"/>
      <c r="M243" s="347"/>
      <c r="N243" s="347"/>
      <c r="O243" s="347"/>
      <c r="P243" s="347"/>
      <c r="Q243" s="348"/>
    </row>
    <row r="244" spans="1:21" ht="40">
      <c r="A244" s="1523" t="s">
        <v>10</v>
      </c>
      <c r="B244" s="1524"/>
      <c r="C244" s="1524"/>
      <c r="D244" s="1524"/>
      <c r="E244" s="1524"/>
      <c r="F244" s="1525"/>
      <c r="G244" s="882" t="s">
        <v>863</v>
      </c>
      <c r="H244" s="882" t="s">
        <v>864</v>
      </c>
      <c r="I244" s="882" t="s">
        <v>865</v>
      </c>
      <c r="J244" s="882" t="s">
        <v>866</v>
      </c>
      <c r="K244" s="1526" t="s">
        <v>867</v>
      </c>
      <c r="L244" s="1549"/>
      <c r="M244" s="1549"/>
      <c r="N244" s="1549"/>
      <c r="O244" s="1549"/>
      <c r="P244" s="1549"/>
      <c r="Q244" s="1550"/>
    </row>
    <row r="245" spans="1:21" ht="18">
      <c r="A245" s="885"/>
      <c r="B245" s="884"/>
      <c r="C245" s="884"/>
      <c r="D245" s="884"/>
      <c r="E245" s="884"/>
      <c r="F245" s="886"/>
      <c r="G245" s="883"/>
      <c r="H245" s="883"/>
      <c r="I245" s="883"/>
      <c r="J245" s="887"/>
      <c r="K245" s="887"/>
      <c r="L245" s="887"/>
      <c r="M245" s="887"/>
      <c r="N245" s="887"/>
      <c r="O245" s="887"/>
      <c r="P245" s="887"/>
      <c r="Q245" s="888"/>
    </row>
    <row r="246" spans="1:21" ht="26.25" customHeight="1">
      <c r="A246" s="248" t="s">
        <v>857</v>
      </c>
      <c r="B246" s="229"/>
      <c r="C246" s="212" t="s">
        <v>298</v>
      </c>
      <c r="D246" s="211"/>
      <c r="E246" s="271"/>
      <c r="F246" s="889" t="s">
        <v>868</v>
      </c>
      <c r="G246" s="403">
        <v>210755463</v>
      </c>
      <c r="H246" s="403">
        <v>44311576</v>
      </c>
      <c r="I246" s="1363">
        <v>5065309.3367517786</v>
      </c>
      <c r="J246" s="1363">
        <v>5261619</v>
      </c>
      <c r="K246" s="1551" t="s">
        <v>902</v>
      </c>
      <c r="L246" s="1552"/>
      <c r="M246" s="1552"/>
      <c r="N246" s="1552"/>
      <c r="O246" s="1552"/>
      <c r="P246" s="1552"/>
      <c r="Q246" s="1553"/>
      <c r="T246" s="575"/>
      <c r="U246" s="575"/>
    </row>
    <row r="247" spans="1:21" ht="16" thickBot="1">
      <c r="A247" s="301"/>
      <c r="B247" s="306"/>
      <c r="C247" s="313"/>
      <c r="D247" s="865"/>
      <c r="E247" s="865"/>
      <c r="F247" s="315"/>
      <c r="G247" s="383"/>
      <c r="H247" s="383"/>
      <c r="I247" s="890"/>
      <c r="J247" s="330"/>
      <c r="K247" s="330"/>
      <c r="L247" s="330"/>
      <c r="M247" s="330"/>
      <c r="N247" s="330"/>
      <c r="O247" s="330"/>
      <c r="P247" s="330"/>
      <c r="Q247" s="337"/>
    </row>
    <row r="248" spans="1:21" ht="13">
      <c r="G248" s="144"/>
      <c r="H248" s="144"/>
      <c r="I248" s="144"/>
      <c r="J248" s="144"/>
      <c r="K248" s="144"/>
      <c r="L248" s="144"/>
      <c r="M248" s="144"/>
      <c r="N248" s="144"/>
      <c r="O248" s="144"/>
      <c r="P248" s="144"/>
      <c r="Q248" s="144"/>
    </row>
    <row r="249" spans="1:21" ht="13.5" thickBot="1">
      <c r="G249" s="144"/>
      <c r="H249" s="144"/>
      <c r="I249" s="144"/>
      <c r="J249" s="144"/>
      <c r="K249" s="144"/>
      <c r="L249" s="144"/>
      <c r="M249" s="144"/>
      <c r="N249" s="144"/>
      <c r="O249" s="144"/>
      <c r="P249" s="144"/>
      <c r="Q249" s="144"/>
    </row>
    <row r="250" spans="1:21" customFormat="1" ht="18.5" thickBot="1">
      <c r="A250" s="963" t="s">
        <v>1139</v>
      </c>
      <c r="B250" s="1252"/>
      <c r="C250" s="1252"/>
      <c r="D250" s="1252"/>
      <c r="E250" s="1252"/>
      <c r="F250" s="1252"/>
      <c r="G250" s="1252"/>
      <c r="H250" s="1252"/>
      <c r="I250" s="1252"/>
      <c r="J250" s="1253"/>
      <c r="K250" s="1253"/>
      <c r="L250" s="1253"/>
      <c r="M250" s="1253"/>
      <c r="N250" s="1253"/>
      <c r="O250" s="1253"/>
      <c r="P250" s="1253"/>
      <c r="Q250" s="1254"/>
      <c r="R250" s="339"/>
      <c r="S250" s="339"/>
    </row>
    <row r="251" spans="1:21" s="1000" customFormat="1" ht="14">
      <c r="A251" s="1319"/>
      <c r="B251" s="1255"/>
      <c r="C251" s="1256"/>
      <c r="D251" s="1255"/>
      <c r="E251" s="1257"/>
      <c r="F251" s="1257"/>
      <c r="G251" s="1258" t="s">
        <v>379</v>
      </c>
      <c r="H251" s="1259"/>
      <c r="I251" s="1260"/>
      <c r="J251" s="1259"/>
      <c r="K251" s="1261"/>
      <c r="L251" s="1262"/>
      <c r="M251" s="1262"/>
      <c r="N251" s="1262"/>
      <c r="O251" s="1262"/>
      <c r="P251" s="1262"/>
      <c r="Q251" s="1263"/>
    </row>
    <row r="252" spans="1:21" s="1000" customFormat="1" ht="14">
      <c r="A252" s="1319"/>
      <c r="B252" s="1264"/>
      <c r="C252" s="1255"/>
      <c r="D252" s="1265"/>
      <c r="E252" s="1266"/>
      <c r="F252" s="1266"/>
      <c r="G252" s="1258" t="s">
        <v>448</v>
      </c>
      <c r="H252" s="1258"/>
      <c r="I252" s="1258" t="s">
        <v>905</v>
      </c>
      <c r="J252" s="1259"/>
      <c r="K252" s="1335" t="s">
        <v>1223</v>
      </c>
      <c r="L252" s="1262"/>
      <c r="M252" s="1267"/>
      <c r="N252" s="1267"/>
      <c r="O252" s="1267"/>
      <c r="P252" s="1267"/>
      <c r="Q252" s="1268"/>
    </row>
    <row r="253" spans="1:21" s="1000" customFormat="1" ht="14">
      <c r="A253" s="1338" t="s">
        <v>964</v>
      </c>
      <c r="B253" s="1264"/>
      <c r="C253" s="1337" t="s">
        <v>906</v>
      </c>
      <c r="D253" s="1265"/>
      <c r="E253" s="1266"/>
      <c r="F253" s="1336" t="s">
        <v>907</v>
      </c>
      <c r="G253" s="1258" t="s">
        <v>908</v>
      </c>
      <c r="H253" s="1258"/>
      <c r="I253" s="1270" t="s">
        <v>1144</v>
      </c>
      <c r="J253" s="1259"/>
      <c r="K253" s="1270" t="s">
        <v>1224</v>
      </c>
      <c r="L253" s="1262"/>
      <c r="M253" s="1267"/>
      <c r="N253" s="1267"/>
      <c r="O253" s="1267"/>
      <c r="P253" s="1267"/>
      <c r="Q253" s="1268"/>
    </row>
    <row r="254" spans="1:21" s="1000" customFormat="1" ht="14">
      <c r="A254" s="1319"/>
      <c r="B254" s="1264"/>
      <c r="C254" s="1269"/>
      <c r="D254" s="1265"/>
      <c r="E254" s="1266"/>
      <c r="F254" s="1266"/>
      <c r="G254" s="1258"/>
      <c r="H254" s="1258"/>
      <c r="I254" s="1258"/>
      <c r="J254" s="1259"/>
      <c r="K254" s="1271"/>
      <c r="L254" s="1262"/>
      <c r="M254" s="1267"/>
      <c r="N254" s="1267"/>
      <c r="O254" s="1267"/>
      <c r="P254" s="1267"/>
      <c r="Q254" s="1268"/>
    </row>
    <row r="255" spans="1:21" s="1000" customFormat="1" ht="14">
      <c r="A255" s="1319" t="str">
        <f>'ATT H-2A'!A241</f>
        <v>136a</v>
      </c>
      <c r="B255" s="1255"/>
      <c r="C255" s="1256" t="s">
        <v>909</v>
      </c>
      <c r="D255" s="1255"/>
      <c r="E255" s="1257"/>
      <c r="F255" s="1257" t="s">
        <v>1140</v>
      </c>
      <c r="G255" s="1272">
        <v>1606089</v>
      </c>
      <c r="H255" s="1273" t="s">
        <v>492</v>
      </c>
      <c r="I255" s="1274">
        <f>'ATT H-2A'!H230</f>
        <v>0.27517499999999995</v>
      </c>
      <c r="J255" s="1275" t="s">
        <v>910</v>
      </c>
      <c r="K255" s="1276">
        <f>G255*I255</f>
        <v>441955.54057499993</v>
      </c>
      <c r="L255" s="1262"/>
      <c r="M255" s="1277"/>
      <c r="N255" s="1267"/>
      <c r="O255" s="1277"/>
      <c r="P255" s="1267"/>
      <c r="Q255" s="1278"/>
    </row>
    <row r="256" spans="1:21" s="1000" customFormat="1" ht="14">
      <c r="A256" s="1319"/>
      <c r="B256" s="1255"/>
      <c r="C256" s="1256" t="s">
        <v>1200</v>
      </c>
      <c r="D256" s="1255"/>
      <c r="E256" s="1257"/>
      <c r="F256" s="1257"/>
      <c r="G256" s="1259"/>
      <c r="H256" s="1259"/>
      <c r="I256" s="1259"/>
      <c r="J256" s="1259"/>
      <c r="K256" s="1276"/>
      <c r="L256" s="1262"/>
      <c r="M256" s="1267"/>
      <c r="N256" s="1267"/>
      <c r="O256" s="1267"/>
      <c r="P256" s="1267"/>
      <c r="Q256" s="1268"/>
    </row>
    <row r="257" spans="1:17" s="1000" customFormat="1" ht="14">
      <c r="A257" s="1319" t="str">
        <f>'ATT H-2A'!A242</f>
        <v>136b</v>
      </c>
      <c r="B257" s="1255"/>
      <c r="C257" s="1279" t="s">
        <v>1201</v>
      </c>
      <c r="D257" s="1255"/>
      <c r="E257" s="1257"/>
      <c r="F257" s="1257" t="s">
        <v>1141</v>
      </c>
      <c r="G257" s="1259"/>
      <c r="H257" s="1259"/>
      <c r="I257" s="1259"/>
      <c r="J257" s="1259"/>
      <c r="K257" s="1280">
        <f>-'1B - ADIT Amortization'!O73</f>
        <v>-11038201.936257988</v>
      </c>
      <c r="L257" s="1262"/>
      <c r="M257" s="1281"/>
      <c r="N257" s="1267"/>
      <c r="O257" s="1281"/>
      <c r="P257" s="1267"/>
      <c r="Q257" s="1282"/>
    </row>
    <row r="258" spans="1:17" s="1000" customFormat="1" ht="14">
      <c r="A258" s="1319" t="str">
        <f>'ATT H-2A'!A243</f>
        <v>136c</v>
      </c>
      <c r="B258" s="1255"/>
      <c r="C258" s="1283" t="s">
        <v>1195</v>
      </c>
      <c r="D258" s="1255"/>
      <c r="E258" s="1257"/>
      <c r="F258" s="1257" t="s">
        <v>1141</v>
      </c>
      <c r="G258" s="1259"/>
      <c r="H258" s="1259"/>
      <c r="I258" s="1259"/>
      <c r="J258" s="1259"/>
      <c r="K258" s="1280">
        <f>-'1B - ADIT Amortization'!O142</f>
        <v>0</v>
      </c>
      <c r="L258" s="1262"/>
      <c r="M258" s="1281"/>
      <c r="N258" s="1267"/>
      <c r="O258" s="1281"/>
      <c r="P258" s="1267"/>
      <c r="Q258" s="1282"/>
    </row>
    <row r="259" spans="1:17" s="1000" customFormat="1" ht="14">
      <c r="A259" s="1319" t="str">
        <f>'ATT H-2A'!A244</f>
        <v>136d</v>
      </c>
      <c r="B259" s="1255"/>
      <c r="C259" s="1256" t="s">
        <v>911</v>
      </c>
      <c r="D259" s="1255"/>
      <c r="E259" s="1257"/>
      <c r="F259" s="1257" t="s">
        <v>1142</v>
      </c>
      <c r="G259" s="1259"/>
      <c r="H259" s="1259"/>
      <c r="I259" s="1259"/>
      <c r="J259" s="1259"/>
      <c r="K259" s="1280">
        <v>453192</v>
      </c>
      <c r="L259" s="1262"/>
      <c r="M259" s="1267"/>
      <c r="N259" s="1267"/>
      <c r="O259" s="1267"/>
      <c r="P259" s="1267"/>
      <c r="Q259" s="1268"/>
    </row>
    <row r="260" spans="1:17" s="1000" customFormat="1" ht="14.5" thickBot="1">
      <c r="A260" s="1319" t="str">
        <f>'ATT H-2A'!A245</f>
        <v>136e</v>
      </c>
      <c r="B260" s="1255"/>
      <c r="C260" s="1284" t="s">
        <v>1143</v>
      </c>
      <c r="D260" s="1255"/>
      <c r="E260" s="1257"/>
      <c r="F260" s="1257"/>
      <c r="G260" s="1259"/>
      <c r="H260" s="1259"/>
      <c r="I260" s="1259"/>
      <c r="J260" s="1259"/>
      <c r="K260" s="1285">
        <f>SUM(K255:K259)</f>
        <v>-10143054.395682989</v>
      </c>
      <c r="L260" s="1262"/>
      <c r="M260" s="1267"/>
      <c r="N260" s="1267"/>
      <c r="O260" s="1267"/>
      <c r="P260" s="1267"/>
      <c r="Q260" s="1268"/>
    </row>
    <row r="261" spans="1:17" s="1000" customFormat="1" ht="14.5" thickTop="1">
      <c r="A261" s="1319"/>
      <c r="B261" s="1255"/>
      <c r="C261" s="1256"/>
      <c r="D261" s="1255"/>
      <c r="E261" s="1257"/>
      <c r="F261" s="1257"/>
      <c r="G261" s="1259"/>
      <c r="H261" s="1259"/>
      <c r="I261" s="1259"/>
      <c r="J261" s="1259"/>
      <c r="K261" s="1276"/>
      <c r="L261" s="1262"/>
      <c r="M261" s="1267"/>
      <c r="N261" s="1267"/>
      <c r="O261" s="1267"/>
      <c r="P261" s="1267"/>
      <c r="Q261" s="1268"/>
    </row>
    <row r="262" spans="1:17" s="1000" customFormat="1" ht="14">
      <c r="A262" s="1320" t="s">
        <v>912</v>
      </c>
      <c r="B262" s="1255"/>
      <c r="C262" s="1269" t="s">
        <v>913</v>
      </c>
      <c r="D262" s="1269"/>
      <c r="E262" s="1269"/>
      <c r="F262" s="1257"/>
      <c r="G262" s="1259"/>
      <c r="H262" s="1259"/>
      <c r="I262" s="1260"/>
      <c r="J262" s="1259"/>
      <c r="K262" s="1261"/>
      <c r="L262" s="1262"/>
      <c r="M262" s="1267"/>
      <c r="N262" s="1267"/>
      <c r="O262" s="1267"/>
      <c r="P262" s="1267"/>
      <c r="Q262" s="1268"/>
    </row>
    <row r="263" spans="1:17" s="1000" customFormat="1" ht="15" customHeight="1">
      <c r="A263" s="1321" t="s">
        <v>914</v>
      </c>
      <c r="B263" s="1255"/>
      <c r="C263" s="1539" t="s">
        <v>915</v>
      </c>
      <c r="D263" s="1539"/>
      <c r="E263" s="1539"/>
      <c r="F263" s="1539"/>
      <c r="G263" s="1259"/>
      <c r="H263" s="1259"/>
      <c r="I263" s="1260"/>
      <c r="J263" s="1259"/>
      <c r="K263" s="1261"/>
      <c r="L263" s="1262"/>
      <c r="M263" s="1262"/>
      <c r="N263" s="1262"/>
      <c r="O263" s="1262"/>
      <c r="P263" s="1262"/>
      <c r="Q263" s="1263"/>
    </row>
    <row r="264" spans="1:17" s="1000" customFormat="1" ht="15" customHeight="1">
      <c r="A264" s="1321"/>
      <c r="B264" s="1255"/>
      <c r="C264" s="1539"/>
      <c r="D264" s="1539"/>
      <c r="E264" s="1539"/>
      <c r="F264" s="1539"/>
      <c r="G264" s="1259"/>
      <c r="H264" s="1259"/>
      <c r="I264" s="1260"/>
      <c r="J264" s="1259"/>
      <c r="K264" s="1261"/>
      <c r="L264" s="1262"/>
      <c r="M264" s="1262"/>
      <c r="N264" s="1262"/>
      <c r="O264" s="1262"/>
      <c r="P264" s="1262"/>
      <c r="Q264" s="1263"/>
    </row>
    <row r="265" spans="1:17" s="1000" customFormat="1" ht="14">
      <c r="A265" s="1321"/>
      <c r="B265" s="1255"/>
      <c r="C265" s="1539"/>
      <c r="D265" s="1539"/>
      <c r="E265" s="1539"/>
      <c r="F265" s="1539"/>
      <c r="G265" s="1259"/>
      <c r="H265" s="1259"/>
      <c r="I265" s="1260"/>
      <c r="J265" s="1259"/>
      <c r="K265" s="1261"/>
      <c r="L265" s="1262"/>
      <c r="M265" s="1262"/>
      <c r="N265" s="1262"/>
      <c r="O265" s="1262"/>
      <c r="P265" s="1262"/>
      <c r="Q265" s="1263"/>
    </row>
    <row r="266" spans="1:17" s="1000" customFormat="1" ht="15" customHeight="1">
      <c r="A266" s="1321" t="s">
        <v>916</v>
      </c>
      <c r="B266" s="1255"/>
      <c r="C266" s="1539" t="s">
        <v>917</v>
      </c>
      <c r="D266" s="1539"/>
      <c r="E266" s="1539"/>
      <c r="F266" s="1539"/>
      <c r="G266" s="1259"/>
      <c r="H266" s="1259"/>
      <c r="I266" s="1260"/>
      <c r="J266" s="1259"/>
      <c r="K266" s="1261"/>
      <c r="L266" s="1262"/>
      <c r="M266" s="1262"/>
      <c r="N266" s="1262"/>
      <c r="O266" s="1262"/>
      <c r="P266" s="1262"/>
      <c r="Q266" s="1263"/>
    </row>
    <row r="267" spans="1:17" s="1000" customFormat="1" ht="15" customHeight="1">
      <c r="A267" s="1321" t="s">
        <v>918</v>
      </c>
      <c r="B267" s="1255"/>
      <c r="C267" s="1540" t="s">
        <v>1189</v>
      </c>
      <c r="D267" s="1540"/>
      <c r="E267" s="1540"/>
      <c r="F267" s="1540"/>
      <c r="G267" s="1259"/>
      <c r="H267" s="1259"/>
      <c r="I267" s="1260"/>
      <c r="J267" s="1259"/>
      <c r="K267" s="1261"/>
      <c r="L267" s="1262"/>
      <c r="M267" s="1262"/>
      <c r="N267" s="1262"/>
      <c r="O267" s="1262"/>
      <c r="P267" s="1262"/>
      <c r="Q267" s="1263"/>
    </row>
    <row r="268" spans="1:17" s="1000" customFormat="1" ht="14">
      <c r="A268" s="1321"/>
      <c r="B268" s="1255"/>
      <c r="C268" s="1540"/>
      <c r="D268" s="1540"/>
      <c r="E268" s="1540"/>
      <c r="F268" s="1540"/>
      <c r="G268" s="1259"/>
      <c r="H268" s="1259"/>
      <c r="I268" s="1260"/>
      <c r="J268" s="1259"/>
      <c r="K268" s="1261"/>
      <c r="L268" s="1262"/>
      <c r="M268" s="1262"/>
      <c r="N268" s="1262"/>
      <c r="O268" s="1262"/>
      <c r="P268" s="1262"/>
      <c r="Q268" s="1263"/>
    </row>
    <row r="269" spans="1:17" s="1000" customFormat="1" ht="14">
      <c r="A269" s="1321" t="s">
        <v>919</v>
      </c>
      <c r="B269" s="1255"/>
      <c r="C269" s="1541" t="s">
        <v>1216</v>
      </c>
      <c r="D269" s="1541"/>
      <c r="E269" s="1541"/>
      <c r="F269" s="1541"/>
      <c r="G269" s="1259"/>
      <c r="H269" s="1259"/>
      <c r="I269" s="1260"/>
      <c r="J269" s="1259"/>
      <c r="K269" s="1261"/>
      <c r="L269" s="1262"/>
      <c r="M269" s="1262"/>
      <c r="N269" s="1262"/>
      <c r="O269" s="1262"/>
      <c r="P269" s="1262"/>
      <c r="Q269" s="1263"/>
    </row>
    <row r="270" spans="1:17" s="1000" customFormat="1" ht="14">
      <c r="A270" s="1321"/>
      <c r="B270" s="1255"/>
      <c r="C270" s="1541"/>
      <c r="D270" s="1541"/>
      <c r="E270" s="1541"/>
      <c r="F270" s="1541"/>
      <c r="G270" s="1259"/>
      <c r="H270" s="1259"/>
      <c r="I270" s="1260"/>
      <c r="J270" s="1259"/>
      <c r="K270" s="1261"/>
      <c r="L270" s="1262"/>
      <c r="M270" s="1262"/>
      <c r="N270" s="1262"/>
      <c r="O270" s="1262"/>
      <c r="P270" s="1262"/>
      <c r="Q270" s="1263"/>
    </row>
    <row r="271" spans="1:17" s="1000" customFormat="1" ht="14">
      <c r="A271" s="1321"/>
      <c r="B271" s="1255"/>
      <c r="C271" s="1541"/>
      <c r="D271" s="1541"/>
      <c r="E271" s="1541"/>
      <c r="F271" s="1541"/>
      <c r="G271" s="1259"/>
      <c r="H271" s="1259"/>
      <c r="I271" s="1260"/>
      <c r="J271" s="1259"/>
      <c r="K271" s="1261"/>
      <c r="L271" s="1262"/>
      <c r="M271" s="1262"/>
      <c r="N271" s="1262"/>
      <c r="O271" s="1262"/>
      <c r="P271" s="1262"/>
      <c r="Q271" s="1263"/>
    </row>
    <row r="272" spans="1:17" s="1000" customFormat="1" ht="14">
      <c r="A272" s="1321"/>
      <c r="B272" s="1255"/>
      <c r="C272" s="1541"/>
      <c r="D272" s="1541"/>
      <c r="E272" s="1541"/>
      <c r="F272" s="1541"/>
      <c r="G272" s="1259"/>
      <c r="H272" s="1259"/>
      <c r="I272" s="1260"/>
      <c r="J272" s="1259"/>
      <c r="K272" s="1261"/>
      <c r="L272" s="1262"/>
      <c r="M272" s="1262"/>
      <c r="N272" s="1262"/>
      <c r="O272" s="1262"/>
      <c r="P272" s="1262"/>
      <c r="Q272" s="1263"/>
    </row>
    <row r="273" spans="1:17" s="1000" customFormat="1" ht="14">
      <c r="A273" s="1321"/>
      <c r="B273" s="1255"/>
      <c r="C273" s="1541"/>
      <c r="D273" s="1541"/>
      <c r="E273" s="1541"/>
      <c r="F273" s="1541"/>
      <c r="G273" s="1259"/>
      <c r="H273" s="1259"/>
      <c r="I273" s="1260"/>
      <c r="J273" s="1259"/>
      <c r="K273" s="1261"/>
      <c r="L273" s="1262"/>
      <c r="M273" s="1262"/>
      <c r="N273" s="1262"/>
      <c r="O273" s="1262"/>
      <c r="P273" s="1262"/>
      <c r="Q273" s="1263"/>
    </row>
    <row r="274" spans="1:17" s="1000" customFormat="1" ht="14">
      <c r="A274" s="1321" t="s">
        <v>920</v>
      </c>
      <c r="B274" s="1255"/>
      <c r="C274" s="1541" t="s">
        <v>1190</v>
      </c>
      <c r="D274" s="1541"/>
      <c r="E274" s="1541"/>
      <c r="F274" s="1541"/>
      <c r="G274" s="1259"/>
      <c r="H274" s="1259"/>
      <c r="I274" s="1260"/>
      <c r="J274" s="1259"/>
      <c r="K274" s="1261"/>
      <c r="L274" s="1262"/>
      <c r="M274" s="1262"/>
      <c r="N274" s="1262"/>
      <c r="O274" s="1262"/>
      <c r="P274" s="1262"/>
      <c r="Q274" s="1263"/>
    </row>
    <row r="275" spans="1:17" s="1000" customFormat="1" ht="14">
      <c r="A275" s="1321"/>
      <c r="B275" s="1255"/>
      <c r="C275" s="1541"/>
      <c r="D275" s="1541"/>
      <c r="E275" s="1541"/>
      <c r="F275" s="1541"/>
      <c r="G275" s="1259"/>
      <c r="H275" s="1259"/>
      <c r="I275" s="1260"/>
      <c r="J275" s="1259"/>
      <c r="K275" s="1261"/>
      <c r="L275" s="1262"/>
      <c r="M275" s="1262"/>
      <c r="N275" s="1262"/>
      <c r="O275" s="1262"/>
      <c r="P275" s="1262"/>
      <c r="Q275" s="1263"/>
    </row>
    <row r="276" spans="1:17" s="1000" customFormat="1" ht="14">
      <c r="A276" s="1321"/>
      <c r="B276" s="1255"/>
      <c r="C276" s="1541"/>
      <c r="D276" s="1541"/>
      <c r="E276" s="1541"/>
      <c r="F276" s="1541"/>
      <c r="G276" s="1259"/>
      <c r="H276" s="1259"/>
      <c r="I276" s="1260"/>
      <c r="J276" s="1259"/>
      <c r="K276" s="1261"/>
      <c r="L276" s="1262"/>
      <c r="M276" s="1262"/>
      <c r="N276" s="1262"/>
      <c r="O276" s="1262"/>
      <c r="P276" s="1262"/>
      <c r="Q276" s="1263"/>
    </row>
    <row r="277" spans="1:17" s="1000" customFormat="1" ht="14">
      <c r="A277" s="1321"/>
      <c r="B277" s="1255"/>
      <c r="C277" s="1541"/>
      <c r="D277" s="1541"/>
      <c r="E277" s="1541"/>
      <c r="F277" s="1541"/>
      <c r="G277" s="1259"/>
      <c r="H277" s="1259"/>
      <c r="I277" s="1260"/>
      <c r="J277" s="1259"/>
      <c r="K277" s="1261"/>
      <c r="L277" s="1262"/>
      <c r="M277" s="1262"/>
      <c r="N277" s="1262"/>
      <c r="O277" s="1262"/>
      <c r="P277" s="1262"/>
      <c r="Q277" s="1263"/>
    </row>
    <row r="278" spans="1:17" s="1000" customFormat="1" ht="14">
      <c r="A278" s="1321"/>
      <c r="B278" s="1255"/>
      <c r="C278" s="1541"/>
      <c r="D278" s="1541"/>
      <c r="E278" s="1541"/>
      <c r="F278" s="1541"/>
      <c r="G278" s="1259"/>
      <c r="H278" s="1259"/>
      <c r="I278" s="1260"/>
      <c r="J278" s="1259"/>
      <c r="K278" s="1261"/>
      <c r="L278" s="1262"/>
      <c r="M278" s="1262"/>
      <c r="N278" s="1262"/>
      <c r="O278" s="1262"/>
      <c r="P278" s="1262"/>
      <c r="Q278" s="1263"/>
    </row>
    <row r="279" spans="1:17" s="1000" customFormat="1" ht="14">
      <c r="A279" s="1321"/>
      <c r="B279" s="1255"/>
      <c r="C279" s="1541"/>
      <c r="D279" s="1541"/>
      <c r="E279" s="1541"/>
      <c r="F279" s="1541"/>
      <c r="G279" s="1259"/>
      <c r="H279" s="1259"/>
      <c r="I279" s="1260"/>
      <c r="J279" s="1259"/>
      <c r="K279" s="1261"/>
      <c r="L279" s="1262"/>
      <c r="M279" s="1262"/>
      <c r="N279" s="1262"/>
      <c r="O279" s="1262"/>
      <c r="P279" s="1262"/>
      <c r="Q279" s="1263"/>
    </row>
    <row r="280" spans="1:17" s="1000" customFormat="1" ht="14">
      <c r="A280" s="1321"/>
      <c r="B280" s="1255"/>
      <c r="C280" s="1541"/>
      <c r="D280" s="1541"/>
      <c r="E280" s="1541"/>
      <c r="F280" s="1541"/>
      <c r="G280" s="1259"/>
      <c r="H280" s="1259"/>
      <c r="I280" s="1260"/>
      <c r="J280" s="1259"/>
      <c r="K280" s="1261"/>
      <c r="L280" s="1262"/>
      <c r="M280" s="1262"/>
      <c r="N280" s="1262"/>
      <c r="O280" s="1262"/>
      <c r="P280" s="1262"/>
      <c r="Q280" s="1263"/>
    </row>
    <row r="281" spans="1:17" s="1000" customFormat="1" ht="14">
      <c r="A281" s="1321"/>
      <c r="B281" s="1255"/>
      <c r="C281" s="1541"/>
      <c r="D281" s="1541"/>
      <c r="E281" s="1541"/>
      <c r="F281" s="1541"/>
      <c r="G281" s="1259"/>
      <c r="H281" s="1259"/>
      <c r="I281" s="1260"/>
      <c r="J281" s="1259"/>
      <c r="K281" s="1261"/>
      <c r="L281" s="1262"/>
      <c r="M281" s="1262"/>
      <c r="N281" s="1262"/>
      <c r="O281" s="1262"/>
      <c r="P281" s="1262"/>
      <c r="Q281" s="1263"/>
    </row>
    <row r="282" spans="1:17" s="1000" customFormat="1" ht="14.5" thickBot="1">
      <c r="A282" s="1322"/>
      <c r="B282" s="1286"/>
      <c r="C282" s="1542"/>
      <c r="D282" s="1542"/>
      <c r="E282" s="1542"/>
      <c r="F282" s="1542"/>
      <c r="G282" s="1287"/>
      <c r="H282" s="1287"/>
      <c r="I282" s="1288"/>
      <c r="J282" s="1287"/>
      <c r="K282" s="1289"/>
      <c r="L282" s="1290"/>
      <c r="M282" s="1290"/>
      <c r="N282" s="1290"/>
      <c r="O282" s="1290"/>
      <c r="P282" s="1290"/>
      <c r="Q282" s="1291"/>
    </row>
    <row r="283" spans="1:17" customFormat="1" ht="14">
      <c r="G283" s="339"/>
      <c r="H283" s="339"/>
      <c r="I283" s="339"/>
      <c r="J283" s="339"/>
      <c r="K283" s="339"/>
      <c r="L283" s="339"/>
      <c r="M283" s="339"/>
      <c r="N283" s="339"/>
      <c r="O283" s="339"/>
      <c r="P283" s="339"/>
      <c r="Q283" s="339"/>
    </row>
    <row r="284" spans="1:17" ht="14">
      <c r="G284" s="339"/>
      <c r="H284" s="339"/>
      <c r="I284" s="339"/>
      <c r="J284" s="339"/>
      <c r="K284" s="339"/>
      <c r="L284" s="339"/>
      <c r="M284" s="339"/>
      <c r="N284" s="339"/>
      <c r="O284" s="339"/>
      <c r="P284" s="339"/>
      <c r="Q284" s="339"/>
    </row>
    <row r="285" spans="1:17" ht="14">
      <c r="G285" s="339"/>
      <c r="H285" s="339"/>
      <c r="I285" s="339"/>
      <c r="J285" s="339"/>
      <c r="K285" s="339"/>
      <c r="L285" s="339"/>
      <c r="M285" s="339"/>
      <c r="N285" s="339"/>
      <c r="O285" s="339"/>
      <c r="P285" s="339"/>
      <c r="Q285" s="339"/>
    </row>
    <row r="286" spans="1:17" ht="14">
      <c r="G286" s="339"/>
      <c r="H286" s="339"/>
      <c r="I286" s="339"/>
      <c r="J286" s="339"/>
      <c r="K286" s="339"/>
      <c r="L286" s="339"/>
      <c r="M286" s="339"/>
      <c r="N286" s="339"/>
      <c r="O286" s="339"/>
      <c r="P286" s="339"/>
      <c r="Q286" s="339"/>
    </row>
    <row r="287" spans="1:17" ht="14">
      <c r="G287" s="339"/>
      <c r="H287" s="339"/>
      <c r="I287" s="339"/>
      <c r="J287" s="339"/>
      <c r="K287" s="339"/>
      <c r="L287" s="339"/>
      <c r="M287" s="339"/>
      <c r="N287" s="339"/>
      <c r="O287" s="339"/>
      <c r="P287" s="339"/>
      <c r="Q287" s="339"/>
    </row>
    <row r="288" spans="1:17" ht="14">
      <c r="G288" s="339"/>
      <c r="H288" s="339"/>
      <c r="I288" s="339"/>
      <c r="J288" s="339"/>
      <c r="K288" s="339"/>
      <c r="L288" s="339"/>
      <c r="M288" s="339"/>
      <c r="N288" s="339"/>
      <c r="O288" s="339"/>
      <c r="P288" s="339"/>
      <c r="Q288" s="339"/>
    </row>
    <row r="289" spans="7:17" ht="14">
      <c r="G289" s="339"/>
      <c r="H289" s="339"/>
      <c r="I289" s="339"/>
      <c r="J289" s="339"/>
      <c r="K289" s="339"/>
      <c r="L289" s="339"/>
      <c r="M289" s="339"/>
      <c r="N289" s="339"/>
      <c r="O289" s="339"/>
      <c r="P289" s="339"/>
      <c r="Q289" s="339"/>
    </row>
  </sheetData>
  <mergeCells count="153">
    <mergeCell ref="A207:F207"/>
    <mergeCell ref="H207:Q207"/>
    <mergeCell ref="H209:Q209"/>
    <mergeCell ref="H211:Q211"/>
    <mergeCell ref="A218:F218"/>
    <mergeCell ref="H183:Q183"/>
    <mergeCell ref="H213:Q213"/>
    <mergeCell ref="H212:Q212"/>
    <mergeCell ref="H218:Q218"/>
    <mergeCell ref="A224:F224"/>
    <mergeCell ref="J226:Q226"/>
    <mergeCell ref="G240:H240"/>
    <mergeCell ref="I240:J240"/>
    <mergeCell ref="K240:L240"/>
    <mergeCell ref="G237:H237"/>
    <mergeCell ref="I237:J237"/>
    <mergeCell ref="K237:L237"/>
    <mergeCell ref="G238:H238"/>
    <mergeCell ref="I238:J238"/>
    <mergeCell ref="K238:L238"/>
    <mergeCell ref="H179:Q179"/>
    <mergeCell ref="H180:Q180"/>
    <mergeCell ref="H181:Q181"/>
    <mergeCell ref="H182:Q182"/>
    <mergeCell ref="G236:H236"/>
    <mergeCell ref="I236:J236"/>
    <mergeCell ref="K236:L236"/>
    <mergeCell ref="H230:Q230"/>
    <mergeCell ref="H232:Q232"/>
    <mergeCell ref="H220:Q220"/>
    <mergeCell ref="J224:Q224"/>
    <mergeCell ref="J225:Q225"/>
    <mergeCell ref="H178:Q178"/>
    <mergeCell ref="H175:Q175"/>
    <mergeCell ref="H177:Q177"/>
    <mergeCell ref="H173:Q173"/>
    <mergeCell ref="H120:Q120"/>
    <mergeCell ref="H122:Q122"/>
    <mergeCell ref="H123:Q123"/>
    <mergeCell ref="H124:Q124"/>
    <mergeCell ref="H125:Q125"/>
    <mergeCell ref="J157:Q157"/>
    <mergeCell ref="H141:Q141"/>
    <mergeCell ref="H142:Q142"/>
    <mergeCell ref="H134:Q134"/>
    <mergeCell ref="H136:Q136"/>
    <mergeCell ref="H137:Q137"/>
    <mergeCell ref="H138:Q138"/>
    <mergeCell ref="A173:F173"/>
    <mergeCell ref="A230:F230"/>
    <mergeCell ref="J42:Q42"/>
    <mergeCell ref="J43:Q43"/>
    <mergeCell ref="J44:Q44"/>
    <mergeCell ref="J54:Q54"/>
    <mergeCell ref="A95:F95"/>
    <mergeCell ref="A101:F101"/>
    <mergeCell ref="J55:Q55"/>
    <mergeCell ref="L104:Q104"/>
    <mergeCell ref="J108:Q108"/>
    <mergeCell ref="H119:Q119"/>
    <mergeCell ref="H126:Q126"/>
    <mergeCell ref="H127:Q127"/>
    <mergeCell ref="A132:F132"/>
    <mergeCell ref="H132:Q132"/>
    <mergeCell ref="H159:Q159"/>
    <mergeCell ref="J161:Q161"/>
    <mergeCell ref="J160:Q160"/>
    <mergeCell ref="A166:F166"/>
    <mergeCell ref="A147:F147"/>
    <mergeCell ref="J147:Q147"/>
    <mergeCell ref="J153:Q153"/>
    <mergeCell ref="A157:F157"/>
    <mergeCell ref="A6:F6"/>
    <mergeCell ref="J6:Q6"/>
    <mergeCell ref="J7:Q7"/>
    <mergeCell ref="J8:Q8"/>
    <mergeCell ref="J11:Q11"/>
    <mergeCell ref="J12:Q12"/>
    <mergeCell ref="J97:Q97"/>
    <mergeCell ref="L101:Q101"/>
    <mergeCell ref="L103:Q103"/>
    <mergeCell ref="J14:Q14"/>
    <mergeCell ref="J25:Q25"/>
    <mergeCell ref="J29:Q29"/>
    <mergeCell ref="J37:Q37"/>
    <mergeCell ref="J34:Q34"/>
    <mergeCell ref="J13:Q13"/>
    <mergeCell ref="A41:F41"/>
    <mergeCell ref="A54:F54"/>
    <mergeCell ref="A77:F77"/>
    <mergeCell ref="A87:F87"/>
    <mergeCell ref="A82:F82"/>
    <mergeCell ref="J41:Q41"/>
    <mergeCell ref="J24:Q24"/>
    <mergeCell ref="J26:Q26"/>
    <mergeCell ref="J28:Q28"/>
    <mergeCell ref="J110:Q110"/>
    <mergeCell ref="A115:F115"/>
    <mergeCell ref="H115:Q115"/>
    <mergeCell ref="U83:U104"/>
    <mergeCell ref="J63:Q63"/>
    <mergeCell ref="J87:Q87"/>
    <mergeCell ref="J91:Q91"/>
    <mergeCell ref="J95:Q95"/>
    <mergeCell ref="J82:Q82"/>
    <mergeCell ref="J83:Q83"/>
    <mergeCell ref="J84:Q84"/>
    <mergeCell ref="A66:F66"/>
    <mergeCell ref="J66:Q66"/>
    <mergeCell ref="J71:Q71"/>
    <mergeCell ref="J68:Q68"/>
    <mergeCell ref="J57:Q57"/>
    <mergeCell ref="J58:Q58"/>
    <mergeCell ref="J59:Q59"/>
    <mergeCell ref="J60:Q60"/>
    <mergeCell ref="J77:Q77"/>
    <mergeCell ref="J78:Q78"/>
    <mergeCell ref="J61:Q61"/>
    <mergeCell ref="J79:Q79"/>
    <mergeCell ref="J70:Q70"/>
    <mergeCell ref="K243:L243"/>
    <mergeCell ref="A244:F244"/>
    <mergeCell ref="K244:Q244"/>
    <mergeCell ref="K246:Q246"/>
    <mergeCell ref="J9:Q9"/>
    <mergeCell ref="J10:Q10"/>
    <mergeCell ref="J15:Q15"/>
    <mergeCell ref="J16:Q16"/>
    <mergeCell ref="J32:Q32"/>
    <mergeCell ref="J33:Q33"/>
    <mergeCell ref="J35:Q35"/>
    <mergeCell ref="J56:Q56"/>
    <mergeCell ref="J22:Q22"/>
    <mergeCell ref="J23:Q23"/>
    <mergeCell ref="J17:Q17"/>
    <mergeCell ref="J19:Q19"/>
    <mergeCell ref="J21:Q21"/>
    <mergeCell ref="J18:Q18"/>
    <mergeCell ref="J36:Q36"/>
    <mergeCell ref="J20:Q20"/>
    <mergeCell ref="H117:Q117"/>
    <mergeCell ref="A108:F108"/>
    <mergeCell ref="H139:Q139"/>
    <mergeCell ref="H140:Q140"/>
    <mergeCell ref="C263:F265"/>
    <mergeCell ref="C266:F266"/>
    <mergeCell ref="C267:F268"/>
    <mergeCell ref="C269:F273"/>
    <mergeCell ref="C274:F281"/>
    <mergeCell ref="C282:F282"/>
    <mergeCell ref="A243:F243"/>
    <mergeCell ref="G243:H243"/>
    <mergeCell ref="I243:J243"/>
  </mergeCells>
  <phoneticPr fontId="0" type="noConversion"/>
  <printOptions horizontalCentered="1"/>
  <pageMargins left="0.25" right="0.25" top="0.75" bottom="0.75" header="0.5" footer="0.5"/>
  <pageSetup scale="43" fitToHeight="3" orientation="landscape" r:id="rId1"/>
  <headerFooter alignWithMargins="0">
    <oddHeader>&amp;R&amp;"Times New Roman,Bold"&amp;14Appendix A
Page &amp;P of &amp;N</oddHeader>
  </headerFooter>
  <rowBreaks count="2" manualBreakCount="2">
    <brk id="155" max="16" man="1"/>
    <brk id="24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46"/>
  <sheetViews>
    <sheetView workbookViewId="0">
      <selection activeCell="D34" sqref="D34"/>
    </sheetView>
  </sheetViews>
  <sheetFormatPr defaultColWidth="9.1796875" defaultRowHeight="12.5"/>
  <cols>
    <col min="1" max="1" width="23.7265625" style="561" customWidth="1"/>
    <col min="2" max="2" width="9.81640625" style="561" customWidth="1"/>
    <col min="3" max="3" width="9.1796875" style="561"/>
    <col min="4" max="4" width="13" style="561" customWidth="1"/>
    <col min="5" max="5" width="14.1796875" style="561" customWidth="1"/>
    <col min="6" max="16384" width="9.1796875" style="561"/>
  </cols>
  <sheetData>
    <row r="1" spans="1:10" ht="18">
      <c r="A1" s="1538" t="str">
        <f>'ATT H-2A'!A4</f>
        <v>Baltimore Gas and Electric Company</v>
      </c>
      <c r="B1" s="1515"/>
      <c r="C1" s="1515"/>
      <c r="D1" s="1515"/>
      <c r="E1" s="1515"/>
      <c r="F1" s="1515"/>
      <c r="G1" s="1515"/>
      <c r="H1" s="1515"/>
      <c r="I1" s="1515"/>
      <c r="J1" s="1515"/>
    </row>
    <row r="2" spans="1:10" ht="15.5">
      <c r="A2" s="367"/>
      <c r="B2" s="210"/>
      <c r="D2" s="124"/>
    </row>
    <row r="3" spans="1:10" ht="15.5">
      <c r="A3" s="1516" t="s">
        <v>617</v>
      </c>
      <c r="B3" s="1515"/>
      <c r="C3" s="1515"/>
      <c r="D3" s="1515"/>
      <c r="E3" s="1515"/>
      <c r="F3" s="1515"/>
      <c r="G3" s="1515"/>
      <c r="H3" s="1515"/>
      <c r="I3" s="1515"/>
      <c r="J3" s="1515"/>
    </row>
    <row r="8" spans="1:10" ht="13">
      <c r="A8" s="515" t="s">
        <v>827</v>
      </c>
    </row>
    <row r="9" spans="1:10" ht="13">
      <c r="A9" s="515" t="s">
        <v>828</v>
      </c>
    </row>
    <row r="12" spans="1:10">
      <c r="D12" s="842" t="s">
        <v>413</v>
      </c>
      <c r="E12" s="842" t="s">
        <v>413</v>
      </c>
      <c r="F12" s="587"/>
      <c r="G12" s="587"/>
    </row>
    <row r="13" spans="1:10">
      <c r="D13" s="842" t="s">
        <v>102</v>
      </c>
      <c r="E13" s="842" t="s">
        <v>102</v>
      </c>
      <c r="F13" s="587"/>
      <c r="G13" s="587"/>
    </row>
    <row r="14" spans="1:10">
      <c r="A14" s="561" t="s">
        <v>7</v>
      </c>
      <c r="D14" s="587" t="s">
        <v>103</v>
      </c>
      <c r="E14" s="587" t="s">
        <v>103</v>
      </c>
      <c r="F14" s="587"/>
      <c r="G14" s="587"/>
    </row>
    <row r="15" spans="1:10">
      <c r="D15" s="587" t="s">
        <v>104</v>
      </c>
      <c r="E15" s="587" t="s">
        <v>105</v>
      </c>
      <c r="F15" s="587"/>
      <c r="G15" s="587"/>
    </row>
    <row r="16" spans="1:10">
      <c r="F16" s="575"/>
      <c r="G16" s="575"/>
    </row>
    <row r="17" spans="1:9">
      <c r="B17" s="813"/>
    </row>
    <row r="19" spans="1:9">
      <c r="A19" s="561" t="s">
        <v>8</v>
      </c>
      <c r="D19" s="1378">
        <v>104675288.33928008</v>
      </c>
      <c r="E19" s="1378">
        <v>49941090.300720036</v>
      </c>
    </row>
    <row r="24" spans="1:9">
      <c r="A24" s="561" t="s">
        <v>106</v>
      </c>
    </row>
    <row r="25" spans="1:9">
      <c r="A25" s="561" t="s">
        <v>829</v>
      </c>
      <c r="B25" s="575"/>
      <c r="C25" s="575"/>
      <c r="D25" s="575"/>
      <c r="E25" s="575"/>
      <c r="F25" s="575"/>
      <c r="G25" s="575"/>
      <c r="H25" s="575"/>
      <c r="I25" s="575"/>
    </row>
    <row r="26" spans="1:9">
      <c r="A26" s="561" t="s">
        <v>830</v>
      </c>
      <c r="B26" s="575"/>
      <c r="C26" s="575"/>
      <c r="D26" s="575"/>
      <c r="E26" s="575"/>
      <c r="F26" s="575"/>
      <c r="G26" s="575"/>
      <c r="H26" s="575"/>
      <c r="I26" s="575"/>
    </row>
    <row r="27" spans="1:9">
      <c r="A27" s="561" t="s">
        <v>831</v>
      </c>
      <c r="B27" s="575"/>
      <c r="C27" s="575"/>
      <c r="D27" s="575"/>
      <c r="E27" s="575"/>
      <c r="F27" s="575"/>
      <c r="G27" s="575"/>
      <c r="H27" s="575"/>
      <c r="I27" s="575"/>
    </row>
    <row r="28" spans="1:9">
      <c r="A28" s="561" t="s">
        <v>832</v>
      </c>
      <c r="B28" s="575"/>
      <c r="C28" s="575"/>
      <c r="D28" s="575"/>
      <c r="E28" s="575"/>
      <c r="F28" s="575"/>
      <c r="G28" s="575"/>
      <c r="H28" s="575"/>
      <c r="I28" s="575"/>
    </row>
    <row r="29" spans="1:9">
      <c r="B29" s="575"/>
      <c r="C29" s="575"/>
      <c r="D29" s="575"/>
      <c r="E29" s="575"/>
      <c r="F29" s="575"/>
      <c r="G29" s="575"/>
      <c r="H29" s="575"/>
      <c r="I29" s="575"/>
    </row>
    <row r="30" spans="1:9">
      <c r="A30" s="561" t="s">
        <v>833</v>
      </c>
      <c r="B30" s="575"/>
      <c r="C30" s="575"/>
      <c r="D30" s="575"/>
      <c r="E30" s="575"/>
      <c r="F30" s="575"/>
      <c r="G30" s="575"/>
      <c r="H30" s="575"/>
      <c r="I30" s="575"/>
    </row>
    <row r="31" spans="1:9">
      <c r="A31" s="561" t="s">
        <v>834</v>
      </c>
      <c r="B31" s="575"/>
      <c r="C31" s="575"/>
      <c r="D31" s="575"/>
      <c r="E31" s="575"/>
      <c r="F31" s="575"/>
      <c r="G31" s="575"/>
      <c r="H31" s="575"/>
      <c r="I31" s="575"/>
    </row>
    <row r="32" spans="1:9">
      <c r="A32" s="561" t="s">
        <v>835</v>
      </c>
      <c r="B32" s="575"/>
      <c r="C32" s="575"/>
      <c r="D32" s="575"/>
      <c r="E32" s="575"/>
      <c r="F32" s="575"/>
      <c r="G32" s="575"/>
      <c r="H32" s="575"/>
      <c r="I32" s="575"/>
    </row>
    <row r="33" spans="1:9">
      <c r="A33" s="561" t="s">
        <v>107</v>
      </c>
      <c r="B33" s="575"/>
      <c r="C33" s="575"/>
      <c r="D33" s="575"/>
      <c r="E33" s="575"/>
      <c r="F33" s="575"/>
      <c r="G33" s="575"/>
      <c r="H33" s="575"/>
      <c r="I33" s="575"/>
    </row>
    <row r="34" spans="1:9">
      <c r="A34" s="561" t="s">
        <v>108</v>
      </c>
      <c r="B34" s="575"/>
      <c r="C34" s="575"/>
      <c r="D34" s="575"/>
      <c r="E34" s="575"/>
      <c r="F34" s="575"/>
      <c r="G34" s="575"/>
      <c r="H34" s="575"/>
      <c r="I34" s="575"/>
    </row>
    <row r="35" spans="1:9">
      <c r="A35" s="561" t="s">
        <v>109</v>
      </c>
      <c r="B35" s="575"/>
      <c r="C35" s="575"/>
      <c r="D35" s="575"/>
      <c r="E35" s="575"/>
      <c r="F35" s="575"/>
      <c r="G35" s="575"/>
      <c r="H35" s="575"/>
      <c r="I35" s="575"/>
    </row>
    <row r="36" spans="1:9">
      <c r="A36" s="561" t="s">
        <v>110</v>
      </c>
      <c r="B36" s="575"/>
      <c r="C36" s="575"/>
      <c r="D36" s="575"/>
      <c r="E36" s="575"/>
      <c r="F36" s="575"/>
      <c r="G36" s="575"/>
      <c r="H36" s="575"/>
      <c r="I36" s="575"/>
    </row>
    <row r="37" spans="1:9">
      <c r="A37" s="561" t="s">
        <v>882</v>
      </c>
      <c r="B37" s="575"/>
      <c r="C37" s="575"/>
      <c r="D37" s="575"/>
      <c r="E37" s="575"/>
      <c r="F37" s="575"/>
      <c r="G37" s="575"/>
      <c r="H37" s="575"/>
      <c r="I37" s="575"/>
    </row>
    <row r="38" spans="1:9">
      <c r="A38" s="561" t="s">
        <v>111</v>
      </c>
      <c r="B38" s="575"/>
      <c r="C38" s="575"/>
      <c r="D38" s="575"/>
      <c r="E38" s="575"/>
      <c r="F38" s="575"/>
      <c r="G38" s="575"/>
      <c r="H38" s="575"/>
      <c r="I38" s="575"/>
    </row>
    <row r="39" spans="1:9">
      <c r="B39" s="575"/>
      <c r="C39" s="575"/>
      <c r="D39" s="575"/>
      <c r="E39" s="575"/>
      <c r="F39" s="575"/>
      <c r="G39" s="575"/>
      <c r="H39" s="575"/>
      <c r="I39" s="575"/>
    </row>
    <row r="40" spans="1:9">
      <c r="A40" s="561" t="s">
        <v>1256</v>
      </c>
      <c r="B40" s="575"/>
      <c r="C40" s="575"/>
      <c r="D40" s="575"/>
      <c r="E40" s="575"/>
      <c r="F40" s="575"/>
      <c r="G40" s="575"/>
      <c r="H40" s="575"/>
      <c r="I40" s="575"/>
    </row>
    <row r="41" spans="1:9">
      <c r="A41" s="561" t="s">
        <v>1257</v>
      </c>
      <c r="B41" s="575"/>
      <c r="C41" s="575"/>
      <c r="D41" s="575"/>
      <c r="E41" s="575"/>
      <c r="F41" s="575"/>
      <c r="G41" s="575"/>
      <c r="H41" s="575"/>
      <c r="I41" s="575"/>
    </row>
    <row r="42" spans="1:9">
      <c r="A42" s="561" t="s">
        <v>1258</v>
      </c>
      <c r="B42" s="575"/>
      <c r="C42" s="575"/>
      <c r="D42" s="575"/>
      <c r="E42" s="575"/>
      <c r="F42" s="575"/>
      <c r="G42" s="575"/>
      <c r="H42" s="575"/>
      <c r="I42" s="575"/>
    </row>
    <row r="43" spans="1:9">
      <c r="A43" s="575"/>
      <c r="B43" s="575"/>
      <c r="C43" s="575"/>
      <c r="D43" s="575"/>
      <c r="E43" s="575"/>
      <c r="F43" s="575"/>
      <c r="G43" s="575"/>
      <c r="H43" s="575"/>
      <c r="I43" s="575"/>
    </row>
    <row r="44" spans="1:9">
      <c r="A44" s="575"/>
      <c r="B44" s="575"/>
      <c r="C44" s="575"/>
      <c r="D44" s="575"/>
      <c r="E44" s="575"/>
      <c r="F44" s="575"/>
      <c r="G44" s="575"/>
      <c r="H44" s="575"/>
      <c r="I44" s="575"/>
    </row>
    <row r="45" spans="1:9">
      <c r="A45" s="575"/>
      <c r="B45" s="575"/>
      <c r="C45" s="575"/>
      <c r="D45" s="575"/>
      <c r="E45" s="575"/>
      <c r="F45" s="575"/>
      <c r="G45" s="575"/>
      <c r="H45" s="575"/>
      <c r="I45" s="575"/>
    </row>
    <row r="46" spans="1:9">
      <c r="A46" s="575"/>
      <c r="B46" s="575"/>
      <c r="C46" s="575"/>
      <c r="D46" s="575"/>
      <c r="E46" s="575"/>
      <c r="F46" s="575"/>
      <c r="G46" s="575"/>
      <c r="H46" s="575"/>
      <c r="I46" s="575"/>
    </row>
  </sheetData>
  <mergeCells count="2">
    <mergeCell ref="A1:J1"/>
    <mergeCell ref="A3:J3"/>
  </mergeCells>
  <phoneticPr fontId="0" type="noConversion"/>
  <pageMargins left="0.75" right="0.75" top="1" bottom="1" header="0.5" footer="0.5"/>
  <pageSetup scale="77" orientation="portrait" r:id="rId1"/>
  <headerFooter alignWithMargins="0">
    <oddHeader>&amp;R&amp;"Times New Roman,Bold"Appendix A
Page &amp;P of &amp;N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345"/>
  <sheetViews>
    <sheetView topLeftCell="A105" zoomScaleNormal="100" zoomScaleSheetLayoutView="100" workbookViewId="0">
      <selection activeCell="D110" sqref="D110"/>
    </sheetView>
  </sheetViews>
  <sheetFormatPr defaultColWidth="9.1796875" defaultRowHeight="12.5"/>
  <cols>
    <col min="1" max="1" width="4.1796875" style="842" customWidth="1"/>
    <col min="2" max="2" width="4.7265625" style="842" customWidth="1"/>
    <col min="3" max="3" width="7.1796875" style="842" customWidth="1"/>
    <col min="4" max="4" width="14.453125" style="561" customWidth="1"/>
    <col min="5" max="5" width="14.1796875" style="561" customWidth="1"/>
    <col min="6" max="6" width="17.453125" style="561" customWidth="1"/>
    <col min="7" max="7" width="15.1796875" style="561" customWidth="1"/>
    <col min="8" max="8" width="11" style="561" customWidth="1"/>
    <col min="9" max="9" width="15" style="561" customWidth="1"/>
    <col min="10" max="10" width="12.81640625" style="561" customWidth="1"/>
    <col min="11" max="11" width="10.26953125" style="561" customWidth="1"/>
    <col min="12" max="12" width="9.1796875" style="561"/>
    <col min="13" max="13" width="11" style="561" bestFit="1" customWidth="1"/>
    <col min="14" max="14" width="9.1796875" style="561"/>
    <col min="15" max="15" width="10.26953125" style="561" bestFit="1" customWidth="1"/>
    <col min="16" max="16384" width="9.1796875" style="561"/>
  </cols>
  <sheetData>
    <row r="1" spans="1:29" ht="18">
      <c r="A1" s="1514" t="str">
        <f>+'ATT H-2A'!A4</f>
        <v>Baltimore Gas and Electric Company</v>
      </c>
      <c r="B1" s="1603"/>
      <c r="C1" s="1603"/>
      <c r="D1" s="1603"/>
      <c r="E1" s="1603"/>
      <c r="F1" s="1603"/>
      <c r="G1" s="1603"/>
      <c r="H1" s="1603"/>
      <c r="I1" s="1603"/>
      <c r="J1" s="1603"/>
    </row>
    <row r="2" spans="1:29" ht="13">
      <c r="A2" s="148"/>
    </row>
    <row r="3" spans="1:29" ht="18">
      <c r="A3" s="1538" t="s">
        <v>50</v>
      </c>
      <c r="B3" s="1538"/>
      <c r="C3" s="1538"/>
      <c r="D3" s="1538"/>
      <c r="E3" s="1538"/>
      <c r="F3" s="1538"/>
      <c r="G3" s="1538"/>
      <c r="H3" s="1538"/>
      <c r="I3" s="1515"/>
      <c r="J3" s="1515"/>
    </row>
    <row r="5" spans="1:29" ht="14">
      <c r="J5" s="871"/>
    </row>
    <row r="6" spans="1:29">
      <c r="A6" s="420" t="s">
        <v>541</v>
      </c>
      <c r="B6" s="420" t="s">
        <v>542</v>
      </c>
      <c r="C6" s="420" t="s">
        <v>543</v>
      </c>
      <c r="D6" s="420" t="s">
        <v>544</v>
      </c>
      <c r="E6" s="421"/>
      <c r="F6" s="421"/>
      <c r="G6" s="421"/>
      <c r="H6" s="421"/>
      <c r="I6" s="421"/>
      <c r="J6" s="421"/>
      <c r="K6" s="421"/>
      <c r="L6" s="421"/>
      <c r="M6" s="421"/>
      <c r="N6" s="421"/>
      <c r="O6" s="421"/>
      <c r="P6" s="421"/>
      <c r="Q6" s="421"/>
      <c r="R6" s="421"/>
      <c r="S6" s="421"/>
      <c r="T6" s="421"/>
      <c r="U6" s="421"/>
      <c r="V6" s="421"/>
      <c r="W6" s="421"/>
      <c r="X6" s="421"/>
      <c r="Y6" s="421"/>
      <c r="Z6" s="421"/>
      <c r="AA6" s="421"/>
      <c r="AB6" s="421"/>
      <c r="AC6" s="422"/>
    </row>
    <row r="7" spans="1:29">
      <c r="B7" s="420"/>
      <c r="C7" s="420"/>
      <c r="D7" s="421"/>
      <c r="E7" s="421"/>
      <c r="F7" s="421"/>
      <c r="G7" s="421"/>
      <c r="H7" s="421"/>
      <c r="I7" s="421"/>
      <c r="J7" s="421"/>
      <c r="K7" s="421"/>
      <c r="L7" s="421"/>
      <c r="M7" s="421"/>
      <c r="N7" s="421"/>
      <c r="O7" s="421"/>
      <c r="P7" s="421"/>
      <c r="Q7" s="421"/>
      <c r="R7" s="421"/>
      <c r="S7" s="421"/>
      <c r="T7" s="421"/>
      <c r="U7" s="421"/>
      <c r="V7" s="421"/>
      <c r="W7" s="421"/>
      <c r="X7" s="421"/>
      <c r="Y7" s="421"/>
      <c r="Z7" s="421"/>
      <c r="AA7" s="421"/>
      <c r="AB7" s="421"/>
      <c r="AC7" s="422"/>
    </row>
    <row r="8" spans="1:29">
      <c r="A8" s="423" t="s">
        <v>545</v>
      </c>
      <c r="B8" s="420"/>
      <c r="C8" s="420"/>
      <c r="D8" s="421"/>
      <c r="E8" s="421"/>
      <c r="F8" s="421"/>
      <c r="G8" s="421"/>
      <c r="H8" s="421"/>
      <c r="I8" s="421"/>
      <c r="J8" s="421"/>
      <c r="K8" s="421"/>
      <c r="L8" s="421"/>
      <c r="M8" s="421"/>
      <c r="N8" s="421"/>
      <c r="O8" s="421"/>
      <c r="P8" s="421"/>
      <c r="Q8" s="421"/>
      <c r="R8" s="421"/>
      <c r="S8" s="421"/>
      <c r="T8" s="421"/>
      <c r="U8" s="421"/>
      <c r="V8" s="421"/>
      <c r="W8" s="421"/>
      <c r="X8" s="421"/>
      <c r="Y8" s="421"/>
      <c r="Z8" s="421"/>
      <c r="AA8" s="421"/>
      <c r="AB8" s="421"/>
      <c r="AC8" s="422"/>
    </row>
    <row r="9" spans="1:29">
      <c r="A9" s="420">
        <v>1</v>
      </c>
      <c r="B9" s="420" t="s">
        <v>546</v>
      </c>
      <c r="C9" s="547" t="s">
        <v>249</v>
      </c>
      <c r="D9" s="427" t="s">
        <v>632</v>
      </c>
      <c r="E9" s="421"/>
      <c r="F9" s="421"/>
      <c r="G9" s="421"/>
      <c r="H9" s="421"/>
      <c r="I9" s="421"/>
      <c r="J9" s="421"/>
      <c r="K9" s="421"/>
      <c r="L9" s="421"/>
      <c r="M9" s="421"/>
      <c r="N9" s="421"/>
      <c r="O9" s="421"/>
      <c r="P9" s="421"/>
      <c r="Q9" s="421"/>
      <c r="R9" s="421"/>
      <c r="S9" s="421"/>
      <c r="T9" s="421"/>
      <c r="U9" s="421"/>
      <c r="V9" s="421"/>
      <c r="W9" s="421"/>
      <c r="X9" s="421"/>
      <c r="Y9" s="421"/>
      <c r="Z9" s="421"/>
      <c r="AA9" s="421"/>
      <c r="AB9" s="421"/>
      <c r="AC9" s="422"/>
    </row>
    <row r="10" spans="1:29">
      <c r="A10" s="420">
        <v>2</v>
      </c>
      <c r="B10" s="420" t="str">
        <f>+B9</f>
        <v>April</v>
      </c>
      <c r="C10" s="547" t="str">
        <f>+C9</f>
        <v>Year 2</v>
      </c>
      <c r="D10" s="427" t="s">
        <v>626</v>
      </c>
      <c r="E10" s="421"/>
      <c r="F10" s="421"/>
      <c r="G10" s="421"/>
      <c r="H10" s="421"/>
      <c r="I10" s="421"/>
      <c r="J10" s="421"/>
      <c r="K10" s="421"/>
      <c r="L10" s="421"/>
      <c r="M10" s="421"/>
      <c r="N10" s="421"/>
      <c r="O10" s="421"/>
      <c r="P10" s="421"/>
      <c r="Q10" s="421"/>
      <c r="R10" s="421"/>
      <c r="S10" s="421"/>
      <c r="T10" s="421"/>
      <c r="U10" s="421"/>
      <c r="V10" s="421"/>
      <c r="W10" s="421"/>
      <c r="X10" s="421"/>
      <c r="Y10" s="421"/>
      <c r="Z10" s="421"/>
      <c r="AA10" s="421"/>
      <c r="AB10" s="421"/>
      <c r="AC10" s="422"/>
    </row>
    <row r="11" spans="1:29">
      <c r="A11" s="420">
        <v>3</v>
      </c>
      <c r="B11" s="420" t="s">
        <v>546</v>
      </c>
      <c r="C11" s="547" t="str">
        <f>+C10</f>
        <v>Year 2</v>
      </c>
      <c r="D11" s="427" t="s">
        <v>605</v>
      </c>
      <c r="E11" s="421"/>
      <c r="F11" s="421"/>
      <c r="G11" s="421"/>
      <c r="H11" s="421"/>
      <c r="I11" s="421"/>
      <c r="J11" s="421"/>
      <c r="K11" s="421"/>
      <c r="L11" s="421"/>
      <c r="M11" s="421"/>
      <c r="N11" s="421"/>
      <c r="O11" s="421"/>
      <c r="P11" s="421"/>
      <c r="Q11" s="421"/>
      <c r="R11" s="421"/>
      <c r="S11" s="421"/>
      <c r="T11" s="421"/>
      <c r="U11" s="421"/>
      <c r="V11" s="421"/>
      <c r="W11" s="421"/>
      <c r="X11" s="421"/>
      <c r="Y11" s="421"/>
      <c r="Z11" s="421"/>
      <c r="AA11" s="421"/>
      <c r="AB11" s="421"/>
      <c r="AC11" s="422"/>
    </row>
    <row r="12" spans="1:29">
      <c r="A12" s="420">
        <v>4</v>
      </c>
      <c r="B12" s="420" t="s">
        <v>547</v>
      </c>
      <c r="C12" s="547" t="str">
        <f>+C11</f>
        <v>Year 2</v>
      </c>
      <c r="D12" s="427" t="s">
        <v>250</v>
      </c>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2"/>
    </row>
    <row r="13" spans="1:29">
      <c r="A13" s="420">
        <v>5</v>
      </c>
      <c r="B13" s="424" t="s">
        <v>548</v>
      </c>
      <c r="C13" s="547" t="str">
        <f>+C12</f>
        <v>Year 2</v>
      </c>
      <c r="D13" s="427" t="s">
        <v>627</v>
      </c>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2"/>
    </row>
    <row r="14" spans="1:29">
      <c r="A14" s="420"/>
      <c r="B14" s="420"/>
      <c r="C14" s="547"/>
      <c r="D14" s="427"/>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2"/>
    </row>
    <row r="15" spans="1:29">
      <c r="A15" s="420">
        <v>6</v>
      </c>
      <c r="B15" s="420" t="str">
        <f>+B9</f>
        <v>April</v>
      </c>
      <c r="C15" s="547" t="s">
        <v>251</v>
      </c>
      <c r="D15" s="427" t="s">
        <v>628</v>
      </c>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2"/>
    </row>
    <row r="16" spans="1:29">
      <c r="A16" s="420">
        <v>7</v>
      </c>
      <c r="B16" s="420" t="str">
        <f>+B15</f>
        <v>April</v>
      </c>
      <c r="C16" s="547" t="str">
        <f>+C15</f>
        <v>Year 3</v>
      </c>
      <c r="D16" s="427" t="s">
        <v>629</v>
      </c>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2"/>
    </row>
    <row r="17" spans="1:29">
      <c r="A17" s="551">
        <v>8</v>
      </c>
      <c r="B17" s="551" t="str">
        <f>+B16</f>
        <v>April</v>
      </c>
      <c r="C17" s="552" t="str">
        <f>+C16</f>
        <v>Year 3</v>
      </c>
      <c r="D17" s="427" t="s">
        <v>630</v>
      </c>
      <c r="E17" s="427"/>
      <c r="F17" s="427"/>
      <c r="G17" s="427"/>
      <c r="H17" s="427"/>
      <c r="I17" s="427"/>
      <c r="J17" s="427"/>
      <c r="K17" s="427"/>
      <c r="L17" s="550"/>
      <c r="M17" s="550"/>
      <c r="N17" s="421"/>
      <c r="O17" s="421"/>
      <c r="P17" s="421"/>
      <c r="Q17" s="421"/>
      <c r="R17" s="421"/>
      <c r="S17" s="421"/>
      <c r="T17" s="421"/>
      <c r="U17" s="421"/>
      <c r="V17" s="421"/>
      <c r="W17" s="421"/>
      <c r="X17" s="421"/>
      <c r="Y17" s="421"/>
      <c r="Z17" s="421"/>
      <c r="AA17" s="421"/>
      <c r="AB17" s="421"/>
      <c r="AC17" s="422"/>
    </row>
    <row r="18" spans="1:29">
      <c r="A18" s="551"/>
      <c r="B18" s="551"/>
      <c r="C18" s="552"/>
      <c r="D18" s="427" t="s">
        <v>444</v>
      </c>
      <c r="E18" s="427"/>
      <c r="F18" s="427"/>
      <c r="G18" s="427"/>
      <c r="H18" s="427"/>
      <c r="I18" s="427"/>
      <c r="J18" s="427"/>
      <c r="K18" s="427"/>
      <c r="L18" s="550"/>
      <c r="M18" s="550"/>
      <c r="N18" s="421"/>
      <c r="O18" s="421"/>
      <c r="P18" s="421"/>
      <c r="Q18" s="421"/>
      <c r="R18" s="421"/>
      <c r="S18" s="421"/>
      <c r="T18" s="421"/>
      <c r="U18" s="421"/>
      <c r="V18" s="421"/>
      <c r="W18" s="421"/>
      <c r="X18" s="421"/>
      <c r="Y18" s="421"/>
      <c r="Z18" s="421"/>
      <c r="AA18" s="421"/>
      <c r="AB18" s="421"/>
      <c r="AC18" s="422"/>
    </row>
    <row r="19" spans="1:29">
      <c r="A19" s="420">
        <v>9</v>
      </c>
      <c r="B19" s="420" t="str">
        <f>+B17</f>
        <v>April</v>
      </c>
      <c r="C19" s="547" t="str">
        <f>+C17</f>
        <v>Year 3</v>
      </c>
      <c r="D19" s="427" t="s">
        <v>252</v>
      </c>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2"/>
    </row>
    <row r="20" spans="1:29">
      <c r="A20" s="420">
        <v>10</v>
      </c>
      <c r="B20" s="420" t="str">
        <f>+B12</f>
        <v>May</v>
      </c>
      <c r="C20" s="547" t="str">
        <f>+C19</f>
        <v>Year 3</v>
      </c>
      <c r="D20" s="427" t="s">
        <v>253</v>
      </c>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2"/>
    </row>
    <row r="21" spans="1:29">
      <c r="A21" s="420">
        <v>11</v>
      </c>
      <c r="B21" s="424" t="str">
        <f>+B13</f>
        <v>June</v>
      </c>
      <c r="C21" s="547" t="str">
        <f>+C20</f>
        <v>Year 3</v>
      </c>
      <c r="D21" s="427" t="s">
        <v>631</v>
      </c>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2"/>
    </row>
    <row r="22" spans="1:29">
      <c r="A22" s="420"/>
      <c r="B22" s="424"/>
      <c r="C22" s="420"/>
      <c r="D22" s="427"/>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2"/>
    </row>
    <row r="23" spans="1:29">
      <c r="A23" s="491"/>
      <c r="B23" s="492"/>
      <c r="C23" s="420"/>
      <c r="D23" s="425"/>
      <c r="E23" s="421"/>
      <c r="F23" s="421"/>
      <c r="G23" s="421"/>
      <c r="H23" s="421"/>
      <c r="I23" s="421"/>
      <c r="J23" s="421"/>
      <c r="K23" s="421"/>
      <c r="L23" s="421"/>
      <c r="M23" s="421"/>
      <c r="N23" s="421"/>
      <c r="O23" s="421"/>
      <c r="P23" s="421"/>
      <c r="Q23" s="421"/>
      <c r="R23" s="421"/>
      <c r="S23" s="421"/>
      <c r="T23" s="421"/>
      <c r="U23" s="421"/>
      <c r="V23" s="421"/>
      <c r="W23" s="421"/>
      <c r="X23" s="421"/>
      <c r="Y23" s="421"/>
      <c r="Z23" s="421"/>
      <c r="AA23" s="421"/>
      <c r="AB23" s="421"/>
      <c r="AC23" s="422"/>
    </row>
    <row r="24" spans="1:29">
      <c r="A24" s="420">
        <f>+A9</f>
        <v>1</v>
      </c>
      <c r="B24" s="420" t="str">
        <f>+B9</f>
        <v>April</v>
      </c>
      <c r="C24" s="420" t="str">
        <f>+C9</f>
        <v>Year 2</v>
      </c>
      <c r="D24" s="421" t="str">
        <f>+D9</f>
        <v>TO populates the formula with Year 1 data from FERC Form 1 for Year 1 (e.g., 2004)</v>
      </c>
      <c r="E24" s="421"/>
      <c r="F24" s="421"/>
      <c r="G24" s="421"/>
      <c r="H24" s="421"/>
      <c r="I24" s="421"/>
      <c r="K24" s="421"/>
      <c r="L24" s="421"/>
      <c r="M24" s="421"/>
      <c r="N24" s="421"/>
      <c r="O24" s="421"/>
      <c r="P24" s="421"/>
      <c r="Q24" s="421"/>
      <c r="R24" s="421"/>
      <c r="S24" s="421"/>
      <c r="T24" s="421"/>
      <c r="U24" s="421"/>
      <c r="V24" s="421"/>
      <c r="W24" s="421"/>
      <c r="X24" s="421"/>
      <c r="Y24" s="421"/>
      <c r="Z24" s="421"/>
      <c r="AA24" s="421"/>
      <c r="AB24" s="421"/>
      <c r="AC24" s="422"/>
    </row>
    <row r="25" spans="1:29">
      <c r="A25" s="420"/>
      <c r="B25" s="420"/>
      <c r="C25" s="420"/>
      <c r="D25" s="431"/>
      <c r="E25" s="421" t="s">
        <v>255</v>
      </c>
      <c r="F25" s="421"/>
      <c r="G25" s="523" t="s">
        <v>644</v>
      </c>
      <c r="H25" s="421"/>
      <c r="I25" s="421"/>
      <c r="J25" s="421"/>
      <c r="K25" s="421"/>
      <c r="L25" s="421"/>
      <c r="M25" s="421"/>
      <c r="N25" s="421"/>
      <c r="O25" s="421"/>
      <c r="P25" s="421"/>
      <c r="Q25" s="421"/>
      <c r="R25" s="421"/>
      <c r="S25" s="421"/>
      <c r="T25" s="421"/>
      <c r="U25" s="421"/>
      <c r="V25" s="421"/>
      <c r="W25" s="421"/>
      <c r="X25" s="421"/>
      <c r="Y25" s="421"/>
      <c r="Z25" s="421"/>
      <c r="AA25" s="421"/>
      <c r="AB25" s="421"/>
      <c r="AC25" s="422"/>
    </row>
    <row r="26" spans="1:29">
      <c r="A26" s="420"/>
      <c r="B26" s="420"/>
      <c r="C26" s="420"/>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1"/>
      <c r="AB26" s="421"/>
      <c r="AC26" s="422"/>
    </row>
    <row r="27" spans="1:29">
      <c r="A27" s="420">
        <v>2</v>
      </c>
      <c r="B27" s="420" t="str">
        <f>+B24</f>
        <v>April</v>
      </c>
      <c r="C27" s="420" t="str">
        <f>+C24</f>
        <v>Year 2</v>
      </c>
      <c r="D27" s="427" t="str">
        <f>+D10</f>
        <v>TO estimates all transmission Cap Adds for Year 2 weighted based on Months expected to be in service in Year 2 (e.g, 2005)</v>
      </c>
      <c r="E27" s="421"/>
      <c r="F27" s="421"/>
      <c r="G27" s="421"/>
      <c r="H27" s="421"/>
      <c r="I27" s="421"/>
      <c r="K27" s="421"/>
      <c r="L27" s="421"/>
      <c r="M27" s="421"/>
      <c r="N27" s="421"/>
      <c r="O27" s="421"/>
      <c r="P27" s="421"/>
      <c r="Q27" s="421"/>
      <c r="R27" s="421"/>
      <c r="S27" s="421"/>
      <c r="T27" s="421"/>
      <c r="U27" s="421"/>
      <c r="V27" s="421"/>
      <c r="W27" s="421"/>
      <c r="X27" s="421"/>
      <c r="Y27" s="421"/>
      <c r="Z27" s="421"/>
      <c r="AA27" s="421"/>
      <c r="AB27" s="421"/>
      <c r="AC27" s="422"/>
    </row>
    <row r="28" spans="1:29">
      <c r="A28" s="420"/>
      <c r="B28" s="420"/>
      <c r="C28" s="420"/>
      <c r="D28" s="421"/>
      <c r="E28" s="420" t="s">
        <v>602</v>
      </c>
      <c r="F28" s="420" t="s">
        <v>549</v>
      </c>
      <c r="G28" s="420" t="s">
        <v>413</v>
      </c>
      <c r="H28" s="420" t="s">
        <v>550</v>
      </c>
      <c r="I28" s="421"/>
      <c r="J28" s="421"/>
      <c r="K28" s="421"/>
      <c r="L28" s="421"/>
      <c r="M28" s="421"/>
      <c r="N28" s="421"/>
      <c r="O28" s="421"/>
      <c r="P28" s="421"/>
      <c r="Q28" s="421"/>
      <c r="R28" s="421"/>
      <c r="S28" s="421"/>
      <c r="T28" s="421"/>
      <c r="U28" s="421"/>
      <c r="V28" s="421"/>
      <c r="W28" s="421"/>
      <c r="X28" s="421"/>
      <c r="Y28" s="421"/>
      <c r="Z28" s="421"/>
      <c r="AA28" s="421"/>
      <c r="AB28" s="421"/>
      <c r="AC28" s="422"/>
    </row>
    <row r="29" spans="1:29">
      <c r="A29" s="420"/>
      <c r="B29" s="420"/>
      <c r="C29" s="420"/>
      <c r="D29" s="421" t="s">
        <v>551</v>
      </c>
      <c r="E29" s="467">
        <v>2839039.53</v>
      </c>
      <c r="F29" s="421">
        <v>11.5</v>
      </c>
      <c r="G29" s="429">
        <f t="shared" ref="G29:G40" si="0">+F29*E29</f>
        <v>32648954.594999999</v>
      </c>
      <c r="H29" s="425">
        <f t="shared" ref="H29:H40" si="1">+G29/12</f>
        <v>2720746.2162500001</v>
      </c>
      <c r="I29" s="421"/>
      <c r="J29" s="421"/>
      <c r="K29" s="421"/>
      <c r="L29" s="421"/>
      <c r="M29" s="421"/>
      <c r="N29" s="421"/>
      <c r="O29" s="421"/>
      <c r="P29" s="421"/>
      <c r="Q29" s="421"/>
      <c r="R29" s="421"/>
      <c r="S29" s="421"/>
      <c r="T29" s="421"/>
      <c r="U29" s="421"/>
      <c r="V29" s="421"/>
      <c r="W29" s="421"/>
      <c r="X29" s="421"/>
      <c r="Y29" s="421"/>
      <c r="Z29" s="421"/>
      <c r="AA29" s="421"/>
      <c r="AB29" s="421"/>
      <c r="AC29" s="422"/>
    </row>
    <row r="30" spans="1:29">
      <c r="A30" s="420"/>
      <c r="B30" s="420"/>
      <c r="C30" s="420"/>
      <c r="D30" s="421" t="s">
        <v>552</v>
      </c>
      <c r="E30" s="467">
        <v>2974862.77</v>
      </c>
      <c r="F30" s="421">
        <f t="shared" ref="F30:F40" si="2">+F29-1</f>
        <v>10.5</v>
      </c>
      <c r="G30" s="429">
        <f t="shared" si="0"/>
        <v>31236059.085000001</v>
      </c>
      <c r="H30" s="425">
        <f t="shared" si="1"/>
        <v>2603004.9237500001</v>
      </c>
      <c r="I30" s="421"/>
      <c r="J30" s="421"/>
      <c r="K30" s="421"/>
      <c r="L30" s="421"/>
      <c r="M30" s="421"/>
      <c r="N30" s="421"/>
      <c r="O30" s="421"/>
      <c r="P30" s="421"/>
      <c r="Q30" s="421"/>
      <c r="R30" s="421"/>
      <c r="S30" s="421"/>
      <c r="T30" s="421"/>
      <c r="U30" s="421"/>
      <c r="V30" s="421"/>
      <c r="W30" s="421"/>
      <c r="X30" s="421"/>
      <c r="Y30" s="421"/>
      <c r="Z30" s="421"/>
      <c r="AA30" s="421"/>
      <c r="AB30" s="421"/>
      <c r="AC30" s="422"/>
    </row>
    <row r="31" spans="1:29">
      <c r="A31" s="420"/>
      <c r="B31" s="420"/>
      <c r="C31" s="420"/>
      <c r="D31" s="421" t="s">
        <v>553</v>
      </c>
      <c r="E31" s="467">
        <v>13183712.560000001</v>
      </c>
      <c r="F31" s="421">
        <f t="shared" si="2"/>
        <v>9.5</v>
      </c>
      <c r="G31" s="429">
        <f t="shared" si="0"/>
        <v>125245269.32000001</v>
      </c>
      <c r="H31" s="425">
        <f t="shared" si="1"/>
        <v>10437105.776666667</v>
      </c>
      <c r="I31" s="421"/>
      <c r="J31" s="421"/>
      <c r="K31" s="421"/>
      <c r="L31" s="421"/>
      <c r="M31" s="421"/>
      <c r="N31" s="421"/>
      <c r="O31" s="421"/>
      <c r="P31" s="421"/>
      <c r="Q31" s="421"/>
      <c r="R31" s="421"/>
      <c r="S31" s="421"/>
      <c r="T31" s="421"/>
      <c r="U31" s="421"/>
      <c r="V31" s="421"/>
      <c r="W31" s="421"/>
      <c r="X31" s="421"/>
      <c r="Y31" s="421"/>
      <c r="Z31" s="421"/>
      <c r="AA31" s="421"/>
      <c r="AB31" s="421"/>
      <c r="AC31" s="422"/>
    </row>
    <row r="32" spans="1:29">
      <c r="A32" s="420"/>
      <c r="B32" s="420"/>
      <c r="C32" s="420"/>
      <c r="D32" s="421" t="s">
        <v>554</v>
      </c>
      <c r="E32" s="467">
        <v>6028134.1200000001</v>
      </c>
      <c r="F32" s="421">
        <f t="shared" si="2"/>
        <v>8.5</v>
      </c>
      <c r="G32" s="429">
        <f t="shared" si="0"/>
        <v>51239140.020000003</v>
      </c>
      <c r="H32" s="425">
        <f t="shared" si="1"/>
        <v>4269928.335</v>
      </c>
      <c r="I32" s="421"/>
      <c r="J32" s="421"/>
      <c r="K32" s="421"/>
      <c r="L32" s="421"/>
      <c r="M32" s="421"/>
      <c r="N32" s="421"/>
      <c r="O32" s="421"/>
      <c r="P32" s="421"/>
      <c r="Q32" s="421"/>
      <c r="R32" s="421"/>
      <c r="S32" s="421"/>
      <c r="T32" s="421"/>
      <c r="U32" s="421"/>
      <c r="V32" s="421"/>
      <c r="W32" s="421"/>
      <c r="X32" s="421"/>
      <c r="Y32" s="421"/>
      <c r="Z32" s="421"/>
      <c r="AA32" s="421"/>
      <c r="AB32" s="421"/>
      <c r="AC32" s="422"/>
    </row>
    <row r="33" spans="1:29">
      <c r="A33" s="420"/>
      <c r="B33" s="420"/>
      <c r="C33" s="420"/>
      <c r="D33" s="421" t="s">
        <v>547</v>
      </c>
      <c r="E33" s="467">
        <v>4876682.8699999992</v>
      </c>
      <c r="F33" s="421">
        <f t="shared" si="2"/>
        <v>7.5</v>
      </c>
      <c r="G33" s="429">
        <f t="shared" si="0"/>
        <v>36575121.524999991</v>
      </c>
      <c r="H33" s="425">
        <f t="shared" si="1"/>
        <v>3047926.7937499993</v>
      </c>
      <c r="I33" s="421"/>
      <c r="J33" s="421"/>
      <c r="K33" s="421"/>
      <c r="L33" s="421"/>
      <c r="M33" s="421"/>
      <c r="N33" s="421"/>
      <c r="O33" s="421"/>
      <c r="P33" s="421"/>
      <c r="Q33" s="421"/>
      <c r="R33" s="421"/>
      <c r="S33" s="421"/>
      <c r="T33" s="421"/>
      <c r="U33" s="421"/>
      <c r="V33" s="421"/>
      <c r="W33" s="421"/>
      <c r="X33" s="421"/>
      <c r="Y33" s="421"/>
      <c r="Z33" s="421"/>
      <c r="AA33" s="421"/>
      <c r="AB33" s="421"/>
      <c r="AC33" s="422"/>
    </row>
    <row r="34" spans="1:29">
      <c r="A34" s="420"/>
      <c r="B34" s="420"/>
      <c r="C34" s="420"/>
      <c r="D34" s="421" t="s">
        <v>555</v>
      </c>
      <c r="E34" s="467">
        <v>53034879.245000005</v>
      </c>
      <c r="F34" s="421">
        <f t="shared" si="2"/>
        <v>6.5</v>
      </c>
      <c r="G34" s="429">
        <f t="shared" si="0"/>
        <v>344726715.09250003</v>
      </c>
      <c r="H34" s="425">
        <f t="shared" si="1"/>
        <v>28727226.257708337</v>
      </c>
      <c r="I34" s="421"/>
      <c r="J34" s="421"/>
      <c r="K34" s="421"/>
      <c r="L34" s="421"/>
      <c r="M34" s="421"/>
      <c r="N34" s="421"/>
      <c r="O34" s="421"/>
      <c r="P34" s="421"/>
      <c r="Q34" s="421"/>
      <c r="R34" s="421"/>
      <c r="S34" s="421"/>
      <c r="T34" s="421"/>
      <c r="U34" s="421"/>
      <c r="V34" s="421"/>
      <c r="W34" s="421"/>
      <c r="X34" s="421"/>
      <c r="Y34" s="421"/>
      <c r="Z34" s="421"/>
      <c r="AA34" s="421"/>
      <c r="AB34" s="421"/>
      <c r="AC34" s="422"/>
    </row>
    <row r="35" spans="1:29">
      <c r="A35" s="420"/>
      <c r="B35" s="420"/>
      <c r="C35" s="420"/>
      <c r="D35" s="421" t="s">
        <v>556</v>
      </c>
      <c r="E35" s="467">
        <v>6009987.4899999993</v>
      </c>
      <c r="F35" s="421">
        <f t="shared" si="2"/>
        <v>5.5</v>
      </c>
      <c r="G35" s="429">
        <f t="shared" si="0"/>
        <v>33054931.194999997</v>
      </c>
      <c r="H35" s="425">
        <f t="shared" si="1"/>
        <v>2754577.5995833329</v>
      </c>
      <c r="I35" s="421"/>
      <c r="J35" s="421"/>
      <c r="K35" s="421"/>
      <c r="L35" s="421"/>
      <c r="M35" s="421"/>
      <c r="N35" s="421"/>
      <c r="O35" s="421"/>
      <c r="P35" s="421"/>
      <c r="Q35" s="421"/>
      <c r="R35" s="421"/>
      <c r="S35" s="421"/>
      <c r="T35" s="421"/>
      <c r="U35" s="421"/>
      <c r="V35" s="421"/>
      <c r="W35" s="421"/>
      <c r="X35" s="421"/>
      <c r="Y35" s="421"/>
      <c r="Z35" s="421"/>
      <c r="AA35" s="421"/>
      <c r="AB35" s="421"/>
      <c r="AC35" s="422"/>
    </row>
    <row r="36" spans="1:29">
      <c r="A36" s="420"/>
      <c r="B36" s="420"/>
      <c r="C36" s="420"/>
      <c r="D36" s="421" t="s">
        <v>557</v>
      </c>
      <c r="E36" s="467">
        <v>4953511.18</v>
      </c>
      <c r="F36" s="421">
        <f t="shared" si="2"/>
        <v>4.5</v>
      </c>
      <c r="G36" s="429">
        <f t="shared" si="0"/>
        <v>22290800.309999999</v>
      </c>
      <c r="H36" s="425">
        <f t="shared" si="1"/>
        <v>1857566.6924999999</v>
      </c>
      <c r="I36" s="421"/>
      <c r="J36" s="421"/>
      <c r="K36" s="421"/>
      <c r="L36" s="421"/>
      <c r="M36" s="421"/>
      <c r="N36" s="421"/>
      <c r="O36" s="421"/>
      <c r="P36" s="421"/>
      <c r="Q36" s="421"/>
      <c r="R36" s="421"/>
      <c r="S36" s="421"/>
      <c r="T36" s="421"/>
      <c r="U36" s="421"/>
      <c r="V36" s="421"/>
      <c r="W36" s="421"/>
      <c r="X36" s="421"/>
      <c r="Y36" s="421"/>
      <c r="Z36" s="421"/>
      <c r="AA36" s="421"/>
      <c r="AB36" s="421"/>
      <c r="AC36" s="422"/>
    </row>
    <row r="37" spans="1:29">
      <c r="A37" s="420"/>
      <c r="B37" s="420"/>
      <c r="C37" s="420"/>
      <c r="D37" s="421" t="s">
        <v>558</v>
      </c>
      <c r="E37" s="467">
        <v>7060889.0600000005</v>
      </c>
      <c r="F37" s="421">
        <f t="shared" si="2"/>
        <v>3.5</v>
      </c>
      <c r="G37" s="429">
        <f t="shared" si="0"/>
        <v>24713111.710000001</v>
      </c>
      <c r="H37" s="425">
        <f t="shared" si="1"/>
        <v>2059425.9758333333</v>
      </c>
      <c r="I37" s="421"/>
      <c r="J37" s="421"/>
      <c r="K37" s="421"/>
      <c r="L37" s="421"/>
      <c r="M37" s="421"/>
      <c r="N37" s="421"/>
      <c r="O37" s="421"/>
      <c r="P37" s="421"/>
      <c r="Q37" s="421"/>
      <c r="R37" s="421"/>
      <c r="S37" s="421"/>
      <c r="T37" s="421"/>
      <c r="U37" s="421"/>
      <c r="V37" s="421"/>
      <c r="W37" s="421"/>
      <c r="X37" s="421"/>
      <c r="Y37" s="421"/>
      <c r="Z37" s="421"/>
      <c r="AA37" s="421"/>
      <c r="AB37" s="421"/>
      <c r="AC37" s="422"/>
    </row>
    <row r="38" spans="1:29">
      <c r="A38" s="420"/>
      <c r="B38" s="420"/>
      <c r="C38" s="420"/>
      <c r="D38" s="421" t="s">
        <v>559</v>
      </c>
      <c r="E38" s="467">
        <v>5371584.6699999999</v>
      </c>
      <c r="F38" s="421">
        <f t="shared" si="2"/>
        <v>2.5</v>
      </c>
      <c r="G38" s="429">
        <f t="shared" si="0"/>
        <v>13428961.675000001</v>
      </c>
      <c r="H38" s="425">
        <f t="shared" si="1"/>
        <v>1119080.1395833334</v>
      </c>
      <c r="I38" s="421"/>
      <c r="J38" s="421"/>
      <c r="K38" s="421"/>
      <c r="L38" s="421"/>
      <c r="M38" s="421"/>
      <c r="N38" s="421"/>
      <c r="O38" s="421"/>
      <c r="P38" s="421"/>
      <c r="Q38" s="421"/>
      <c r="R38" s="421"/>
      <c r="S38" s="421"/>
      <c r="T38" s="421"/>
      <c r="U38" s="421"/>
      <c r="V38" s="421"/>
      <c r="W38" s="421"/>
      <c r="X38" s="421"/>
      <c r="Y38" s="421"/>
      <c r="Z38" s="421"/>
      <c r="AA38" s="421"/>
      <c r="AB38" s="421"/>
      <c r="AC38" s="422"/>
    </row>
    <row r="39" spans="1:29">
      <c r="A39" s="420"/>
      <c r="B39" s="420"/>
      <c r="C39" s="420"/>
      <c r="D39" s="421" t="s">
        <v>560</v>
      </c>
      <c r="E39" s="467">
        <v>5763874.4199999999</v>
      </c>
      <c r="F39" s="421">
        <f t="shared" si="2"/>
        <v>1.5</v>
      </c>
      <c r="G39" s="429">
        <f t="shared" si="0"/>
        <v>8645811.629999999</v>
      </c>
      <c r="H39" s="425">
        <f t="shared" si="1"/>
        <v>720484.30249999987</v>
      </c>
      <c r="I39" s="421"/>
      <c r="J39" s="421"/>
      <c r="K39" s="421"/>
      <c r="L39" s="421"/>
      <c r="M39" s="421"/>
      <c r="N39" s="421"/>
      <c r="O39" s="421"/>
      <c r="P39" s="421"/>
      <c r="Q39" s="421"/>
      <c r="R39" s="421"/>
      <c r="S39" s="421"/>
      <c r="T39" s="421"/>
      <c r="U39" s="421"/>
      <c r="V39" s="421"/>
      <c r="W39" s="421"/>
      <c r="X39" s="421"/>
      <c r="Y39" s="421"/>
      <c r="Z39" s="421"/>
      <c r="AA39" s="421"/>
      <c r="AB39" s="421"/>
      <c r="AC39" s="422"/>
    </row>
    <row r="40" spans="1:29">
      <c r="A40" s="420"/>
      <c r="B40" s="420"/>
      <c r="C40" s="420"/>
      <c r="D40" s="421" t="s">
        <v>561</v>
      </c>
      <c r="E40" s="467">
        <v>39048131.020000003</v>
      </c>
      <c r="F40" s="421">
        <f t="shared" si="2"/>
        <v>0.5</v>
      </c>
      <c r="G40" s="429">
        <f t="shared" si="0"/>
        <v>19524065.510000002</v>
      </c>
      <c r="H40" s="425">
        <f t="shared" si="1"/>
        <v>1627005.4591666667</v>
      </c>
      <c r="I40" s="421"/>
      <c r="J40" s="421"/>
      <c r="K40" s="421"/>
      <c r="L40" s="421"/>
      <c r="M40" s="421"/>
      <c r="N40" s="421"/>
      <c r="O40" s="421"/>
      <c r="P40" s="421"/>
      <c r="Q40" s="421"/>
      <c r="R40" s="421"/>
      <c r="S40" s="421"/>
      <c r="T40" s="421"/>
      <c r="U40" s="421"/>
      <c r="V40" s="421"/>
      <c r="W40" s="421"/>
      <c r="X40" s="421"/>
      <c r="Y40" s="421"/>
      <c r="Z40" s="421"/>
      <c r="AA40" s="421"/>
      <c r="AB40" s="421"/>
      <c r="AC40" s="422"/>
    </row>
    <row r="41" spans="1:29">
      <c r="A41" s="420"/>
      <c r="B41" s="420"/>
      <c r="C41" s="420"/>
      <c r="D41" s="421" t="s">
        <v>322</v>
      </c>
      <c r="E41" s="429">
        <f>SUM(E29:E40)</f>
        <v>151145288.935</v>
      </c>
      <c r="F41" s="421"/>
      <c r="G41" s="429">
        <f>SUM(G29:G40)</f>
        <v>743328941.66750002</v>
      </c>
      <c r="H41" s="425">
        <f>SUM(H29:H40)</f>
        <v>61944078.472291686</v>
      </c>
      <c r="I41" s="421"/>
      <c r="J41" s="421"/>
      <c r="K41" s="421"/>
      <c r="L41" s="421"/>
      <c r="M41" s="421"/>
      <c r="N41" s="421"/>
      <c r="O41" s="421"/>
      <c r="P41" s="421"/>
      <c r="Q41" s="421"/>
      <c r="R41" s="421"/>
      <c r="S41" s="421"/>
      <c r="T41" s="421"/>
      <c r="U41" s="421"/>
      <c r="V41" s="421"/>
      <c r="W41" s="421"/>
      <c r="X41" s="421"/>
      <c r="Y41" s="421"/>
      <c r="Z41" s="421"/>
      <c r="AA41" s="421"/>
      <c r="AB41" s="421"/>
      <c r="AC41" s="422"/>
    </row>
    <row r="42" spans="1:29">
      <c r="A42" s="420"/>
      <c r="B42" s="420"/>
      <c r="D42" s="421" t="s">
        <v>256</v>
      </c>
      <c r="E42" s="421"/>
      <c r="F42" s="421"/>
      <c r="G42" s="421"/>
      <c r="H42" s="440">
        <f>+H41</f>
        <v>61944078.472291686</v>
      </c>
      <c r="J42" s="421"/>
      <c r="K42" s="421"/>
      <c r="L42" s="421"/>
      <c r="M42" s="421"/>
      <c r="N42" s="421"/>
      <c r="O42" s="421"/>
      <c r="P42" s="421"/>
      <c r="Q42" s="421"/>
      <c r="R42" s="421"/>
      <c r="S42" s="421"/>
      <c r="T42" s="421"/>
      <c r="U42" s="421"/>
      <c r="V42" s="421"/>
      <c r="W42" s="421"/>
      <c r="X42" s="421"/>
      <c r="Y42" s="421"/>
      <c r="Z42" s="421"/>
      <c r="AA42" s="421"/>
      <c r="AB42" s="421"/>
      <c r="AC42" s="422"/>
    </row>
    <row r="43" spans="1:29">
      <c r="A43" s="420"/>
      <c r="B43" s="420"/>
      <c r="C43" s="421"/>
      <c r="E43" s="421"/>
      <c r="F43" s="421"/>
      <c r="G43" s="421"/>
      <c r="H43" s="429"/>
      <c r="I43" s="421"/>
      <c r="J43" s="421"/>
      <c r="K43" s="421"/>
      <c r="L43" s="421"/>
      <c r="M43" s="421"/>
      <c r="N43" s="421"/>
      <c r="O43" s="421"/>
      <c r="P43" s="421"/>
      <c r="Q43" s="421"/>
      <c r="R43" s="421"/>
      <c r="S43" s="421"/>
      <c r="T43" s="421"/>
      <c r="U43" s="421"/>
      <c r="V43" s="421"/>
      <c r="W43" s="421"/>
      <c r="X43" s="421"/>
      <c r="Y43" s="421"/>
      <c r="Z43" s="421"/>
      <c r="AA43" s="421"/>
      <c r="AB43" s="421"/>
      <c r="AC43" s="422"/>
    </row>
    <row r="44" spans="1:29">
      <c r="A44" s="420"/>
      <c r="B44" s="420"/>
      <c r="C44" s="420"/>
      <c r="D44" s="421"/>
      <c r="E44" s="421"/>
      <c r="F44" s="421"/>
      <c r="G44" s="421"/>
      <c r="H44" s="429"/>
      <c r="I44" s="421"/>
      <c r="J44" s="421"/>
      <c r="K44" s="421"/>
      <c r="L44" s="421"/>
      <c r="M44" s="421"/>
      <c r="N44" s="421"/>
      <c r="O44" s="421"/>
      <c r="P44" s="421"/>
      <c r="Q44" s="421"/>
      <c r="R44" s="421"/>
      <c r="S44" s="421"/>
      <c r="T44" s="421"/>
      <c r="U44" s="421"/>
      <c r="V44" s="421"/>
      <c r="W44" s="421"/>
      <c r="X44" s="421"/>
      <c r="Y44" s="421"/>
      <c r="Z44" s="421"/>
      <c r="AA44" s="421"/>
      <c r="AB44" s="421"/>
      <c r="AC44" s="422"/>
    </row>
    <row r="45" spans="1:29">
      <c r="A45" s="420">
        <v>3</v>
      </c>
      <c r="B45" s="420" t="str">
        <f>+B27</f>
        <v>April</v>
      </c>
      <c r="C45" s="420" t="str">
        <f>+C27</f>
        <v>Year 2</v>
      </c>
      <c r="D45" s="427" t="str">
        <f>+D11</f>
        <v>TO adds weighted Cap Adds to plant in service in Formula</v>
      </c>
      <c r="E45" s="421"/>
      <c r="F45" s="421"/>
      <c r="G45" s="421"/>
      <c r="H45" s="421"/>
      <c r="I45" s="421"/>
      <c r="J45" s="421"/>
      <c r="K45" s="421"/>
      <c r="L45" s="421"/>
      <c r="M45" s="421"/>
      <c r="N45" s="421"/>
      <c r="O45" s="421"/>
      <c r="P45" s="421"/>
      <c r="Q45" s="421"/>
      <c r="R45" s="421"/>
      <c r="S45" s="421"/>
      <c r="T45" s="421"/>
      <c r="U45" s="421"/>
      <c r="V45" s="421"/>
      <c r="W45" s="421"/>
      <c r="X45" s="421"/>
      <c r="Y45" s="421"/>
      <c r="Z45" s="421"/>
      <c r="AA45" s="421"/>
      <c r="AB45" s="421"/>
      <c r="AC45" s="422"/>
    </row>
    <row r="46" spans="1:29">
      <c r="A46" s="420"/>
      <c r="B46" s="420"/>
      <c r="C46" s="420"/>
      <c r="D46" s="431">
        <f>+H42</f>
        <v>61944078.472291686</v>
      </c>
      <c r="E46" s="421" t="str">
        <f>"Input to Formula Line "&amp;'ATT H-2A'!A42</f>
        <v>Input to Formula Line 21</v>
      </c>
      <c r="F46" s="429"/>
      <c r="G46" s="420"/>
      <c r="H46" s="429"/>
      <c r="I46" s="421"/>
      <c r="J46" s="421"/>
      <c r="K46" s="421"/>
      <c r="L46" s="421"/>
      <c r="M46" s="421"/>
      <c r="N46" s="421"/>
      <c r="O46" s="421"/>
      <c r="P46" s="421"/>
      <c r="Q46" s="421"/>
      <c r="R46" s="421"/>
      <c r="S46" s="421"/>
      <c r="T46" s="421"/>
      <c r="U46" s="421"/>
      <c r="V46" s="421"/>
      <c r="W46" s="421"/>
      <c r="X46" s="421"/>
      <c r="Y46" s="421"/>
      <c r="Z46" s="421"/>
      <c r="AA46" s="421"/>
      <c r="AB46" s="421"/>
      <c r="AC46" s="422"/>
    </row>
    <row r="47" spans="1:29">
      <c r="A47" s="420"/>
      <c r="B47" s="420"/>
      <c r="C47" s="420"/>
      <c r="D47" s="431"/>
      <c r="E47" s="420"/>
      <c r="F47" s="429"/>
      <c r="G47" s="420"/>
      <c r="H47" s="429"/>
      <c r="I47" s="421"/>
      <c r="J47" s="421"/>
      <c r="K47" s="421"/>
      <c r="L47" s="421"/>
      <c r="M47" s="421"/>
      <c r="N47" s="421"/>
      <c r="O47" s="421"/>
      <c r="P47" s="421"/>
      <c r="Q47" s="421"/>
      <c r="R47" s="421"/>
      <c r="S47" s="421"/>
      <c r="T47" s="421"/>
      <c r="U47" s="421"/>
      <c r="V47" s="421"/>
      <c r="W47" s="421"/>
      <c r="X47" s="421"/>
      <c r="Y47" s="421"/>
      <c r="Z47" s="421"/>
      <c r="AA47" s="421"/>
      <c r="AB47" s="421"/>
      <c r="AC47" s="422"/>
    </row>
    <row r="48" spans="1:29">
      <c r="A48" s="420">
        <v>4</v>
      </c>
      <c r="B48" s="420" t="str">
        <f>+B12</f>
        <v>May</v>
      </c>
      <c r="C48" s="420" t="str">
        <f>+C45</f>
        <v>Year 2</v>
      </c>
      <c r="D48" s="421" t="s">
        <v>562</v>
      </c>
      <c r="E48" s="421"/>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2"/>
    </row>
    <row r="49" spans="1:29">
      <c r="A49" s="420"/>
      <c r="B49" s="420"/>
      <c r="C49" s="420"/>
      <c r="D49" s="524">
        <v>224597418.5679937</v>
      </c>
      <c r="F49" s="431"/>
      <c r="G49" s="523" t="s">
        <v>643</v>
      </c>
      <c r="H49" s="421"/>
      <c r="I49" s="421"/>
      <c r="J49" s="421"/>
      <c r="K49" s="421"/>
      <c r="L49" s="421"/>
      <c r="M49" s="421"/>
      <c r="N49" s="421"/>
      <c r="O49" s="421"/>
      <c r="P49" s="421"/>
      <c r="Q49" s="421"/>
      <c r="R49" s="421"/>
      <c r="S49" s="421"/>
      <c r="T49" s="421"/>
      <c r="U49" s="421"/>
      <c r="V49" s="421"/>
      <c r="W49" s="421"/>
      <c r="X49" s="421"/>
      <c r="Y49" s="421"/>
      <c r="Z49" s="421"/>
      <c r="AA49" s="421"/>
      <c r="AB49" s="421"/>
      <c r="AC49" s="422"/>
    </row>
    <row r="50" spans="1:29">
      <c r="A50" s="420"/>
      <c r="B50" s="420"/>
      <c r="C50" s="420"/>
      <c r="D50" s="426"/>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2"/>
    </row>
    <row r="51" spans="1:29">
      <c r="A51" s="420">
        <f>+A13</f>
        <v>5</v>
      </c>
      <c r="B51" s="420" t="str">
        <f>+B13</f>
        <v>June</v>
      </c>
      <c r="C51" s="420" t="str">
        <f>+C13</f>
        <v>Year 2</v>
      </c>
      <c r="D51" s="548" t="str">
        <f>+D13</f>
        <v>Results of Step 3 go into effect for the Rate Year 1 (e.g., June 1, 2005 - May 31, 2006)</v>
      </c>
      <c r="E51" s="421"/>
      <c r="F51" s="421"/>
      <c r="G51" s="421"/>
      <c r="H51" s="421"/>
      <c r="I51" s="421"/>
      <c r="J51" s="421"/>
      <c r="K51" s="421"/>
      <c r="L51" s="421"/>
      <c r="M51" s="421"/>
      <c r="N51" s="421"/>
      <c r="O51" s="421"/>
      <c r="P51" s="421"/>
      <c r="Q51" s="421"/>
      <c r="R51" s="421"/>
      <c r="S51" s="421"/>
      <c r="T51" s="421"/>
      <c r="U51" s="421"/>
      <c r="V51" s="421"/>
      <c r="W51" s="421"/>
      <c r="X51" s="421"/>
      <c r="Y51" s="421"/>
      <c r="Z51" s="421"/>
      <c r="AA51" s="421"/>
      <c r="AB51" s="421"/>
      <c r="AC51" s="422"/>
    </row>
    <row r="52" spans="1:29">
      <c r="A52" s="420"/>
      <c r="B52" s="420"/>
      <c r="C52" s="420"/>
      <c r="D52" s="431">
        <f>+D49</f>
        <v>224597418.5679937</v>
      </c>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2"/>
    </row>
    <row r="53" spans="1:29">
      <c r="A53" s="446"/>
      <c r="B53" s="446"/>
      <c r="C53" s="446"/>
      <c r="D53" s="447"/>
      <c r="E53" s="447"/>
      <c r="F53" s="447"/>
      <c r="G53" s="447"/>
      <c r="H53" s="447"/>
      <c r="I53" s="447"/>
      <c r="J53" s="447"/>
      <c r="K53" s="447"/>
      <c r="L53" s="421"/>
      <c r="M53" s="421"/>
      <c r="N53" s="421"/>
      <c r="O53" s="421"/>
      <c r="P53" s="421"/>
      <c r="Q53" s="421"/>
      <c r="R53" s="421"/>
      <c r="S53" s="421"/>
      <c r="T53" s="421"/>
      <c r="U53" s="421"/>
      <c r="V53" s="421"/>
      <c r="W53" s="421"/>
      <c r="X53" s="421"/>
      <c r="Y53" s="421"/>
      <c r="Z53" s="421"/>
      <c r="AA53" s="421"/>
      <c r="AB53" s="421"/>
      <c r="AC53" s="422"/>
    </row>
    <row r="54" spans="1:29" ht="15.5">
      <c r="A54" s="446"/>
      <c r="B54" s="446"/>
      <c r="C54" s="446"/>
      <c r="D54" s="447"/>
      <c r="E54" s="447"/>
      <c r="F54" s="447"/>
      <c r="G54" s="447"/>
      <c r="H54" s="447"/>
      <c r="I54" s="447"/>
      <c r="J54" s="270"/>
      <c r="K54" s="447"/>
      <c r="L54" s="421"/>
      <c r="M54" s="421"/>
      <c r="N54" s="421"/>
      <c r="O54" s="421"/>
      <c r="P54" s="421"/>
      <c r="Q54" s="421"/>
      <c r="R54" s="421"/>
      <c r="S54" s="421"/>
      <c r="T54" s="421"/>
      <c r="U54" s="421"/>
      <c r="V54" s="421"/>
      <c r="W54" s="421"/>
      <c r="X54" s="421"/>
      <c r="Y54" s="421"/>
      <c r="Z54" s="421"/>
      <c r="AA54" s="421"/>
      <c r="AB54" s="421"/>
      <c r="AC54" s="422"/>
    </row>
    <row r="55" spans="1:29" ht="15.5">
      <c r="A55" s="446"/>
      <c r="B55" s="446"/>
      <c r="C55" s="446"/>
      <c r="D55" s="447"/>
      <c r="E55" s="447"/>
      <c r="F55" s="447"/>
      <c r="G55" s="447"/>
      <c r="H55" s="447"/>
      <c r="I55" s="447"/>
      <c r="J55" s="270"/>
      <c r="K55" s="447"/>
      <c r="L55" s="421"/>
      <c r="M55" s="421"/>
      <c r="N55" s="421"/>
      <c r="O55" s="421"/>
      <c r="P55" s="421"/>
      <c r="Q55" s="421"/>
      <c r="R55" s="421"/>
      <c r="S55" s="421"/>
      <c r="T55" s="421"/>
      <c r="U55" s="421"/>
      <c r="V55" s="421"/>
      <c r="W55" s="421"/>
      <c r="X55" s="421"/>
      <c r="Y55" s="421"/>
      <c r="Z55" s="421"/>
      <c r="AA55" s="421"/>
      <c r="AB55" s="421"/>
      <c r="AC55" s="422"/>
    </row>
    <row r="56" spans="1:29">
      <c r="A56" s="420">
        <f>+A15</f>
        <v>6</v>
      </c>
      <c r="B56" s="420" t="str">
        <f>+B15</f>
        <v>April</v>
      </c>
      <c r="C56" s="420" t="str">
        <f>+C15</f>
        <v>Year 3</v>
      </c>
      <c r="D56" s="427" t="str">
        <f>+D15</f>
        <v>TO populates the formula with Year 2 data from FERC Form 1 for Year 2 (e.g, 2005)</v>
      </c>
      <c r="E56" s="421"/>
      <c r="F56" s="421"/>
      <c r="G56" s="421"/>
      <c r="H56" s="421"/>
      <c r="I56" s="421"/>
      <c r="J56" s="421"/>
      <c r="K56" s="431"/>
      <c r="L56" s="421"/>
      <c r="M56" s="421"/>
      <c r="N56" s="421"/>
      <c r="O56" s="421"/>
      <c r="P56" s="421"/>
      <c r="Q56" s="421"/>
      <c r="R56" s="421"/>
      <c r="S56" s="421"/>
      <c r="T56" s="421"/>
      <c r="U56" s="421"/>
      <c r="V56" s="421"/>
      <c r="W56" s="421"/>
      <c r="X56" s="421"/>
      <c r="Y56" s="421"/>
      <c r="Z56" s="421"/>
      <c r="AA56" s="421"/>
      <c r="AB56" s="421"/>
      <c r="AC56" s="422"/>
    </row>
    <row r="57" spans="1:29">
      <c r="A57" s="420"/>
      <c r="B57" s="420"/>
      <c r="C57" s="420"/>
      <c r="D57" s="519">
        <v>243840183.1547614</v>
      </c>
      <c r="E57" s="421" t="s">
        <v>255</v>
      </c>
      <c r="F57" s="421"/>
      <c r="G57" s="523" t="s">
        <v>633</v>
      </c>
      <c r="H57" s="421"/>
      <c r="I57" s="421"/>
      <c r="K57" s="421"/>
      <c r="L57" s="443"/>
      <c r="M57" s="443"/>
      <c r="N57" s="421"/>
      <c r="O57" s="421"/>
      <c r="P57" s="421"/>
      <c r="Q57" s="421"/>
      <c r="R57" s="421"/>
      <c r="S57" s="421"/>
      <c r="T57" s="421"/>
      <c r="U57" s="421"/>
      <c r="V57" s="421"/>
      <c r="W57" s="421"/>
      <c r="X57" s="421"/>
      <c r="Y57" s="421"/>
      <c r="Z57" s="421"/>
      <c r="AA57" s="421"/>
      <c r="AB57" s="421"/>
      <c r="AC57" s="422"/>
    </row>
    <row r="58" spans="1:29">
      <c r="A58" s="420"/>
      <c r="B58" s="420"/>
      <c r="C58" s="420"/>
      <c r="D58" s="442"/>
      <c r="E58" s="421"/>
      <c r="F58" s="421"/>
      <c r="G58" s="421"/>
      <c r="H58" s="421"/>
      <c r="I58" s="421"/>
      <c r="J58" s="421"/>
      <c r="K58" s="421"/>
      <c r="L58" s="421"/>
      <c r="M58" s="421"/>
      <c r="N58" s="421"/>
      <c r="O58" s="421"/>
      <c r="P58" s="421"/>
      <c r="Q58" s="421"/>
      <c r="R58" s="421"/>
      <c r="S58" s="421"/>
      <c r="T58" s="421"/>
      <c r="U58" s="421"/>
      <c r="V58" s="421"/>
      <c r="W58" s="421"/>
      <c r="X58" s="421"/>
      <c r="Y58" s="421"/>
      <c r="Z58" s="421"/>
      <c r="AA58" s="421"/>
      <c r="AB58" s="421"/>
      <c r="AC58" s="422"/>
    </row>
    <row r="59" spans="1:29">
      <c r="A59" s="420"/>
      <c r="B59" s="420"/>
      <c r="C59" s="420"/>
      <c r="D59" s="432"/>
      <c r="E59" s="421"/>
      <c r="F59" s="421"/>
      <c r="G59" s="421"/>
      <c r="H59" s="421"/>
      <c r="I59" s="421"/>
      <c r="J59" s="421"/>
      <c r="K59" s="421"/>
      <c r="L59" s="421"/>
      <c r="M59" s="421"/>
      <c r="N59" s="421"/>
      <c r="O59" s="421"/>
      <c r="P59" s="421"/>
      <c r="Q59" s="421"/>
      <c r="R59" s="421"/>
      <c r="S59" s="421"/>
      <c r="T59" s="421"/>
      <c r="U59" s="421"/>
      <c r="V59" s="421"/>
      <c r="W59" s="421"/>
      <c r="X59" s="421"/>
      <c r="Y59" s="421"/>
      <c r="Z59" s="421"/>
      <c r="AA59" s="421"/>
      <c r="AB59" s="421"/>
      <c r="AC59" s="422"/>
    </row>
    <row r="60" spans="1:29">
      <c r="A60" s="420">
        <f>+A16</f>
        <v>7</v>
      </c>
      <c r="B60" s="420" t="str">
        <f>+B16</f>
        <v>April</v>
      </c>
      <c r="C60" s="420" t="str">
        <f>+C16</f>
        <v>Year 3</v>
      </c>
      <c r="D60" s="427" t="str">
        <f>+D16</f>
        <v>TO estimates Cap Adds during Year 3 weighted based on Months expected to be in service in Year 3 (e.g., 2006)</v>
      </c>
      <c r="E60" s="421"/>
      <c r="F60" s="421"/>
      <c r="G60" s="421"/>
      <c r="H60" s="421"/>
      <c r="I60" s="421"/>
      <c r="K60" s="421"/>
      <c r="L60" s="421"/>
      <c r="M60" s="421"/>
      <c r="N60" s="421"/>
      <c r="O60" s="421"/>
      <c r="P60" s="421"/>
      <c r="Q60" s="421"/>
      <c r="R60" s="421"/>
      <c r="S60" s="421"/>
      <c r="T60" s="421"/>
      <c r="U60" s="421"/>
      <c r="V60" s="421"/>
      <c r="W60" s="421"/>
      <c r="X60" s="421"/>
      <c r="Y60" s="421"/>
      <c r="Z60" s="421"/>
      <c r="AA60" s="421"/>
      <c r="AB60" s="421"/>
      <c r="AC60" s="422"/>
    </row>
    <row r="61" spans="1:29">
      <c r="A61" s="420"/>
      <c r="B61" s="420"/>
      <c r="C61" s="420"/>
      <c r="D61" s="421"/>
      <c r="E61" s="420" t="s">
        <v>602</v>
      </c>
      <c r="F61" s="420" t="s">
        <v>549</v>
      </c>
      <c r="G61" s="420" t="s">
        <v>413</v>
      </c>
      <c r="H61" s="420" t="s">
        <v>550</v>
      </c>
      <c r="I61" s="421"/>
      <c r="J61" s="421"/>
      <c r="K61" s="421"/>
      <c r="L61" s="421"/>
      <c r="M61" s="421"/>
      <c r="N61" s="421"/>
      <c r="O61" s="421"/>
      <c r="P61" s="421"/>
      <c r="Q61" s="421"/>
      <c r="R61" s="421"/>
      <c r="S61" s="421"/>
      <c r="T61" s="421"/>
      <c r="U61" s="421"/>
      <c r="V61" s="421"/>
      <c r="W61" s="421"/>
      <c r="X61" s="421"/>
      <c r="Y61" s="421"/>
      <c r="Z61" s="421"/>
      <c r="AA61" s="421"/>
      <c r="AB61" s="421"/>
      <c r="AC61" s="422"/>
    </row>
    <row r="62" spans="1:29">
      <c r="A62" s="420"/>
      <c r="B62" s="420"/>
      <c r="C62" s="420"/>
      <c r="D62" s="421" t="s">
        <v>551</v>
      </c>
      <c r="E62" s="440">
        <v>0</v>
      </c>
      <c r="F62" s="421">
        <v>11.5</v>
      </c>
      <c r="G62" s="429">
        <f t="shared" ref="G62:G73" si="3">+F62*E62</f>
        <v>0</v>
      </c>
      <c r="H62" s="425">
        <f t="shared" ref="H62:H73" si="4">+G62/12</f>
        <v>0</v>
      </c>
      <c r="I62" s="421"/>
      <c r="J62" s="421"/>
      <c r="K62" s="421"/>
      <c r="L62" s="421"/>
      <c r="M62" s="421"/>
      <c r="N62" s="421"/>
      <c r="O62" s="421"/>
      <c r="P62" s="421"/>
      <c r="Q62" s="421"/>
      <c r="R62" s="421"/>
      <c r="S62" s="421"/>
      <c r="T62" s="421"/>
      <c r="U62" s="421"/>
      <c r="V62" s="421"/>
      <c r="W62" s="421"/>
      <c r="X62" s="421"/>
      <c r="Y62" s="421"/>
      <c r="Z62" s="421"/>
      <c r="AA62" s="421"/>
      <c r="AB62" s="421"/>
      <c r="AC62" s="422"/>
    </row>
    <row r="63" spans="1:29">
      <c r="A63" s="420"/>
      <c r="B63" s="420"/>
      <c r="C63" s="420"/>
      <c r="D63" s="421" t="s">
        <v>552</v>
      </c>
      <c r="E63" s="440">
        <v>0</v>
      </c>
      <c r="F63" s="421">
        <f t="shared" ref="F63:F73" si="5">+F62-1</f>
        <v>10.5</v>
      </c>
      <c r="G63" s="429">
        <f t="shared" si="3"/>
        <v>0</v>
      </c>
      <c r="H63" s="425">
        <f t="shared" si="4"/>
        <v>0</v>
      </c>
      <c r="I63" s="421"/>
      <c r="J63" s="421"/>
      <c r="K63" s="421"/>
      <c r="L63" s="421"/>
      <c r="M63" s="421"/>
      <c r="N63" s="421"/>
      <c r="O63" s="421"/>
      <c r="P63" s="421"/>
      <c r="Q63" s="421"/>
      <c r="R63" s="421"/>
      <c r="S63" s="421"/>
      <c r="T63" s="421"/>
      <c r="U63" s="421"/>
      <c r="V63" s="421"/>
      <c r="W63" s="421"/>
      <c r="X63" s="421"/>
      <c r="Y63" s="421"/>
      <c r="Z63" s="421"/>
      <c r="AA63" s="421"/>
      <c r="AB63" s="421"/>
      <c r="AC63" s="422"/>
    </row>
    <row r="64" spans="1:29">
      <c r="A64" s="420"/>
      <c r="B64" s="420"/>
      <c r="C64" s="420"/>
      <c r="D64" s="421" t="s">
        <v>553</v>
      </c>
      <c r="E64" s="440">
        <v>0</v>
      </c>
      <c r="F64" s="421">
        <f t="shared" si="5"/>
        <v>9.5</v>
      </c>
      <c r="G64" s="429">
        <f t="shared" si="3"/>
        <v>0</v>
      </c>
      <c r="H64" s="425">
        <f t="shared" si="4"/>
        <v>0</v>
      </c>
      <c r="I64" s="421"/>
      <c r="J64" s="421"/>
      <c r="K64" s="421"/>
      <c r="L64" s="421"/>
      <c r="M64" s="421"/>
      <c r="N64" s="421"/>
      <c r="O64" s="421"/>
      <c r="P64" s="421"/>
      <c r="Q64" s="421"/>
      <c r="R64" s="421"/>
      <c r="S64" s="421"/>
      <c r="T64" s="421"/>
      <c r="U64" s="421"/>
      <c r="V64" s="421"/>
      <c r="W64" s="421"/>
      <c r="X64" s="421"/>
      <c r="Y64" s="421"/>
      <c r="Z64" s="421"/>
      <c r="AA64" s="421"/>
      <c r="AB64" s="421"/>
      <c r="AC64" s="422"/>
    </row>
    <row r="65" spans="1:29">
      <c r="A65" s="420"/>
      <c r="B65" s="420"/>
      <c r="C65" s="420"/>
      <c r="D65" s="421" t="s">
        <v>554</v>
      </c>
      <c r="E65" s="440">
        <v>0</v>
      </c>
      <c r="F65" s="421">
        <f t="shared" si="5"/>
        <v>8.5</v>
      </c>
      <c r="G65" s="429">
        <f t="shared" si="3"/>
        <v>0</v>
      </c>
      <c r="H65" s="425">
        <f t="shared" si="4"/>
        <v>0</v>
      </c>
      <c r="I65" s="421"/>
      <c r="J65" s="421"/>
      <c r="K65" s="421"/>
      <c r="L65" s="421"/>
      <c r="M65" s="421"/>
      <c r="N65" s="421"/>
      <c r="O65" s="421"/>
      <c r="P65" s="421"/>
      <c r="Q65" s="421"/>
      <c r="R65" s="421"/>
      <c r="S65" s="421"/>
      <c r="T65" s="421"/>
      <c r="U65" s="421"/>
      <c r="V65" s="421"/>
      <c r="W65" s="421"/>
      <c r="X65" s="421"/>
      <c r="Y65" s="421"/>
      <c r="Z65" s="421"/>
      <c r="AA65" s="421"/>
      <c r="AB65" s="421"/>
      <c r="AC65" s="422"/>
    </row>
    <row r="66" spans="1:29">
      <c r="A66" s="420"/>
      <c r="B66" s="420"/>
      <c r="C66" s="420"/>
      <c r="D66" s="421" t="s">
        <v>547</v>
      </c>
      <c r="E66" s="440">
        <v>0</v>
      </c>
      <c r="F66" s="421">
        <f t="shared" si="5"/>
        <v>7.5</v>
      </c>
      <c r="G66" s="429">
        <f t="shared" si="3"/>
        <v>0</v>
      </c>
      <c r="H66" s="425">
        <f t="shared" si="4"/>
        <v>0</v>
      </c>
      <c r="I66" s="421"/>
      <c r="J66" s="421"/>
      <c r="K66" s="421"/>
      <c r="L66" s="421"/>
      <c r="M66" s="421"/>
      <c r="N66" s="421"/>
      <c r="O66" s="421"/>
      <c r="P66" s="421"/>
      <c r="Q66" s="421"/>
      <c r="R66" s="421"/>
      <c r="S66" s="421"/>
      <c r="T66" s="421"/>
      <c r="U66" s="421"/>
      <c r="V66" s="421"/>
      <c r="W66" s="421"/>
      <c r="X66" s="421"/>
      <c r="Y66" s="421"/>
      <c r="Z66" s="421"/>
      <c r="AA66" s="421"/>
      <c r="AB66" s="421"/>
      <c r="AC66" s="422"/>
    </row>
    <row r="67" spans="1:29">
      <c r="A67" s="420"/>
      <c r="B67" s="420"/>
      <c r="C67" s="420"/>
      <c r="D67" s="421" t="s">
        <v>555</v>
      </c>
      <c r="E67" s="440">
        <v>0</v>
      </c>
      <c r="F67" s="421">
        <f t="shared" si="5"/>
        <v>6.5</v>
      </c>
      <c r="G67" s="429">
        <f t="shared" si="3"/>
        <v>0</v>
      </c>
      <c r="H67" s="425">
        <f t="shared" si="4"/>
        <v>0</v>
      </c>
      <c r="I67" s="421"/>
      <c r="J67" s="421"/>
      <c r="K67" s="421"/>
      <c r="L67" s="421"/>
      <c r="M67" s="421"/>
      <c r="N67" s="421"/>
      <c r="O67" s="421"/>
      <c r="P67" s="421"/>
      <c r="Q67" s="421"/>
      <c r="R67" s="421"/>
      <c r="S67" s="421"/>
      <c r="T67" s="421"/>
      <c r="U67" s="421"/>
      <c r="V67" s="421"/>
      <c r="W67" s="421"/>
      <c r="X67" s="421"/>
      <c r="Y67" s="421"/>
      <c r="Z67" s="421"/>
      <c r="AA67" s="421"/>
      <c r="AB67" s="421"/>
      <c r="AC67" s="422"/>
    </row>
    <row r="68" spans="1:29">
      <c r="A68" s="420"/>
      <c r="B68" s="420"/>
      <c r="C68" s="420"/>
      <c r="D68" s="421" t="s">
        <v>556</v>
      </c>
      <c r="E68" s="440">
        <v>0</v>
      </c>
      <c r="F68" s="421">
        <f t="shared" si="5"/>
        <v>5.5</v>
      </c>
      <c r="G68" s="429">
        <f t="shared" si="3"/>
        <v>0</v>
      </c>
      <c r="H68" s="425">
        <f t="shared" si="4"/>
        <v>0</v>
      </c>
      <c r="I68" s="421"/>
      <c r="J68" s="421"/>
      <c r="K68" s="421"/>
      <c r="L68" s="421"/>
      <c r="M68" s="421"/>
      <c r="N68" s="421"/>
      <c r="O68" s="421"/>
      <c r="P68" s="421"/>
      <c r="Q68" s="421"/>
      <c r="R68" s="421"/>
      <c r="S68" s="421"/>
      <c r="T68" s="421"/>
      <c r="U68" s="421"/>
      <c r="V68" s="421"/>
      <c r="W68" s="421"/>
      <c r="X68" s="421"/>
      <c r="Y68" s="421"/>
      <c r="Z68" s="421"/>
      <c r="AA68" s="421"/>
      <c r="AB68" s="421"/>
      <c r="AC68" s="422"/>
    </row>
    <row r="69" spans="1:29">
      <c r="A69" s="420"/>
      <c r="B69" s="420"/>
      <c r="C69" s="420"/>
      <c r="D69" s="421" t="s">
        <v>557</v>
      </c>
      <c r="E69" s="440">
        <v>0</v>
      </c>
      <c r="F69" s="421">
        <f t="shared" si="5"/>
        <v>4.5</v>
      </c>
      <c r="G69" s="429">
        <f t="shared" si="3"/>
        <v>0</v>
      </c>
      <c r="H69" s="425">
        <f t="shared" si="4"/>
        <v>0</v>
      </c>
      <c r="I69" s="421"/>
      <c r="J69" s="421"/>
      <c r="K69" s="421"/>
      <c r="L69" s="421"/>
      <c r="M69" s="421"/>
      <c r="N69" s="421"/>
      <c r="O69" s="421"/>
      <c r="P69" s="421"/>
      <c r="Q69" s="421"/>
      <c r="R69" s="421"/>
      <c r="S69" s="421"/>
      <c r="T69" s="421"/>
      <c r="U69" s="421"/>
      <c r="V69" s="421"/>
      <c r="W69" s="421"/>
      <c r="X69" s="421"/>
      <c r="Y69" s="421"/>
      <c r="Z69" s="421"/>
      <c r="AA69" s="421"/>
      <c r="AB69" s="421"/>
      <c r="AC69" s="422"/>
    </row>
    <row r="70" spans="1:29">
      <c r="A70" s="420"/>
      <c r="B70" s="420"/>
      <c r="C70" s="420"/>
      <c r="D70" s="421" t="s">
        <v>558</v>
      </c>
      <c r="E70" s="440">
        <v>0</v>
      </c>
      <c r="F70" s="421">
        <f t="shared" si="5"/>
        <v>3.5</v>
      </c>
      <c r="G70" s="429">
        <f t="shared" si="3"/>
        <v>0</v>
      </c>
      <c r="H70" s="425">
        <f t="shared" si="4"/>
        <v>0</v>
      </c>
      <c r="I70" s="421"/>
      <c r="J70" s="421"/>
      <c r="K70" s="421"/>
      <c r="L70" s="421"/>
      <c r="M70" s="421"/>
      <c r="N70" s="421"/>
      <c r="O70" s="421"/>
      <c r="P70" s="421"/>
      <c r="Q70" s="421"/>
      <c r="R70" s="421"/>
      <c r="S70" s="421"/>
      <c r="T70" s="421"/>
      <c r="U70" s="421"/>
      <c r="V70" s="421"/>
      <c r="W70" s="421"/>
      <c r="X70" s="421"/>
      <c r="Y70" s="421"/>
      <c r="Z70" s="421"/>
      <c r="AA70" s="421"/>
      <c r="AB70" s="421"/>
      <c r="AC70" s="422"/>
    </row>
    <row r="71" spans="1:29">
      <c r="A71" s="420"/>
      <c r="B71" s="420"/>
      <c r="C71" s="420"/>
      <c r="D71" s="421" t="s">
        <v>559</v>
      </c>
      <c r="E71" s="440">
        <v>0</v>
      </c>
      <c r="F71" s="421">
        <f t="shared" si="5"/>
        <v>2.5</v>
      </c>
      <c r="G71" s="429">
        <f t="shared" si="3"/>
        <v>0</v>
      </c>
      <c r="H71" s="425">
        <f t="shared" si="4"/>
        <v>0</v>
      </c>
      <c r="I71" s="421"/>
      <c r="J71" s="421"/>
      <c r="K71" s="421"/>
      <c r="L71" s="421"/>
      <c r="M71" s="421"/>
      <c r="N71" s="421"/>
      <c r="O71" s="421"/>
      <c r="P71" s="421"/>
      <c r="Q71" s="421"/>
      <c r="R71" s="421"/>
      <c r="S71" s="421"/>
      <c r="T71" s="421"/>
      <c r="U71" s="421"/>
      <c r="V71" s="421"/>
      <c r="W71" s="421"/>
      <c r="X71" s="421"/>
      <c r="Y71" s="421"/>
      <c r="Z71" s="421"/>
      <c r="AA71" s="421"/>
      <c r="AB71" s="421"/>
      <c r="AC71" s="422"/>
    </row>
    <row r="72" spans="1:29">
      <c r="A72" s="420"/>
      <c r="B72" s="420"/>
      <c r="C72" s="420"/>
      <c r="D72" s="421" t="s">
        <v>560</v>
      </c>
      <c r="E72" s="440">
        <v>0</v>
      </c>
      <c r="F72" s="421">
        <f t="shared" si="5"/>
        <v>1.5</v>
      </c>
      <c r="G72" s="429">
        <f t="shared" si="3"/>
        <v>0</v>
      </c>
      <c r="H72" s="425">
        <f t="shared" si="4"/>
        <v>0</v>
      </c>
      <c r="I72" s="421"/>
      <c r="J72" s="421"/>
      <c r="K72" s="421"/>
      <c r="L72" s="421"/>
      <c r="M72" s="421"/>
      <c r="N72" s="421"/>
      <c r="O72" s="421"/>
      <c r="P72" s="421"/>
      <c r="Q72" s="421"/>
      <c r="R72" s="421"/>
      <c r="S72" s="421"/>
      <c r="T72" s="421"/>
      <c r="U72" s="421"/>
      <c r="V72" s="421"/>
      <c r="W72" s="421"/>
      <c r="X72" s="421"/>
      <c r="Y72" s="421"/>
      <c r="Z72" s="421"/>
      <c r="AA72" s="421"/>
      <c r="AB72" s="421"/>
      <c r="AC72" s="422"/>
    </row>
    <row r="73" spans="1:29">
      <c r="A73" s="420"/>
      <c r="B73" s="420"/>
      <c r="C73" s="420"/>
      <c r="D73" s="421" t="s">
        <v>561</v>
      </c>
      <c r="E73" s="559">
        <v>0</v>
      </c>
      <c r="F73" s="421">
        <f t="shared" si="5"/>
        <v>0.5</v>
      </c>
      <c r="G73" s="429">
        <f t="shared" si="3"/>
        <v>0</v>
      </c>
      <c r="H73" s="425">
        <f t="shared" si="4"/>
        <v>0</v>
      </c>
      <c r="I73" s="421"/>
      <c r="J73" s="421"/>
      <c r="K73" s="421"/>
      <c r="L73" s="421"/>
      <c r="M73" s="421"/>
      <c r="N73" s="421"/>
      <c r="O73" s="421"/>
      <c r="P73" s="421"/>
      <c r="Q73" s="421"/>
      <c r="R73" s="421"/>
      <c r="S73" s="421"/>
      <c r="T73" s="421"/>
      <c r="U73" s="421"/>
      <c r="V73" s="421"/>
      <c r="W73" s="421"/>
      <c r="X73" s="421"/>
      <c r="Y73" s="421"/>
      <c r="Z73" s="421"/>
      <c r="AA73" s="421"/>
      <c r="AB73" s="421"/>
      <c r="AC73" s="422"/>
    </row>
    <row r="74" spans="1:29">
      <c r="A74" s="420"/>
      <c r="B74" s="420"/>
      <c r="C74" s="420"/>
      <c r="D74" s="421" t="s">
        <v>322</v>
      </c>
      <c r="E74" s="429">
        <f>SUM(E62:E73)</f>
        <v>0</v>
      </c>
      <c r="F74" s="421"/>
      <c r="G74" s="429">
        <f>SUM(G62:G73)</f>
        <v>0</v>
      </c>
      <c r="H74" s="425">
        <f>SUM(H62:H73)</f>
        <v>0</v>
      </c>
      <c r="I74" s="421"/>
      <c r="J74" s="421"/>
      <c r="K74" s="421"/>
      <c r="L74" s="421"/>
      <c r="M74" s="421"/>
      <c r="N74" s="421"/>
      <c r="O74" s="421"/>
      <c r="P74" s="421"/>
      <c r="Q74" s="421"/>
      <c r="R74" s="421"/>
      <c r="S74" s="421"/>
      <c r="T74" s="421"/>
      <c r="U74" s="421"/>
      <c r="V74" s="421"/>
      <c r="W74" s="421"/>
      <c r="X74" s="421"/>
      <c r="Y74" s="421"/>
      <c r="Z74" s="421"/>
      <c r="AA74" s="421"/>
      <c r="AB74" s="421"/>
      <c r="AC74" s="422"/>
    </row>
    <row r="75" spans="1:29">
      <c r="A75" s="420"/>
      <c r="B75" s="420"/>
      <c r="D75" s="421" t="s">
        <v>257</v>
      </c>
      <c r="E75" s="421"/>
      <c r="F75" s="421"/>
      <c r="G75" s="421"/>
      <c r="H75" s="440">
        <f>+H74</f>
        <v>0</v>
      </c>
      <c r="I75" s="421" t="str">
        <f>+E46</f>
        <v>Input to Formula Line 21</v>
      </c>
      <c r="J75" s="421"/>
      <c r="K75" s="421"/>
      <c r="L75" s="421"/>
      <c r="M75" s="421"/>
      <c r="N75" s="421"/>
      <c r="O75" s="421"/>
      <c r="P75" s="421"/>
      <c r="Q75" s="421"/>
      <c r="R75" s="421"/>
      <c r="S75" s="421"/>
      <c r="T75" s="421"/>
      <c r="U75" s="421"/>
      <c r="V75" s="421"/>
      <c r="W75" s="421"/>
      <c r="X75" s="421"/>
      <c r="Y75" s="421"/>
      <c r="Z75" s="421"/>
      <c r="AA75" s="421"/>
      <c r="AB75" s="421"/>
      <c r="AC75" s="422"/>
    </row>
    <row r="76" spans="1:29">
      <c r="A76" s="420"/>
      <c r="B76" s="420"/>
      <c r="D76" s="421"/>
      <c r="E76" s="421"/>
      <c r="F76" s="421"/>
      <c r="G76" s="421"/>
      <c r="H76" s="444"/>
      <c r="I76" s="421"/>
      <c r="J76" s="421"/>
      <c r="K76" s="421"/>
      <c r="L76" s="421"/>
      <c r="M76" s="421"/>
      <c r="N76" s="421"/>
      <c r="O76" s="421"/>
      <c r="P76" s="421"/>
      <c r="Q76" s="421"/>
      <c r="R76" s="421"/>
      <c r="S76" s="421"/>
      <c r="T76" s="421"/>
      <c r="U76" s="421"/>
      <c r="V76" s="421"/>
      <c r="W76" s="421"/>
      <c r="X76" s="421"/>
      <c r="Y76" s="421"/>
      <c r="Z76" s="421"/>
      <c r="AA76" s="421"/>
      <c r="AB76" s="421"/>
      <c r="AC76" s="422"/>
    </row>
    <row r="77" spans="1:29">
      <c r="A77" s="420"/>
      <c r="B77" s="420"/>
      <c r="C77" s="420"/>
      <c r="D77" s="421"/>
      <c r="E77" s="421"/>
      <c r="F77" s="421"/>
      <c r="G77" s="421"/>
      <c r="H77" s="429"/>
      <c r="I77" s="421"/>
      <c r="J77" s="421"/>
      <c r="K77" s="421"/>
      <c r="L77" s="421"/>
      <c r="M77" s="421"/>
      <c r="N77" s="421"/>
      <c r="O77" s="421"/>
      <c r="P77" s="421"/>
      <c r="Q77" s="421"/>
      <c r="R77" s="421"/>
      <c r="S77" s="421"/>
      <c r="T77" s="421"/>
      <c r="U77" s="421"/>
      <c r="V77" s="421"/>
      <c r="W77" s="421"/>
      <c r="X77" s="421"/>
      <c r="Y77" s="421"/>
      <c r="Z77" s="421"/>
      <c r="AA77" s="421"/>
      <c r="AB77" s="421"/>
      <c r="AC77" s="422"/>
    </row>
    <row r="78" spans="1:29" ht="26.5" customHeight="1">
      <c r="A78" s="551">
        <f>+A17</f>
        <v>8</v>
      </c>
      <c r="B78" s="551" t="str">
        <f>+B17</f>
        <v>April</v>
      </c>
      <c r="C78" s="551" t="str">
        <f>+C17</f>
        <v>Year 3</v>
      </c>
      <c r="D78" s="1604" t="str">
        <f>+D17</f>
        <v>Reconciliation - TO calculates Reconciliation by removing from Year 2 data - the total Cap Adds placed in service in Year 2 and adding weighted average in Year 2 actual Cap Adds in Reconciliation</v>
      </c>
      <c r="E78" s="1604"/>
      <c r="F78" s="1604"/>
      <c r="G78" s="1604"/>
      <c r="H78" s="1604"/>
      <c r="I78" s="844"/>
      <c r="J78" s="844"/>
      <c r="K78" s="421"/>
      <c r="L78" s="421"/>
      <c r="M78" s="421"/>
      <c r="N78" s="421"/>
      <c r="O78" s="421"/>
      <c r="P78" s="421"/>
      <c r="Q78" s="421"/>
      <c r="R78" s="421"/>
      <c r="S78" s="421"/>
      <c r="T78" s="421"/>
      <c r="U78" s="421"/>
      <c r="V78" s="421"/>
      <c r="W78" s="421"/>
      <c r="X78" s="421"/>
      <c r="Y78" s="421"/>
      <c r="Z78" s="421"/>
      <c r="AA78" s="421"/>
      <c r="AB78" s="421"/>
      <c r="AC78" s="422"/>
    </row>
    <row r="79" spans="1:29">
      <c r="A79" s="420"/>
      <c r="B79" s="420"/>
      <c r="C79" s="420"/>
      <c r="D79" s="844"/>
      <c r="E79" s="844"/>
      <c r="F79" s="844"/>
      <c r="G79" s="844"/>
      <c r="H79" s="844"/>
      <c r="I79" s="844"/>
      <c r="J79" s="844"/>
      <c r="K79" s="421"/>
      <c r="L79" s="421"/>
      <c r="M79" s="421"/>
      <c r="N79" s="421"/>
      <c r="O79" s="421"/>
      <c r="P79" s="421"/>
      <c r="Q79" s="421"/>
      <c r="R79" s="421"/>
      <c r="S79" s="421"/>
      <c r="T79" s="421"/>
      <c r="U79" s="421"/>
      <c r="V79" s="421"/>
      <c r="W79" s="421"/>
      <c r="X79" s="421"/>
      <c r="Y79" s="421"/>
      <c r="Z79" s="421"/>
      <c r="AA79" s="421"/>
      <c r="AB79" s="421"/>
      <c r="AC79" s="422"/>
    </row>
    <row r="80" spans="1:29">
      <c r="A80" s="420"/>
      <c r="B80" s="420"/>
      <c r="C80" s="420"/>
      <c r="D80" s="421" t="s">
        <v>634</v>
      </c>
      <c r="E80" s="850"/>
      <c r="F80" s="850"/>
      <c r="G80" s="850"/>
      <c r="H80" s="850"/>
      <c r="I80" s="850"/>
      <c r="J80" s="850"/>
      <c r="K80" s="421"/>
      <c r="L80" s="421"/>
      <c r="M80" s="421"/>
      <c r="N80" s="421"/>
      <c r="O80" s="421"/>
      <c r="P80" s="421"/>
      <c r="Q80" s="421"/>
      <c r="R80" s="421"/>
      <c r="S80" s="421"/>
      <c r="T80" s="421"/>
      <c r="U80" s="421"/>
      <c r="V80" s="421"/>
      <c r="W80" s="421"/>
      <c r="X80" s="421"/>
      <c r="Y80" s="421"/>
      <c r="Z80" s="421"/>
      <c r="AA80" s="421"/>
      <c r="AB80" s="421"/>
      <c r="AC80" s="422"/>
    </row>
    <row r="81" spans="1:29">
      <c r="A81" s="420"/>
      <c r="B81" s="420"/>
      <c r="C81" s="420"/>
      <c r="D81" s="421" t="s">
        <v>636</v>
      </c>
      <c r="E81" s="421"/>
      <c r="F81" s="421"/>
      <c r="G81" s="421"/>
      <c r="H81" s="518">
        <f>+E97</f>
        <v>117850079.69</v>
      </c>
      <c r="I81" s="421" t="str">
        <f>"Input to Formula Line "&amp;'ATT H-2A'!A41</f>
        <v>Input to Formula Line 20</v>
      </c>
      <c r="J81" s="421"/>
      <c r="K81" s="421"/>
      <c r="L81" s="421"/>
      <c r="M81" s="421"/>
      <c r="N81" s="421"/>
      <c r="O81" s="421"/>
      <c r="P81" s="421"/>
      <c r="Q81" s="421"/>
      <c r="R81" s="421"/>
      <c r="S81" s="421"/>
      <c r="T81" s="421"/>
      <c r="U81" s="421"/>
      <c r="V81" s="421"/>
      <c r="W81" s="421"/>
      <c r="X81" s="421"/>
      <c r="Y81" s="421"/>
      <c r="Z81" s="421"/>
      <c r="AA81" s="421"/>
      <c r="AB81" s="421"/>
      <c r="AC81" s="422"/>
    </row>
    <row r="82" spans="1:29">
      <c r="A82" s="420"/>
      <c r="B82" s="420"/>
      <c r="C82" s="420"/>
      <c r="D82" s="442"/>
      <c r="E82" s="421"/>
      <c r="F82" s="421"/>
      <c r="G82" s="421"/>
      <c r="H82" s="421"/>
      <c r="I82" s="421"/>
      <c r="J82" s="421"/>
      <c r="K82" s="421"/>
      <c r="L82" s="421"/>
      <c r="M82" s="421"/>
      <c r="N82" s="421"/>
      <c r="O82" s="421"/>
      <c r="P82" s="421"/>
      <c r="Q82" s="421"/>
      <c r="R82" s="421"/>
      <c r="S82" s="421"/>
      <c r="T82" s="421"/>
      <c r="U82" s="421"/>
      <c r="V82" s="421"/>
      <c r="W82" s="421"/>
      <c r="X82" s="421"/>
      <c r="Y82" s="421"/>
      <c r="Z82" s="421"/>
      <c r="AA82" s="421"/>
      <c r="AB82" s="421"/>
      <c r="AC82" s="422"/>
    </row>
    <row r="83" spans="1:29">
      <c r="A83" s="420"/>
      <c r="B83" s="420"/>
      <c r="C83" s="420"/>
      <c r="D83" s="449" t="s">
        <v>635</v>
      </c>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1"/>
      <c r="AC83" s="422"/>
    </row>
    <row r="84" spans="1:29">
      <c r="A84" s="420"/>
      <c r="B84" s="420"/>
      <c r="C84" s="420"/>
      <c r="D84" s="421"/>
      <c r="E84" s="420" t="s">
        <v>603</v>
      </c>
      <c r="F84" s="420" t="s">
        <v>549</v>
      </c>
      <c r="G84" s="420" t="s">
        <v>413</v>
      </c>
      <c r="H84" s="420" t="s">
        <v>550</v>
      </c>
      <c r="I84" s="421"/>
      <c r="J84" s="421"/>
      <c r="K84" s="421"/>
      <c r="L84" s="421"/>
      <c r="M84" s="421"/>
      <c r="N84" s="421"/>
      <c r="O84" s="421"/>
      <c r="P84" s="421"/>
      <c r="Q84" s="421"/>
      <c r="R84" s="421"/>
      <c r="S84" s="421"/>
      <c r="T84" s="421"/>
      <c r="U84" s="421"/>
      <c r="V84" s="421"/>
      <c r="W84" s="421"/>
      <c r="X84" s="421"/>
      <c r="Y84" s="421"/>
      <c r="Z84" s="421"/>
      <c r="AA84" s="421"/>
      <c r="AB84" s="421"/>
      <c r="AC84" s="422"/>
    </row>
    <row r="85" spans="1:29">
      <c r="A85" s="420"/>
      <c r="B85" s="420"/>
      <c r="C85" s="420"/>
      <c r="D85" s="421" t="s">
        <v>551</v>
      </c>
      <c r="E85" s="428">
        <v>11402926.960000001</v>
      </c>
      <c r="F85" s="421">
        <v>11.5</v>
      </c>
      <c r="G85" s="429">
        <f t="shared" ref="G85:G96" si="6">+F85*E85</f>
        <v>131133660.04000001</v>
      </c>
      <c r="H85" s="425">
        <f t="shared" ref="H85:H96" si="7">+G85/12</f>
        <v>10927805.003333334</v>
      </c>
      <c r="I85" s="421"/>
      <c r="J85" s="421"/>
      <c r="K85" s="421"/>
      <c r="L85" s="421"/>
      <c r="M85" s="421"/>
      <c r="N85" s="421"/>
      <c r="O85" s="421"/>
      <c r="P85" s="421"/>
      <c r="Q85" s="421"/>
      <c r="R85" s="421"/>
      <c r="S85" s="421"/>
      <c r="T85" s="421"/>
      <c r="U85" s="421"/>
      <c r="V85" s="421"/>
      <c r="W85" s="421"/>
      <c r="X85" s="421"/>
      <c r="Y85" s="421"/>
      <c r="Z85" s="421"/>
      <c r="AA85" s="421"/>
      <c r="AB85" s="421"/>
      <c r="AC85" s="422"/>
    </row>
    <row r="86" spans="1:29">
      <c r="A86" s="420"/>
      <c r="B86" s="420"/>
      <c r="C86" s="420"/>
      <c r="D86" s="421" t="s">
        <v>552</v>
      </c>
      <c r="E86" s="428">
        <v>901132.00000000047</v>
      </c>
      <c r="F86" s="421">
        <f t="shared" ref="F86:F96" si="8">+F85-1</f>
        <v>10.5</v>
      </c>
      <c r="G86" s="429">
        <f t="shared" si="6"/>
        <v>9461886.0000000056</v>
      </c>
      <c r="H86" s="425">
        <f t="shared" si="7"/>
        <v>788490.50000000047</v>
      </c>
      <c r="I86" s="421"/>
      <c r="J86" s="421"/>
      <c r="K86" s="421"/>
      <c r="L86" s="421"/>
      <c r="M86" s="421"/>
      <c r="N86" s="421"/>
      <c r="O86" s="421"/>
      <c r="P86" s="421"/>
      <c r="Q86" s="421"/>
      <c r="R86" s="421"/>
      <c r="S86" s="421"/>
      <c r="T86" s="421"/>
      <c r="U86" s="421"/>
      <c r="V86" s="421"/>
      <c r="W86" s="421"/>
      <c r="X86" s="421"/>
      <c r="Y86" s="421"/>
      <c r="Z86" s="421"/>
      <c r="AA86" s="421"/>
      <c r="AB86" s="421"/>
      <c r="AC86" s="422"/>
    </row>
    <row r="87" spans="1:29">
      <c r="A87" s="420"/>
      <c r="B87" s="420"/>
      <c r="C87" s="420"/>
      <c r="D87" s="421" t="s">
        <v>553</v>
      </c>
      <c r="E87" s="428">
        <v>2983364.7299999986</v>
      </c>
      <c r="F87" s="421">
        <f t="shared" si="8"/>
        <v>9.5</v>
      </c>
      <c r="G87" s="429">
        <f t="shared" si="6"/>
        <v>28341964.934999987</v>
      </c>
      <c r="H87" s="425">
        <f t="shared" si="7"/>
        <v>2361830.411249999</v>
      </c>
      <c r="I87" s="421"/>
      <c r="J87" s="421"/>
      <c r="K87" s="421"/>
      <c r="L87" s="421"/>
      <c r="M87" s="421"/>
      <c r="N87" s="421"/>
      <c r="O87" s="421"/>
      <c r="P87" s="421"/>
      <c r="Q87" s="421"/>
      <c r="R87" s="421"/>
      <c r="S87" s="421"/>
      <c r="T87" s="421"/>
      <c r="U87" s="421"/>
      <c r="V87" s="421"/>
      <c r="W87" s="421"/>
      <c r="X87" s="421"/>
      <c r="Y87" s="421"/>
      <c r="Z87" s="421"/>
      <c r="AA87" s="421"/>
      <c r="AB87" s="421"/>
      <c r="AC87" s="422"/>
    </row>
    <row r="88" spans="1:29">
      <c r="A88" s="420"/>
      <c r="B88" s="420"/>
      <c r="C88" s="420"/>
      <c r="D88" s="421" t="s">
        <v>554</v>
      </c>
      <c r="E88" s="428">
        <v>4217342.8899999997</v>
      </c>
      <c r="F88" s="421">
        <f t="shared" si="8"/>
        <v>8.5</v>
      </c>
      <c r="G88" s="429">
        <f t="shared" si="6"/>
        <v>35847414.564999998</v>
      </c>
      <c r="H88" s="425">
        <f t="shared" si="7"/>
        <v>2987284.5470833331</v>
      </c>
      <c r="I88" s="421"/>
      <c r="J88" s="421"/>
      <c r="K88" s="421"/>
      <c r="L88" s="421"/>
      <c r="M88" s="421"/>
      <c r="N88" s="421"/>
      <c r="O88" s="421"/>
      <c r="P88" s="421"/>
      <c r="Q88" s="421"/>
      <c r="R88" s="421"/>
      <c r="S88" s="421"/>
      <c r="T88" s="421"/>
      <c r="U88" s="421"/>
      <c r="V88" s="421"/>
      <c r="W88" s="421"/>
      <c r="X88" s="421"/>
      <c r="Y88" s="421"/>
      <c r="Z88" s="421"/>
      <c r="AA88" s="421"/>
      <c r="AB88" s="421"/>
      <c r="AC88" s="422"/>
    </row>
    <row r="89" spans="1:29">
      <c r="A89" s="420"/>
      <c r="B89" s="420"/>
      <c r="C89" s="420"/>
      <c r="D89" s="421" t="s">
        <v>547</v>
      </c>
      <c r="E89" s="428">
        <v>9541982.5999999996</v>
      </c>
      <c r="F89" s="421">
        <f t="shared" si="8"/>
        <v>7.5</v>
      </c>
      <c r="G89" s="429">
        <f t="shared" si="6"/>
        <v>71564869.5</v>
      </c>
      <c r="H89" s="425">
        <f t="shared" si="7"/>
        <v>5963739.125</v>
      </c>
      <c r="I89" s="421"/>
      <c r="J89" s="421"/>
      <c r="K89" s="421"/>
      <c r="L89" s="421"/>
      <c r="M89" s="421"/>
      <c r="N89" s="421"/>
      <c r="O89" s="421"/>
      <c r="P89" s="421"/>
      <c r="Q89" s="421"/>
      <c r="R89" s="421"/>
      <c r="S89" s="421"/>
      <c r="T89" s="421"/>
      <c r="U89" s="421"/>
      <c r="V89" s="421"/>
      <c r="W89" s="421"/>
      <c r="X89" s="421"/>
      <c r="Y89" s="421"/>
      <c r="Z89" s="421"/>
      <c r="AA89" s="421"/>
      <c r="AB89" s="421"/>
      <c r="AC89" s="422"/>
    </row>
    <row r="90" spans="1:29">
      <c r="A90" s="420"/>
      <c r="B90" s="420"/>
      <c r="C90" s="420"/>
      <c r="D90" s="421" t="s">
        <v>555</v>
      </c>
      <c r="E90" s="428">
        <v>27285144.260000002</v>
      </c>
      <c r="F90" s="421">
        <f t="shared" si="8"/>
        <v>6.5</v>
      </c>
      <c r="G90" s="429">
        <f t="shared" si="6"/>
        <v>177353437.69</v>
      </c>
      <c r="H90" s="425">
        <f t="shared" si="7"/>
        <v>14779453.140833333</v>
      </c>
      <c r="I90" s="421"/>
      <c r="J90" s="421"/>
      <c r="K90" s="421"/>
      <c r="L90" s="421"/>
      <c r="M90" s="421"/>
      <c r="N90" s="421"/>
      <c r="O90" s="421"/>
      <c r="P90" s="421"/>
      <c r="Q90" s="421"/>
      <c r="R90" s="421"/>
      <c r="S90" s="421"/>
      <c r="T90" s="421"/>
      <c r="U90" s="421"/>
      <c r="V90" s="421"/>
      <c r="W90" s="421"/>
      <c r="X90" s="421"/>
      <c r="Y90" s="421"/>
      <c r="Z90" s="421"/>
      <c r="AA90" s="421"/>
      <c r="AB90" s="421"/>
      <c r="AC90" s="422"/>
    </row>
    <row r="91" spans="1:29">
      <c r="A91" s="420"/>
      <c r="B91" s="420"/>
      <c r="C91" s="420"/>
      <c r="D91" s="421" t="s">
        <v>556</v>
      </c>
      <c r="E91" s="428">
        <v>1034190.65</v>
      </c>
      <c r="F91" s="421">
        <f t="shared" si="8"/>
        <v>5.5</v>
      </c>
      <c r="G91" s="429">
        <f t="shared" si="6"/>
        <v>5688048.5750000002</v>
      </c>
      <c r="H91" s="425">
        <f t="shared" si="7"/>
        <v>474004.04791666666</v>
      </c>
      <c r="I91" s="421"/>
      <c r="J91" s="421"/>
      <c r="K91" s="421"/>
      <c r="L91" s="421"/>
      <c r="M91" s="421"/>
      <c r="N91" s="421"/>
      <c r="O91" s="421"/>
      <c r="P91" s="421"/>
      <c r="Q91" s="421"/>
      <c r="R91" s="421"/>
      <c r="S91" s="421"/>
      <c r="T91" s="421"/>
      <c r="U91" s="421"/>
      <c r="V91" s="421"/>
      <c r="W91" s="421"/>
      <c r="X91" s="421"/>
      <c r="Y91" s="421"/>
      <c r="Z91" s="421"/>
      <c r="AA91" s="421"/>
      <c r="AB91" s="421"/>
      <c r="AC91" s="422"/>
    </row>
    <row r="92" spans="1:29">
      <c r="A92" s="420"/>
      <c r="B92" s="420"/>
      <c r="C92" s="420"/>
      <c r="D92" s="421" t="s">
        <v>557</v>
      </c>
      <c r="E92" s="428">
        <v>11104849.23</v>
      </c>
      <c r="F92" s="421">
        <f t="shared" si="8"/>
        <v>4.5</v>
      </c>
      <c r="G92" s="429">
        <f t="shared" si="6"/>
        <v>49971821.535000004</v>
      </c>
      <c r="H92" s="425">
        <f t="shared" si="7"/>
        <v>4164318.4612500002</v>
      </c>
      <c r="I92" s="421"/>
      <c r="J92" s="421"/>
      <c r="K92" s="421"/>
      <c r="L92" s="421"/>
      <c r="M92" s="421"/>
      <c r="N92" s="421"/>
      <c r="O92" s="421"/>
      <c r="P92" s="421"/>
      <c r="Q92" s="421"/>
      <c r="R92" s="421"/>
      <c r="S92" s="421"/>
      <c r="T92" s="421"/>
      <c r="U92" s="421"/>
      <c r="V92" s="421"/>
      <c r="W92" s="421"/>
      <c r="X92" s="421"/>
      <c r="Y92" s="421"/>
      <c r="Z92" s="421"/>
      <c r="AA92" s="421"/>
      <c r="AB92" s="421"/>
      <c r="AC92" s="422"/>
    </row>
    <row r="93" spans="1:29">
      <c r="A93" s="420"/>
      <c r="B93" s="420"/>
      <c r="C93" s="420"/>
      <c r="D93" s="421" t="s">
        <v>558</v>
      </c>
      <c r="E93" s="428">
        <v>-819785.13</v>
      </c>
      <c r="F93" s="421">
        <f t="shared" si="8"/>
        <v>3.5</v>
      </c>
      <c r="G93" s="429">
        <f t="shared" si="6"/>
        <v>-2869247.9550000001</v>
      </c>
      <c r="H93" s="425">
        <f t="shared" si="7"/>
        <v>-239103.99625</v>
      </c>
      <c r="I93" s="421"/>
      <c r="J93" s="421"/>
      <c r="K93" s="421"/>
      <c r="L93" s="421"/>
      <c r="M93" s="421"/>
      <c r="N93" s="421"/>
      <c r="O93" s="421"/>
      <c r="P93" s="421"/>
      <c r="Q93" s="421"/>
      <c r="R93" s="421"/>
      <c r="S93" s="421"/>
      <c r="T93" s="421"/>
      <c r="U93" s="421"/>
      <c r="V93" s="421"/>
      <c r="W93" s="421"/>
      <c r="X93" s="421"/>
      <c r="Y93" s="421"/>
      <c r="Z93" s="421"/>
      <c r="AA93" s="421"/>
      <c r="AB93" s="421"/>
      <c r="AC93" s="422"/>
    </row>
    <row r="94" spans="1:29">
      <c r="A94" s="420"/>
      <c r="B94" s="420"/>
      <c r="C94" s="420"/>
      <c r="D94" s="421" t="s">
        <v>559</v>
      </c>
      <c r="E94" s="428">
        <v>553167.65999999992</v>
      </c>
      <c r="F94" s="421">
        <f t="shared" si="8"/>
        <v>2.5</v>
      </c>
      <c r="G94" s="429">
        <f t="shared" si="6"/>
        <v>1382919.15</v>
      </c>
      <c r="H94" s="425">
        <f t="shared" si="7"/>
        <v>115243.2625</v>
      </c>
      <c r="I94" s="421"/>
      <c r="J94" s="421"/>
      <c r="K94" s="421"/>
      <c r="L94" s="421"/>
      <c r="M94" s="421"/>
      <c r="N94" s="421"/>
      <c r="O94" s="421"/>
      <c r="P94" s="421"/>
      <c r="Q94" s="421"/>
      <c r="R94" s="421"/>
      <c r="S94" s="421"/>
      <c r="T94" s="421"/>
      <c r="U94" s="421"/>
      <c r="V94" s="421"/>
      <c r="W94" s="421"/>
      <c r="X94" s="421"/>
      <c r="Y94" s="421"/>
      <c r="Z94" s="421"/>
      <c r="AA94" s="421"/>
      <c r="AB94" s="421"/>
      <c r="AC94" s="422"/>
    </row>
    <row r="95" spans="1:29">
      <c r="A95" s="420"/>
      <c r="B95" s="420"/>
      <c r="C95" s="420"/>
      <c r="D95" s="421" t="s">
        <v>560</v>
      </c>
      <c r="E95" s="428">
        <v>8868328.910000002</v>
      </c>
      <c r="F95" s="421">
        <f t="shared" si="8"/>
        <v>1.5</v>
      </c>
      <c r="G95" s="429">
        <f t="shared" si="6"/>
        <v>13302493.365000002</v>
      </c>
      <c r="H95" s="425">
        <f t="shared" si="7"/>
        <v>1108541.1137500003</v>
      </c>
      <c r="I95" s="421"/>
      <c r="J95" s="421"/>
      <c r="K95" s="421"/>
      <c r="L95" s="421"/>
      <c r="M95" s="421"/>
      <c r="N95" s="421"/>
      <c r="O95" s="421"/>
      <c r="P95" s="421"/>
      <c r="Q95" s="421"/>
      <c r="R95" s="421"/>
      <c r="S95" s="421"/>
      <c r="T95" s="421"/>
      <c r="U95" s="421"/>
      <c r="V95" s="421"/>
      <c r="W95" s="421"/>
      <c r="X95" s="421"/>
      <c r="Y95" s="421"/>
      <c r="Z95" s="421"/>
      <c r="AA95" s="421"/>
      <c r="AB95" s="421"/>
      <c r="AC95" s="422"/>
    </row>
    <row r="96" spans="1:29">
      <c r="A96" s="420"/>
      <c r="B96" s="420"/>
      <c r="C96" s="420"/>
      <c r="D96" s="421" t="s">
        <v>561</v>
      </c>
      <c r="E96" s="428">
        <v>40777434.93</v>
      </c>
      <c r="F96" s="421">
        <f t="shared" si="8"/>
        <v>0.5</v>
      </c>
      <c r="G96" s="429">
        <f t="shared" si="6"/>
        <v>20388717.465</v>
      </c>
      <c r="H96" s="425">
        <f t="shared" si="7"/>
        <v>1699059.7887500001</v>
      </c>
      <c r="I96" s="421"/>
      <c r="J96" s="421"/>
      <c r="K96" s="421"/>
      <c r="L96" s="421"/>
      <c r="M96" s="421"/>
      <c r="N96" s="421"/>
      <c r="O96" s="421"/>
      <c r="P96" s="421"/>
      <c r="Q96" s="421"/>
      <c r="R96" s="421"/>
      <c r="S96" s="421"/>
      <c r="T96" s="421"/>
      <c r="U96" s="421"/>
      <c r="V96" s="421"/>
      <c r="W96" s="421"/>
      <c r="X96" s="421"/>
      <c r="Y96" s="421"/>
      <c r="Z96" s="421"/>
      <c r="AA96" s="421"/>
      <c r="AB96" s="421"/>
      <c r="AC96" s="422"/>
    </row>
    <row r="97" spans="1:29">
      <c r="A97" s="420"/>
      <c r="B97" s="420"/>
      <c r="C97" s="420"/>
      <c r="D97" s="421" t="s">
        <v>322</v>
      </c>
      <c r="E97" s="429">
        <f>SUM(E85:E96)</f>
        <v>117850079.69</v>
      </c>
      <c r="F97" s="421"/>
      <c r="G97" s="429">
        <f>SUM(G85:G96)</f>
        <v>541567984.86500001</v>
      </c>
      <c r="H97" s="425">
        <f>SUM(H85:H96)</f>
        <v>45130665.405416667</v>
      </c>
      <c r="I97" s="421"/>
      <c r="J97" s="421"/>
      <c r="K97" s="421"/>
      <c r="L97" s="421"/>
      <c r="M97" s="421"/>
      <c r="N97" s="421"/>
      <c r="O97" s="421"/>
      <c r="P97" s="421"/>
      <c r="Q97" s="421"/>
      <c r="R97" s="421"/>
      <c r="S97" s="421"/>
      <c r="T97" s="421"/>
      <c r="U97" s="421"/>
      <c r="V97" s="421"/>
      <c r="W97" s="421"/>
      <c r="X97" s="421"/>
      <c r="Y97" s="421"/>
      <c r="Z97" s="421"/>
      <c r="AA97" s="421"/>
      <c r="AB97" s="421"/>
      <c r="AC97" s="422"/>
    </row>
    <row r="98" spans="1:29">
      <c r="A98" s="420"/>
      <c r="B98" s="420"/>
      <c r="C98" s="420"/>
      <c r="D98" s="449" t="s">
        <v>256</v>
      </c>
      <c r="E98" s="421"/>
      <c r="F98" s="421"/>
      <c r="G98" s="421"/>
      <c r="H98" s="429">
        <f>+H97</f>
        <v>45130665.405416667</v>
      </c>
      <c r="I98" s="421" t="str">
        <f>"Input to Formula Line "&amp;'ATT H-2A'!A42</f>
        <v>Input to Formula Line 21</v>
      </c>
      <c r="J98" s="421"/>
      <c r="K98" s="421"/>
      <c r="L98" s="902"/>
      <c r="M98" s="425"/>
      <c r="N98" s="421"/>
      <c r="O98" s="425"/>
      <c r="P98" s="421"/>
      <c r="Q98" s="421"/>
      <c r="R98" s="421"/>
      <c r="S98" s="421"/>
      <c r="T98" s="421"/>
      <c r="U98" s="421"/>
      <c r="V98" s="421"/>
      <c r="W98" s="421"/>
      <c r="X98" s="421"/>
      <c r="Y98" s="421"/>
      <c r="Z98" s="421"/>
      <c r="AA98" s="421"/>
      <c r="AB98" s="421"/>
      <c r="AC98" s="422"/>
    </row>
    <row r="99" spans="1:29">
      <c r="A99" s="420"/>
      <c r="B99" s="420"/>
      <c r="C99" s="420"/>
      <c r="D99" s="442"/>
      <c r="E99" s="421"/>
      <c r="F99" s="421"/>
      <c r="G99" s="421"/>
      <c r="H99" s="429"/>
      <c r="I99" s="421"/>
      <c r="J99" s="421"/>
      <c r="K99" s="421"/>
      <c r="L99" s="902"/>
      <c r="M99" s="425"/>
      <c r="N99" s="421"/>
      <c r="O99" s="425"/>
      <c r="P99" s="421"/>
      <c r="Q99" s="421"/>
      <c r="R99" s="421"/>
      <c r="S99" s="421"/>
      <c r="T99" s="421"/>
      <c r="U99" s="421"/>
      <c r="V99" s="421"/>
      <c r="W99" s="421"/>
      <c r="X99" s="421"/>
      <c r="Y99" s="421"/>
      <c r="Z99" s="421"/>
      <c r="AA99" s="421"/>
      <c r="AB99" s="421"/>
      <c r="AC99" s="422"/>
    </row>
    <row r="100" spans="1:29">
      <c r="A100" s="420"/>
      <c r="B100" s="420"/>
      <c r="C100" s="420"/>
      <c r="D100" s="522">
        <v>235781377.39400893</v>
      </c>
      <c r="E100" s="442" t="s">
        <v>620</v>
      </c>
      <c r="F100" s="421"/>
      <c r="G100" s="523" t="s">
        <v>254</v>
      </c>
      <c r="H100" s="445"/>
      <c r="I100" s="443"/>
      <c r="J100" s="421"/>
      <c r="K100" s="421"/>
      <c r="L100" s="421"/>
      <c r="M100" s="421"/>
      <c r="N100" s="421"/>
      <c r="O100" s="429"/>
      <c r="P100" s="421"/>
      <c r="Q100" s="421"/>
      <c r="R100" s="421"/>
      <c r="S100" s="421"/>
      <c r="T100" s="421"/>
      <c r="U100" s="421"/>
      <c r="V100" s="421"/>
      <c r="W100" s="421"/>
      <c r="X100" s="421"/>
      <c r="Y100" s="421"/>
      <c r="Z100" s="421"/>
      <c r="AA100" s="421"/>
      <c r="AB100" s="421"/>
      <c r="AC100" s="422"/>
    </row>
    <row r="101" spans="1:29">
      <c r="B101" s="420"/>
      <c r="C101" s="420"/>
      <c r="E101" s="421"/>
      <c r="F101" s="421"/>
      <c r="G101" s="421" t="s">
        <v>637</v>
      </c>
      <c r="H101" s="445"/>
      <c r="I101" s="443"/>
      <c r="J101" s="421"/>
      <c r="K101" s="421"/>
      <c r="L101" s="421"/>
      <c r="M101" s="421"/>
      <c r="N101" s="421"/>
      <c r="O101" s="421"/>
      <c r="P101" s="421"/>
      <c r="Q101" s="421"/>
      <c r="R101" s="421"/>
      <c r="S101" s="421"/>
      <c r="T101" s="421"/>
      <c r="U101" s="421"/>
      <c r="V101" s="421"/>
      <c r="W101" s="421"/>
      <c r="X101" s="421"/>
      <c r="Y101" s="421"/>
      <c r="Z101" s="421"/>
      <c r="AA101" s="421"/>
      <c r="AB101" s="421"/>
      <c r="AC101" s="422"/>
    </row>
    <row r="102" spans="1:29">
      <c r="A102" s="420"/>
      <c r="B102" s="420"/>
      <c r="C102" s="420"/>
      <c r="D102" s="442"/>
      <c r="E102" s="421"/>
      <c r="F102" s="421"/>
      <c r="G102" s="443"/>
      <c r="H102" s="445"/>
      <c r="I102" s="443"/>
      <c r="J102" s="421"/>
      <c r="K102" s="421"/>
      <c r="L102" s="421"/>
      <c r="M102" s="421"/>
      <c r="N102" s="421"/>
      <c r="O102" s="421"/>
      <c r="P102" s="421"/>
      <c r="Q102" s="421"/>
      <c r="R102" s="421"/>
      <c r="S102" s="421"/>
      <c r="T102" s="421"/>
      <c r="U102" s="421"/>
      <c r="V102" s="421"/>
      <c r="W102" s="421"/>
      <c r="X102" s="421"/>
      <c r="Y102" s="421"/>
      <c r="Z102" s="421"/>
      <c r="AA102" s="421"/>
      <c r="AB102" s="421"/>
      <c r="AC102" s="422"/>
    </row>
    <row r="103" spans="1:29" ht="15.5">
      <c r="A103" s="420"/>
      <c r="B103" s="420"/>
      <c r="C103" s="420"/>
      <c r="D103" s="442"/>
      <c r="E103" s="429"/>
      <c r="F103" s="421"/>
      <c r="G103" s="443"/>
      <c r="H103" s="445"/>
      <c r="I103" s="443"/>
      <c r="J103" s="872"/>
      <c r="K103" s="421"/>
      <c r="L103" s="421"/>
      <c r="M103" s="421"/>
      <c r="N103" s="421"/>
      <c r="O103" s="421"/>
      <c r="P103" s="421"/>
      <c r="Q103" s="421"/>
      <c r="R103" s="421"/>
      <c r="S103" s="421"/>
      <c r="T103" s="421"/>
      <c r="U103" s="421"/>
      <c r="V103" s="421"/>
      <c r="W103" s="421"/>
      <c r="X103" s="421"/>
      <c r="Y103" s="421"/>
      <c r="Z103" s="421"/>
      <c r="AA103" s="421"/>
      <c r="AB103" s="421"/>
      <c r="AC103" s="422"/>
    </row>
    <row r="104" spans="1:29" ht="14">
      <c r="A104" s="420"/>
      <c r="B104" s="420"/>
      <c r="C104" s="420"/>
      <c r="D104" s="442"/>
      <c r="E104" s="421"/>
      <c r="F104" s="1407"/>
      <c r="G104" s="443"/>
      <c r="H104" s="445"/>
      <c r="I104" s="443"/>
      <c r="J104" s="871"/>
      <c r="K104" s="421"/>
      <c r="L104" s="421"/>
      <c r="M104" s="421"/>
      <c r="N104" s="421"/>
      <c r="O104" s="421"/>
      <c r="P104" s="421"/>
      <c r="Q104" s="421"/>
      <c r="R104" s="421"/>
      <c r="S104" s="421"/>
      <c r="T104" s="421"/>
      <c r="U104" s="421"/>
      <c r="V104" s="421"/>
      <c r="W104" s="421"/>
      <c r="X104" s="421"/>
      <c r="Y104" s="421"/>
      <c r="Z104" s="421"/>
      <c r="AA104" s="421"/>
      <c r="AB104" s="421"/>
      <c r="AC104" s="422"/>
    </row>
    <row r="105" spans="1:29" ht="14">
      <c r="A105" s="420"/>
      <c r="B105" s="420"/>
      <c r="C105" s="420"/>
      <c r="D105" s="442"/>
      <c r="E105" s="421"/>
      <c r="F105" s="421"/>
      <c r="G105" s="421"/>
      <c r="H105" s="429"/>
      <c r="I105" s="421"/>
      <c r="J105" s="871"/>
      <c r="K105" s="421"/>
      <c r="L105" s="421"/>
      <c r="M105" s="421"/>
      <c r="N105" s="421"/>
      <c r="O105" s="421"/>
      <c r="P105" s="421"/>
      <c r="Q105" s="421"/>
      <c r="R105" s="421"/>
      <c r="S105" s="421"/>
      <c r="T105" s="421"/>
      <c r="U105" s="421"/>
      <c r="V105" s="421"/>
      <c r="W105" s="421"/>
      <c r="X105" s="421"/>
      <c r="Y105" s="421"/>
      <c r="Z105" s="421"/>
      <c r="AA105" s="421"/>
      <c r="AB105" s="421"/>
      <c r="AC105" s="422"/>
    </row>
    <row r="106" spans="1:29" ht="28.5" customHeight="1">
      <c r="A106" s="551">
        <f>A19</f>
        <v>9</v>
      </c>
      <c r="B106" s="551" t="str">
        <f>B19</f>
        <v>April</v>
      </c>
      <c r="C106" s="551" t="str">
        <f>C19</f>
        <v>Year 3</v>
      </c>
      <c r="D106" s="1604" t="str">
        <f>D19</f>
        <v>Reconciliation - TO adds the difference between the Reconciliation in Step 8 and the forecast in Line 5 with interest to the result of Step 7 (this difference is also added to Step 8 in the subsequent year)</v>
      </c>
      <c r="E106" s="1604"/>
      <c r="F106" s="1604"/>
      <c r="G106" s="1604"/>
      <c r="H106" s="1604"/>
      <c r="I106" s="421"/>
      <c r="J106" s="421"/>
      <c r="K106" s="421"/>
      <c r="L106" s="421"/>
      <c r="M106" s="421"/>
      <c r="N106" s="421"/>
      <c r="O106" s="421"/>
      <c r="P106" s="421"/>
      <c r="Q106" s="421"/>
      <c r="R106" s="421"/>
      <c r="S106" s="421"/>
      <c r="T106" s="421"/>
      <c r="U106" s="421"/>
      <c r="V106" s="421"/>
      <c r="W106" s="421"/>
      <c r="X106" s="421"/>
      <c r="Y106" s="421"/>
      <c r="Z106" s="421"/>
      <c r="AA106" s="421"/>
      <c r="AB106" s="421"/>
      <c r="AC106" s="422"/>
    </row>
    <row r="107" spans="1:29">
      <c r="A107" s="420"/>
      <c r="B107" s="420"/>
      <c r="C107" s="420"/>
      <c r="D107" s="427"/>
      <c r="E107" s="421"/>
      <c r="F107" s="421"/>
      <c r="G107" s="421"/>
      <c r="H107" s="421"/>
      <c r="I107" s="421"/>
      <c r="J107" s="421"/>
      <c r="K107" s="421"/>
      <c r="L107" s="421"/>
      <c r="M107" s="421"/>
      <c r="N107" s="421"/>
      <c r="O107" s="421"/>
      <c r="P107" s="421"/>
      <c r="Q107" s="421"/>
      <c r="R107" s="421"/>
      <c r="S107" s="421"/>
      <c r="T107" s="421"/>
      <c r="U107" s="421"/>
      <c r="V107" s="421"/>
      <c r="W107" s="421"/>
      <c r="X107" s="421"/>
      <c r="Y107" s="421"/>
      <c r="Z107" s="421"/>
      <c r="AA107" s="421"/>
      <c r="AB107" s="421"/>
      <c r="AC107" s="422"/>
    </row>
    <row r="108" spans="1:29">
      <c r="A108" s="420"/>
      <c r="B108" s="420"/>
      <c r="C108" s="420"/>
      <c r="D108" s="427" t="s">
        <v>618</v>
      </c>
      <c r="E108" s="421"/>
      <c r="F108" s="421" t="s">
        <v>619</v>
      </c>
      <c r="G108" s="421"/>
      <c r="H108" s="443"/>
      <c r="I108" s="421"/>
      <c r="J108" s="421"/>
      <c r="K108" s="421"/>
      <c r="L108" s="421"/>
      <c r="M108" s="421"/>
      <c r="N108" s="421"/>
      <c r="O108" s="421"/>
      <c r="P108" s="421"/>
      <c r="Q108" s="421"/>
      <c r="R108" s="421"/>
      <c r="S108" s="421"/>
      <c r="T108" s="421"/>
      <c r="U108" s="421"/>
      <c r="V108" s="421"/>
      <c r="W108" s="421"/>
      <c r="X108" s="421"/>
      <c r="Y108" s="421"/>
      <c r="Z108" s="421"/>
      <c r="AA108" s="421"/>
      <c r="AB108" s="421"/>
      <c r="AC108" s="422"/>
    </row>
    <row r="109" spans="1:29">
      <c r="A109" s="420"/>
      <c r="B109" s="420"/>
      <c r="C109" s="420"/>
      <c r="D109" s="429">
        <f>+D100</f>
        <v>235781377.39400893</v>
      </c>
      <c r="E109" s="420" t="str">
        <f>"-"</f>
        <v>-</v>
      </c>
      <c r="F109" s="468">
        <f>+D52</f>
        <v>224597418.5679937</v>
      </c>
      <c r="G109" s="420" t="str">
        <f>"="</f>
        <v>=</v>
      </c>
      <c r="H109" s="445">
        <f>+D109-F109</f>
        <v>11183958.826015234</v>
      </c>
      <c r="I109" s="421"/>
      <c r="J109" s="421"/>
      <c r="K109" s="421"/>
      <c r="L109" s="421"/>
      <c r="M109" s="421"/>
      <c r="N109" s="421"/>
      <c r="O109" s="421"/>
      <c r="P109" s="421"/>
      <c r="Q109" s="421"/>
      <c r="R109" s="421"/>
      <c r="S109" s="421"/>
      <c r="T109" s="421"/>
      <c r="U109" s="421"/>
      <c r="V109" s="421"/>
      <c r="W109" s="421"/>
      <c r="X109" s="421"/>
      <c r="Y109" s="421"/>
      <c r="Z109" s="421"/>
      <c r="AA109" s="421"/>
      <c r="AB109" s="421"/>
      <c r="AC109" s="422"/>
    </row>
    <row r="110" spans="1:29">
      <c r="A110" s="420"/>
      <c r="B110" s="420"/>
      <c r="C110" s="420"/>
      <c r="D110" s="433"/>
      <c r="E110" s="420"/>
      <c r="F110" s="429"/>
      <c r="G110" s="420"/>
      <c r="H110" s="445"/>
      <c r="I110" s="421"/>
      <c r="J110" s="421"/>
      <c r="K110" s="421"/>
      <c r="L110" s="421"/>
      <c r="M110" s="421"/>
      <c r="N110" s="421"/>
      <c r="O110" s="421"/>
      <c r="P110" s="421"/>
      <c r="Q110" s="421"/>
      <c r="R110" s="421"/>
      <c r="S110" s="421"/>
      <c r="T110" s="421"/>
      <c r="U110" s="421"/>
      <c r="V110" s="421"/>
      <c r="W110" s="421"/>
      <c r="X110" s="421"/>
      <c r="Y110" s="421"/>
      <c r="Z110" s="421"/>
      <c r="AA110" s="421"/>
      <c r="AB110" s="421"/>
      <c r="AC110" s="422"/>
    </row>
    <row r="111" spans="1:29">
      <c r="A111" s="420"/>
      <c r="B111" s="420"/>
      <c r="C111" s="420"/>
      <c r="D111" s="448" t="s">
        <v>563</v>
      </c>
      <c r="E111" s="420"/>
      <c r="F111" s="429"/>
      <c r="G111" s="420"/>
      <c r="H111" s="429"/>
      <c r="I111" s="421"/>
      <c r="J111" s="421"/>
      <c r="K111" s="421"/>
      <c r="L111" s="421"/>
      <c r="M111" s="421"/>
      <c r="N111" s="421"/>
      <c r="O111" s="421"/>
      <c r="P111" s="421"/>
      <c r="Q111" s="421"/>
      <c r="R111" s="421"/>
      <c r="S111" s="421"/>
      <c r="T111" s="421"/>
      <c r="U111" s="421"/>
      <c r="V111" s="421"/>
      <c r="W111" s="421"/>
      <c r="X111" s="421"/>
      <c r="Y111" s="421"/>
      <c r="Z111" s="421"/>
      <c r="AA111" s="421"/>
      <c r="AB111" s="421"/>
      <c r="AC111" s="422"/>
    </row>
    <row r="112" spans="1:29">
      <c r="A112" s="420"/>
      <c r="B112" s="420"/>
      <c r="C112" s="420"/>
      <c r="D112" s="448" t="s">
        <v>604</v>
      </c>
      <c r="E112" s="420"/>
      <c r="F112" s="441">
        <v>2.8E-3</v>
      </c>
      <c r="G112" s="420"/>
      <c r="H112" s="429"/>
      <c r="I112" s="421"/>
      <c r="J112" s="421"/>
      <c r="K112" s="421"/>
      <c r="L112" s="421"/>
      <c r="M112" s="421"/>
      <c r="N112" s="421"/>
      <c r="O112" s="421"/>
      <c r="P112" s="421"/>
      <c r="Q112" s="421"/>
      <c r="R112" s="421"/>
      <c r="S112" s="421"/>
      <c r="T112" s="421"/>
      <c r="U112" s="421"/>
      <c r="V112" s="421"/>
      <c r="W112" s="421"/>
      <c r="X112" s="421"/>
      <c r="Y112" s="421"/>
      <c r="Z112" s="421"/>
      <c r="AA112" s="421"/>
      <c r="AB112" s="421"/>
      <c r="AC112" s="422"/>
    </row>
    <row r="113" spans="1:29">
      <c r="A113" s="420"/>
      <c r="B113" s="420"/>
      <c r="C113" s="420"/>
      <c r="D113" s="434" t="s">
        <v>542</v>
      </c>
      <c r="E113" s="420" t="s">
        <v>564</v>
      </c>
      <c r="F113" s="420" t="s">
        <v>565</v>
      </c>
      <c r="G113" s="434" t="s">
        <v>566</v>
      </c>
      <c r="H113" s="420"/>
      <c r="I113" s="434" t="s">
        <v>567</v>
      </c>
      <c r="J113" s="420" t="s">
        <v>568</v>
      </c>
      <c r="K113" s="421"/>
      <c r="L113" s="421"/>
      <c r="M113" s="421"/>
      <c r="N113" s="421"/>
      <c r="O113" s="421"/>
      <c r="P113" s="421"/>
      <c r="Q113" s="421"/>
      <c r="R113" s="421"/>
      <c r="S113" s="421"/>
      <c r="T113" s="421"/>
      <c r="U113" s="421"/>
      <c r="V113" s="421"/>
      <c r="W113" s="421"/>
      <c r="X113" s="421"/>
      <c r="Y113" s="421"/>
      <c r="Z113" s="421"/>
      <c r="AA113" s="421"/>
      <c r="AB113" s="421"/>
      <c r="AC113" s="422"/>
    </row>
    <row r="114" spans="1:29">
      <c r="A114" s="420"/>
      <c r="B114" s="420"/>
      <c r="C114" s="420"/>
      <c r="D114" s="420"/>
      <c r="E114" s="420"/>
      <c r="F114" s="420"/>
      <c r="G114" s="420" t="s">
        <v>569</v>
      </c>
      <c r="H114" s="420" t="s">
        <v>570</v>
      </c>
      <c r="I114" s="420"/>
      <c r="J114" s="420"/>
      <c r="K114" s="421"/>
      <c r="L114" s="421"/>
      <c r="M114" s="421"/>
      <c r="N114" s="421"/>
      <c r="O114" s="421"/>
      <c r="P114" s="421"/>
      <c r="Q114" s="421"/>
      <c r="R114" s="421"/>
      <c r="S114" s="421"/>
      <c r="T114" s="421"/>
      <c r="U114" s="421"/>
      <c r="V114" s="421"/>
      <c r="W114" s="421"/>
      <c r="X114" s="421"/>
      <c r="Y114" s="421"/>
      <c r="Z114" s="421"/>
      <c r="AA114" s="421"/>
      <c r="AB114" s="421"/>
      <c r="AC114" s="422"/>
    </row>
    <row r="115" spans="1:29">
      <c r="A115" s="420"/>
      <c r="B115" s="420"/>
      <c r="C115" s="420"/>
      <c r="D115" s="421" t="s">
        <v>555</v>
      </c>
      <c r="E115" s="421">
        <v>2005</v>
      </c>
      <c r="F115" s="425">
        <f>+H109/12</f>
        <v>931996.56883460283</v>
      </c>
      <c r="G115" s="430">
        <f>+F112</f>
        <v>2.8E-3</v>
      </c>
      <c r="H115" s="421">
        <v>11.5</v>
      </c>
      <c r="I115" s="425">
        <f t="shared" ref="I115:I126" si="9">+H115*G115*F115</f>
        <v>30010.289516474211</v>
      </c>
      <c r="J115" s="425">
        <f t="shared" ref="J115:J126" si="10">+F115+I115</f>
        <v>962006.85835107707</v>
      </c>
      <c r="K115" s="421"/>
      <c r="L115" s="421"/>
      <c r="M115" s="421"/>
      <c r="N115" s="421"/>
      <c r="O115" s="421"/>
      <c r="P115" s="421"/>
      <c r="Q115" s="421"/>
      <c r="R115" s="421"/>
      <c r="S115" s="421"/>
      <c r="T115" s="421"/>
      <c r="U115" s="421"/>
      <c r="V115" s="421"/>
      <c r="W115" s="421"/>
      <c r="X115" s="421"/>
      <c r="Y115" s="421"/>
      <c r="Z115" s="421"/>
      <c r="AA115" s="421"/>
      <c r="AB115" s="421"/>
      <c r="AC115" s="422"/>
    </row>
    <row r="116" spans="1:29">
      <c r="A116" s="420"/>
      <c r="B116" s="420"/>
      <c r="C116" s="420"/>
      <c r="D116" s="421" t="s">
        <v>556</v>
      </c>
      <c r="E116" s="421">
        <f t="shared" ref="E116:G121" si="11">+E115</f>
        <v>2005</v>
      </c>
      <c r="F116" s="429">
        <f t="shared" si="11"/>
        <v>931996.56883460283</v>
      </c>
      <c r="G116" s="435">
        <f t="shared" si="11"/>
        <v>2.8E-3</v>
      </c>
      <c r="H116" s="421">
        <f t="shared" ref="H116:H126" si="12">+H115-1</f>
        <v>10.5</v>
      </c>
      <c r="I116" s="425">
        <f t="shared" si="9"/>
        <v>27400.699123737322</v>
      </c>
      <c r="J116" s="425">
        <f t="shared" si="10"/>
        <v>959397.26795834012</v>
      </c>
      <c r="K116" s="421"/>
      <c r="L116" s="421"/>
      <c r="M116" s="421"/>
      <c r="N116" s="421"/>
      <c r="O116" s="421"/>
      <c r="P116" s="421"/>
      <c r="Q116" s="421"/>
      <c r="R116" s="421"/>
      <c r="S116" s="421"/>
      <c r="T116" s="421"/>
      <c r="U116" s="421"/>
      <c r="V116" s="421"/>
      <c r="W116" s="421"/>
      <c r="X116" s="421"/>
      <c r="Y116" s="421"/>
      <c r="Z116" s="421"/>
      <c r="AA116" s="421"/>
      <c r="AB116" s="421"/>
      <c r="AC116" s="422"/>
    </row>
    <row r="117" spans="1:29">
      <c r="A117" s="420"/>
      <c r="B117" s="420"/>
      <c r="C117" s="420"/>
      <c r="D117" s="421" t="s">
        <v>557</v>
      </c>
      <c r="E117" s="421">
        <f t="shared" si="11"/>
        <v>2005</v>
      </c>
      <c r="F117" s="429">
        <f t="shared" si="11"/>
        <v>931996.56883460283</v>
      </c>
      <c r="G117" s="435">
        <f t="shared" si="11"/>
        <v>2.8E-3</v>
      </c>
      <c r="H117" s="421">
        <f t="shared" si="12"/>
        <v>9.5</v>
      </c>
      <c r="I117" s="425">
        <f t="shared" si="9"/>
        <v>24791.108731000433</v>
      </c>
      <c r="J117" s="425">
        <f t="shared" si="10"/>
        <v>956787.67756560328</v>
      </c>
      <c r="K117" s="421"/>
      <c r="L117" s="421"/>
      <c r="M117" s="421"/>
      <c r="N117" s="421"/>
      <c r="O117" s="421"/>
      <c r="P117" s="421"/>
      <c r="Q117" s="421"/>
      <c r="R117" s="421"/>
      <c r="S117" s="421"/>
      <c r="T117" s="421"/>
      <c r="U117" s="421"/>
      <c r="V117" s="421"/>
      <c r="W117" s="421"/>
      <c r="X117" s="421"/>
      <c r="Y117" s="421"/>
      <c r="Z117" s="421"/>
      <c r="AA117" s="421"/>
      <c r="AB117" s="421"/>
      <c r="AC117" s="422"/>
    </row>
    <row r="118" spans="1:29">
      <c r="A118" s="420"/>
      <c r="B118" s="420"/>
      <c r="C118" s="420"/>
      <c r="D118" s="421" t="s">
        <v>558</v>
      </c>
      <c r="E118" s="421">
        <f t="shared" si="11"/>
        <v>2005</v>
      </c>
      <c r="F118" s="429">
        <f t="shared" si="11"/>
        <v>931996.56883460283</v>
      </c>
      <c r="G118" s="435">
        <f t="shared" si="11"/>
        <v>2.8E-3</v>
      </c>
      <c r="H118" s="421">
        <f t="shared" si="12"/>
        <v>8.5</v>
      </c>
      <c r="I118" s="425">
        <f t="shared" si="9"/>
        <v>22181.518338263544</v>
      </c>
      <c r="J118" s="425">
        <f t="shared" si="10"/>
        <v>954178.08717286633</v>
      </c>
      <c r="K118" s="421"/>
      <c r="L118" s="421"/>
      <c r="M118" s="421"/>
      <c r="N118" s="421"/>
      <c r="O118" s="421"/>
      <c r="P118" s="421"/>
      <c r="Q118" s="421"/>
      <c r="R118" s="421"/>
      <c r="S118" s="421"/>
      <c r="T118" s="421"/>
      <c r="U118" s="421"/>
      <c r="V118" s="421"/>
      <c r="W118" s="421"/>
      <c r="X118" s="421"/>
      <c r="Y118" s="421"/>
      <c r="Z118" s="421"/>
      <c r="AA118" s="421"/>
      <c r="AB118" s="421"/>
      <c r="AC118" s="422"/>
    </row>
    <row r="119" spans="1:29">
      <c r="A119" s="420"/>
      <c r="B119" s="420"/>
      <c r="C119" s="420"/>
      <c r="D119" s="421" t="s">
        <v>559</v>
      </c>
      <c r="E119" s="421">
        <f t="shared" si="11"/>
        <v>2005</v>
      </c>
      <c r="F119" s="429">
        <f t="shared" si="11"/>
        <v>931996.56883460283</v>
      </c>
      <c r="G119" s="435">
        <f t="shared" si="11"/>
        <v>2.8E-3</v>
      </c>
      <c r="H119" s="421">
        <f t="shared" si="12"/>
        <v>7.5</v>
      </c>
      <c r="I119" s="425">
        <f t="shared" si="9"/>
        <v>19571.927945526662</v>
      </c>
      <c r="J119" s="425">
        <f t="shared" si="10"/>
        <v>951568.4967801295</v>
      </c>
      <c r="K119" s="421"/>
      <c r="L119" s="421"/>
      <c r="M119" s="421"/>
      <c r="N119" s="421"/>
      <c r="O119" s="421"/>
      <c r="P119" s="421"/>
      <c r="Q119" s="421"/>
      <c r="R119" s="421"/>
      <c r="S119" s="421"/>
      <c r="T119" s="421"/>
      <c r="U119" s="421"/>
      <c r="V119" s="421"/>
      <c r="W119" s="421"/>
      <c r="X119" s="421"/>
      <c r="Y119" s="421"/>
      <c r="Z119" s="421"/>
      <c r="AA119" s="421"/>
      <c r="AB119" s="421"/>
      <c r="AC119" s="422"/>
    </row>
    <row r="120" spans="1:29">
      <c r="A120" s="420"/>
      <c r="B120" s="420"/>
      <c r="C120" s="420"/>
      <c r="D120" s="421" t="s">
        <v>560</v>
      </c>
      <c r="E120" s="421">
        <f t="shared" si="11"/>
        <v>2005</v>
      </c>
      <c r="F120" s="429">
        <f t="shared" si="11"/>
        <v>931996.56883460283</v>
      </c>
      <c r="G120" s="435">
        <f t="shared" si="11"/>
        <v>2.8E-3</v>
      </c>
      <c r="H120" s="421">
        <f t="shared" si="12"/>
        <v>6.5</v>
      </c>
      <c r="I120" s="425">
        <f t="shared" si="9"/>
        <v>16962.337552789773</v>
      </c>
      <c r="J120" s="425">
        <f t="shared" si="10"/>
        <v>948958.90638739266</v>
      </c>
      <c r="K120" s="421"/>
      <c r="L120" s="421"/>
      <c r="M120" s="421"/>
      <c r="N120" s="421"/>
      <c r="O120" s="421"/>
      <c r="P120" s="421"/>
      <c r="Q120" s="421"/>
      <c r="R120" s="421"/>
      <c r="S120" s="421"/>
      <c r="T120" s="421"/>
      <c r="U120" s="421"/>
      <c r="V120" s="421"/>
      <c r="W120" s="421"/>
      <c r="X120" s="421"/>
      <c r="Y120" s="421"/>
      <c r="Z120" s="421"/>
      <c r="AA120" s="421"/>
      <c r="AB120" s="421"/>
      <c r="AC120" s="422"/>
    </row>
    <row r="121" spans="1:29">
      <c r="A121" s="420"/>
      <c r="B121" s="420"/>
      <c r="C121" s="420"/>
      <c r="D121" s="421" t="s">
        <v>561</v>
      </c>
      <c r="E121" s="421">
        <f t="shared" si="11"/>
        <v>2005</v>
      </c>
      <c r="F121" s="429">
        <f t="shared" si="11"/>
        <v>931996.56883460283</v>
      </c>
      <c r="G121" s="435">
        <f t="shared" si="11"/>
        <v>2.8E-3</v>
      </c>
      <c r="H121" s="421">
        <f t="shared" si="12"/>
        <v>5.5</v>
      </c>
      <c r="I121" s="425">
        <f t="shared" si="9"/>
        <v>14352.747160052884</v>
      </c>
      <c r="J121" s="425">
        <f t="shared" si="10"/>
        <v>946349.31599465571</v>
      </c>
      <c r="K121" s="421"/>
      <c r="L121" s="421"/>
      <c r="M121" s="421"/>
      <c r="N121" s="421"/>
      <c r="O121" s="421"/>
      <c r="P121" s="421"/>
      <c r="Q121" s="421"/>
      <c r="R121" s="421"/>
      <c r="S121" s="421"/>
      <c r="T121" s="421"/>
      <c r="U121" s="421"/>
      <c r="V121" s="421"/>
      <c r="W121" s="421"/>
      <c r="X121" s="421"/>
      <c r="Y121" s="421"/>
      <c r="Z121" s="421"/>
      <c r="AA121" s="421"/>
      <c r="AB121" s="421"/>
      <c r="AC121" s="422"/>
    </row>
    <row r="122" spans="1:29">
      <c r="A122" s="420"/>
      <c r="B122" s="420"/>
      <c r="C122" s="420"/>
      <c r="D122" s="421" t="s">
        <v>551</v>
      </c>
      <c r="E122" s="421">
        <f>+E121+1</f>
        <v>2006</v>
      </c>
      <c r="F122" s="429">
        <f t="shared" ref="F122:G126" si="13">+F121</f>
        <v>931996.56883460283</v>
      </c>
      <c r="G122" s="435">
        <f t="shared" si="13"/>
        <v>2.8E-3</v>
      </c>
      <c r="H122" s="421">
        <f t="shared" si="12"/>
        <v>4.5</v>
      </c>
      <c r="I122" s="425">
        <f t="shared" si="9"/>
        <v>11743.156767315995</v>
      </c>
      <c r="J122" s="425">
        <f t="shared" si="10"/>
        <v>943739.72560191888</v>
      </c>
      <c r="K122" s="421"/>
      <c r="L122" s="421"/>
      <c r="M122" s="421"/>
      <c r="N122" s="421"/>
      <c r="O122" s="421"/>
      <c r="P122" s="421"/>
      <c r="Q122" s="421"/>
      <c r="R122" s="421"/>
      <c r="S122" s="421"/>
      <c r="T122" s="421"/>
      <c r="U122" s="421"/>
      <c r="V122" s="421"/>
      <c r="W122" s="421"/>
      <c r="X122" s="421"/>
      <c r="Y122" s="421"/>
      <c r="Z122" s="421"/>
      <c r="AA122" s="421"/>
      <c r="AB122" s="421"/>
      <c r="AC122" s="422"/>
    </row>
    <row r="123" spans="1:29">
      <c r="A123" s="420"/>
      <c r="B123" s="420"/>
      <c r="C123" s="420"/>
      <c r="D123" s="421" t="s">
        <v>552</v>
      </c>
      <c r="E123" s="421">
        <f>+E122</f>
        <v>2006</v>
      </c>
      <c r="F123" s="429">
        <f t="shared" si="13"/>
        <v>931996.56883460283</v>
      </c>
      <c r="G123" s="435">
        <f t="shared" si="13"/>
        <v>2.8E-3</v>
      </c>
      <c r="H123" s="421">
        <f t="shared" si="12"/>
        <v>3.5</v>
      </c>
      <c r="I123" s="425">
        <f t="shared" si="9"/>
        <v>9133.566374579108</v>
      </c>
      <c r="J123" s="425">
        <f t="shared" si="10"/>
        <v>941130.13520918193</v>
      </c>
      <c r="K123" s="421"/>
      <c r="L123" s="421"/>
      <c r="M123" s="421"/>
      <c r="N123" s="421"/>
      <c r="O123" s="421"/>
      <c r="P123" s="421"/>
      <c r="Q123" s="421"/>
      <c r="R123" s="421"/>
      <c r="S123" s="421"/>
      <c r="T123" s="421"/>
      <c r="U123" s="421"/>
      <c r="V123" s="421"/>
      <c r="W123" s="421"/>
      <c r="X123" s="421"/>
      <c r="Y123" s="421"/>
      <c r="Z123" s="421"/>
      <c r="AA123" s="421"/>
      <c r="AB123" s="421"/>
      <c r="AC123" s="422"/>
    </row>
    <row r="124" spans="1:29">
      <c r="A124" s="420"/>
      <c r="B124" s="420"/>
      <c r="C124" s="420"/>
      <c r="D124" s="421" t="s">
        <v>553</v>
      </c>
      <c r="E124" s="421">
        <f>+E123</f>
        <v>2006</v>
      </c>
      <c r="F124" s="429">
        <f t="shared" si="13"/>
        <v>931996.56883460283</v>
      </c>
      <c r="G124" s="435">
        <f t="shared" si="13"/>
        <v>2.8E-3</v>
      </c>
      <c r="H124" s="421">
        <f t="shared" si="12"/>
        <v>2.5</v>
      </c>
      <c r="I124" s="425">
        <f t="shared" si="9"/>
        <v>6523.9759818422199</v>
      </c>
      <c r="J124" s="425">
        <f t="shared" si="10"/>
        <v>938520.54481644509</v>
      </c>
      <c r="K124" s="421"/>
      <c r="L124" s="421"/>
      <c r="M124" s="421"/>
      <c r="N124" s="421"/>
      <c r="O124" s="421"/>
      <c r="P124" s="421"/>
      <c r="Q124" s="421"/>
      <c r="R124" s="421"/>
      <c r="S124" s="421"/>
      <c r="T124" s="421"/>
      <c r="U124" s="421"/>
      <c r="V124" s="421"/>
      <c r="W124" s="421"/>
      <c r="X124" s="421"/>
      <c r="Y124" s="421"/>
      <c r="Z124" s="421"/>
      <c r="AA124" s="421"/>
      <c r="AB124" s="421"/>
      <c r="AC124" s="422"/>
    </row>
    <row r="125" spans="1:29">
      <c r="A125" s="420"/>
      <c r="B125" s="420"/>
      <c r="C125" s="420"/>
      <c r="D125" s="421" t="s">
        <v>554</v>
      </c>
      <c r="E125" s="421">
        <f>+E124</f>
        <v>2006</v>
      </c>
      <c r="F125" s="429">
        <f t="shared" si="13"/>
        <v>931996.56883460283</v>
      </c>
      <c r="G125" s="435">
        <f t="shared" si="13"/>
        <v>2.8E-3</v>
      </c>
      <c r="H125" s="421">
        <f t="shared" si="12"/>
        <v>1.5</v>
      </c>
      <c r="I125" s="425">
        <f t="shared" si="9"/>
        <v>3914.3855891053317</v>
      </c>
      <c r="J125" s="425">
        <f t="shared" si="10"/>
        <v>935910.95442370814</v>
      </c>
      <c r="K125" s="421"/>
      <c r="L125" s="421"/>
      <c r="M125" s="421"/>
      <c r="N125" s="421"/>
      <c r="O125" s="421"/>
      <c r="P125" s="421"/>
      <c r="Q125" s="421"/>
      <c r="R125" s="421"/>
      <c r="S125" s="421"/>
      <c r="T125" s="421"/>
      <c r="U125" s="421"/>
      <c r="V125" s="421"/>
      <c r="W125" s="421"/>
      <c r="X125" s="421"/>
      <c r="Y125" s="421"/>
      <c r="Z125" s="421"/>
      <c r="AA125" s="421"/>
      <c r="AB125" s="421"/>
      <c r="AC125" s="422"/>
    </row>
    <row r="126" spans="1:29">
      <c r="A126" s="420"/>
      <c r="B126" s="420"/>
      <c r="C126" s="420"/>
      <c r="D126" s="421" t="s">
        <v>547</v>
      </c>
      <c r="E126" s="421">
        <f>+E125</f>
        <v>2006</v>
      </c>
      <c r="F126" s="429">
        <f t="shared" si="13"/>
        <v>931996.56883460283</v>
      </c>
      <c r="G126" s="435">
        <f t="shared" si="13"/>
        <v>2.8E-3</v>
      </c>
      <c r="H126" s="421">
        <f t="shared" si="12"/>
        <v>0.5</v>
      </c>
      <c r="I126" s="425">
        <f t="shared" si="9"/>
        <v>1304.7951963684438</v>
      </c>
      <c r="J126" s="425">
        <f t="shared" si="10"/>
        <v>933301.36403097131</v>
      </c>
      <c r="K126" s="421"/>
      <c r="L126" s="421"/>
      <c r="M126" s="421"/>
      <c r="N126" s="421"/>
      <c r="O126" s="421"/>
      <c r="P126" s="421"/>
      <c r="Q126" s="421"/>
      <c r="R126" s="421"/>
      <c r="S126" s="421"/>
      <c r="T126" s="421"/>
      <c r="U126" s="421"/>
      <c r="V126" s="421"/>
      <c r="W126" s="421"/>
      <c r="X126" s="421"/>
      <c r="Y126" s="421"/>
      <c r="Z126" s="421"/>
      <c r="AA126" s="421"/>
      <c r="AB126" s="421"/>
      <c r="AC126" s="422"/>
    </row>
    <row r="127" spans="1:29">
      <c r="A127" s="420"/>
      <c r="B127" s="420"/>
      <c r="C127" s="420"/>
      <c r="D127" s="421" t="s">
        <v>322</v>
      </c>
      <c r="E127" s="421"/>
      <c r="F127" s="429">
        <f>SUM(F115:F126)</f>
        <v>11183958.826015234</v>
      </c>
      <c r="G127" s="421"/>
      <c r="H127" s="421"/>
      <c r="I127" s="421"/>
      <c r="J127" s="425">
        <f>SUM(J115:J126)</f>
        <v>11371849.334292293</v>
      </c>
      <c r="K127" s="421"/>
      <c r="L127" s="421"/>
      <c r="M127" s="421"/>
      <c r="N127" s="421"/>
      <c r="O127" s="421"/>
      <c r="P127" s="421"/>
      <c r="Q127" s="421"/>
      <c r="R127" s="421"/>
      <c r="S127" s="421"/>
      <c r="T127" s="421"/>
      <c r="U127" s="421"/>
      <c r="V127" s="421"/>
      <c r="W127" s="421"/>
      <c r="X127" s="421"/>
      <c r="Y127" s="421"/>
      <c r="Z127" s="421"/>
      <c r="AA127" s="421"/>
      <c r="AB127" s="421"/>
      <c r="AC127" s="422"/>
    </row>
    <row r="128" spans="1:29">
      <c r="A128" s="420"/>
      <c r="B128" s="420"/>
      <c r="C128" s="420"/>
      <c r="D128" s="421"/>
      <c r="E128" s="421"/>
      <c r="F128" s="429"/>
      <c r="G128" s="421"/>
      <c r="H128" s="421"/>
      <c r="I128" s="421"/>
      <c r="J128" s="425"/>
      <c r="K128" s="429"/>
      <c r="L128" s="421"/>
      <c r="M128" s="421"/>
      <c r="N128" s="421"/>
      <c r="O128" s="421"/>
      <c r="P128" s="421"/>
      <c r="Q128" s="421"/>
      <c r="R128" s="421"/>
      <c r="S128" s="421"/>
      <c r="T128" s="421"/>
      <c r="U128" s="421"/>
      <c r="V128" s="421"/>
      <c r="W128" s="421"/>
      <c r="X128" s="421"/>
      <c r="Y128" s="421"/>
      <c r="Z128" s="421"/>
      <c r="AA128" s="421"/>
      <c r="AB128" s="421"/>
      <c r="AC128" s="422"/>
    </row>
    <row r="129" spans="1:29">
      <c r="A129" s="420"/>
      <c r="B129" s="420"/>
      <c r="C129" s="420"/>
      <c r="D129" s="421"/>
      <c r="E129" s="421"/>
      <c r="F129" s="434" t="s">
        <v>571</v>
      </c>
      <c r="G129" s="420" t="s">
        <v>567</v>
      </c>
      <c r="H129" s="420" t="s">
        <v>572</v>
      </c>
      <c r="I129" s="420" t="s">
        <v>571</v>
      </c>
      <c r="J129" s="421"/>
      <c r="K129" s="429"/>
      <c r="L129" s="421"/>
      <c r="M129" s="421"/>
      <c r="N129" s="421"/>
      <c r="O129" s="421"/>
      <c r="P129" s="421"/>
      <c r="Q129" s="421"/>
      <c r="R129" s="421"/>
      <c r="S129" s="421"/>
      <c r="T129" s="421"/>
      <c r="U129" s="421"/>
      <c r="V129" s="421"/>
      <c r="W129" s="421"/>
      <c r="X129" s="421"/>
      <c r="Y129" s="421"/>
      <c r="Z129" s="421"/>
      <c r="AA129" s="421"/>
      <c r="AB129" s="421"/>
      <c r="AC129" s="422"/>
    </row>
    <row r="130" spans="1:29">
      <c r="A130" s="420"/>
      <c r="B130" s="420"/>
      <c r="C130" s="420"/>
      <c r="D130" s="421" t="str">
        <f t="shared" ref="D130:D141" si="14">+D115</f>
        <v>Jun</v>
      </c>
      <c r="E130" s="421">
        <f>+E126</f>
        <v>2006</v>
      </c>
      <c r="F130" s="429">
        <f>+J127</f>
        <v>11371849.334292293</v>
      </c>
      <c r="G130" s="435">
        <f>+G126</f>
        <v>2.8E-3</v>
      </c>
      <c r="H130" s="425">
        <f>-PMT(G130,12,J127)</f>
        <v>964989.82678932359</v>
      </c>
      <c r="I130" s="425">
        <f t="shared" ref="I130:I141" si="15">+F130+F130*G130-H130</f>
        <v>10438700.685638988</v>
      </c>
      <c r="J130" s="421"/>
      <c r="K130" s="429"/>
      <c r="L130" s="421"/>
      <c r="M130" s="421"/>
      <c r="N130" s="421"/>
      <c r="O130" s="421"/>
      <c r="P130" s="421"/>
      <c r="Q130" s="421"/>
      <c r="R130" s="421"/>
      <c r="S130" s="421"/>
      <c r="T130" s="421"/>
      <c r="U130" s="421"/>
      <c r="V130" s="421"/>
      <c r="W130" s="421"/>
      <c r="X130" s="421"/>
      <c r="Y130" s="421"/>
      <c r="Z130" s="421"/>
      <c r="AA130" s="421"/>
      <c r="AB130" s="421"/>
      <c r="AC130" s="422"/>
    </row>
    <row r="131" spans="1:29">
      <c r="A131" s="420"/>
      <c r="B131" s="420"/>
      <c r="C131" s="420"/>
      <c r="D131" s="421" t="str">
        <f t="shared" si="14"/>
        <v>Jul</v>
      </c>
      <c r="E131" s="421">
        <f t="shared" ref="E131:E136" si="16">+E130</f>
        <v>2006</v>
      </c>
      <c r="F131" s="429">
        <f t="shared" ref="F131:F141" si="17">+I130</f>
        <v>10438700.685638988</v>
      </c>
      <c r="G131" s="435">
        <f t="shared" ref="G131:G141" si="18">+G130</f>
        <v>2.8E-3</v>
      </c>
      <c r="H131" s="429">
        <f t="shared" ref="H131:H141" si="19">+H130</f>
        <v>964989.82678932359</v>
      </c>
      <c r="I131" s="425">
        <f t="shared" si="15"/>
        <v>9502939.2207694538</v>
      </c>
      <c r="J131" s="421"/>
      <c r="K131" s="421"/>
      <c r="L131" s="421"/>
      <c r="M131" s="421"/>
      <c r="N131" s="421"/>
      <c r="O131" s="421"/>
      <c r="P131" s="421"/>
      <c r="Q131" s="421"/>
      <c r="R131" s="421"/>
      <c r="S131" s="421"/>
      <c r="T131" s="421"/>
      <c r="U131" s="421"/>
      <c r="V131" s="421"/>
      <c r="W131" s="421"/>
      <c r="X131" s="421"/>
      <c r="Y131" s="421"/>
      <c r="Z131" s="421"/>
      <c r="AA131" s="421"/>
      <c r="AB131" s="421"/>
      <c r="AC131" s="422"/>
    </row>
    <row r="132" spans="1:29">
      <c r="A132" s="420"/>
      <c r="B132" s="420"/>
      <c r="C132" s="420"/>
      <c r="D132" s="421" t="str">
        <f t="shared" si="14"/>
        <v>Aug</v>
      </c>
      <c r="E132" s="421">
        <f t="shared" si="16"/>
        <v>2006</v>
      </c>
      <c r="F132" s="429">
        <f t="shared" si="17"/>
        <v>9502939.2207694538</v>
      </c>
      <c r="G132" s="435">
        <f t="shared" si="18"/>
        <v>2.8E-3</v>
      </c>
      <c r="H132" s="429">
        <f t="shared" si="19"/>
        <v>964989.82678932359</v>
      </c>
      <c r="I132" s="425">
        <f t="shared" si="15"/>
        <v>8564557.6237982847</v>
      </c>
      <c r="J132" s="421"/>
      <c r="K132" s="421"/>
      <c r="L132" s="421"/>
      <c r="M132" s="421"/>
      <c r="N132" s="421"/>
      <c r="O132" s="421"/>
      <c r="P132" s="421"/>
      <c r="Q132" s="421"/>
      <c r="R132" s="421"/>
      <c r="S132" s="421"/>
      <c r="T132" s="421"/>
      <c r="U132" s="421"/>
      <c r="V132" s="421"/>
      <c r="W132" s="421"/>
      <c r="X132" s="421"/>
      <c r="Y132" s="421"/>
      <c r="Z132" s="421"/>
      <c r="AA132" s="421"/>
      <c r="AB132" s="421"/>
      <c r="AC132" s="422"/>
    </row>
    <row r="133" spans="1:29">
      <c r="A133" s="420"/>
      <c r="B133" s="420"/>
      <c r="C133" s="420"/>
      <c r="D133" s="421" t="str">
        <f t="shared" si="14"/>
        <v>Sep</v>
      </c>
      <c r="E133" s="421">
        <f t="shared" si="16"/>
        <v>2006</v>
      </c>
      <c r="F133" s="429">
        <f t="shared" si="17"/>
        <v>8564557.6237982847</v>
      </c>
      <c r="G133" s="435">
        <f t="shared" si="18"/>
        <v>2.8E-3</v>
      </c>
      <c r="H133" s="429">
        <f t="shared" si="19"/>
        <v>964989.82678932359</v>
      </c>
      <c r="I133" s="425">
        <f t="shared" si="15"/>
        <v>7623548.5583555959</v>
      </c>
      <c r="J133" s="421"/>
      <c r="K133" s="436"/>
      <c r="L133" s="421"/>
      <c r="M133" s="421"/>
      <c r="N133" s="421"/>
      <c r="O133" s="421"/>
      <c r="P133" s="421"/>
      <c r="Q133" s="421"/>
      <c r="R133" s="421"/>
      <c r="S133" s="421"/>
      <c r="T133" s="421"/>
      <c r="U133" s="421"/>
      <c r="V133" s="421"/>
      <c r="W133" s="421"/>
      <c r="X133" s="421"/>
      <c r="Y133" s="421"/>
      <c r="Z133" s="421"/>
      <c r="AA133" s="421"/>
      <c r="AB133" s="421"/>
      <c r="AC133" s="422"/>
    </row>
    <row r="134" spans="1:29">
      <c r="A134" s="420"/>
      <c r="B134" s="420"/>
      <c r="C134" s="420"/>
      <c r="D134" s="421" t="str">
        <f t="shared" si="14"/>
        <v>Oct</v>
      </c>
      <c r="E134" s="421">
        <f t="shared" si="16"/>
        <v>2006</v>
      </c>
      <c r="F134" s="429">
        <f t="shared" si="17"/>
        <v>7623548.5583555959</v>
      </c>
      <c r="G134" s="435">
        <f t="shared" si="18"/>
        <v>2.8E-3</v>
      </c>
      <c r="H134" s="429">
        <f t="shared" si="19"/>
        <v>964989.82678932359</v>
      </c>
      <c r="I134" s="425">
        <f t="shared" si="15"/>
        <v>6679904.6675296687</v>
      </c>
      <c r="J134" s="421"/>
      <c r="K134" s="435"/>
      <c r="L134" s="421"/>
      <c r="M134" s="421"/>
      <c r="N134" s="421"/>
      <c r="O134" s="421"/>
      <c r="P134" s="421"/>
      <c r="Q134" s="421"/>
      <c r="R134" s="421"/>
      <c r="S134" s="421"/>
      <c r="T134" s="421"/>
      <c r="U134" s="421"/>
      <c r="V134" s="421"/>
      <c r="W134" s="421"/>
      <c r="X134" s="421"/>
      <c r="Y134" s="421"/>
      <c r="Z134" s="421"/>
      <c r="AA134" s="421"/>
      <c r="AB134" s="421"/>
      <c r="AC134" s="422"/>
    </row>
    <row r="135" spans="1:29">
      <c r="A135" s="420"/>
      <c r="B135" s="420"/>
      <c r="C135" s="420"/>
      <c r="D135" s="421" t="str">
        <f t="shared" si="14"/>
        <v>Nov</v>
      </c>
      <c r="E135" s="421">
        <f t="shared" si="16"/>
        <v>2006</v>
      </c>
      <c r="F135" s="429">
        <f t="shared" si="17"/>
        <v>6679904.6675296687</v>
      </c>
      <c r="G135" s="435">
        <f t="shared" si="18"/>
        <v>2.8E-3</v>
      </c>
      <c r="H135" s="429">
        <f t="shared" si="19"/>
        <v>964989.82678932359</v>
      </c>
      <c r="I135" s="425">
        <f t="shared" si="15"/>
        <v>5733618.5738094281</v>
      </c>
      <c r="J135" s="421"/>
      <c r="K135" s="421"/>
      <c r="L135" s="421"/>
      <c r="M135" s="421"/>
      <c r="N135" s="421"/>
      <c r="O135" s="421"/>
      <c r="P135" s="421"/>
      <c r="Q135" s="421"/>
      <c r="R135" s="421"/>
      <c r="S135" s="421"/>
      <c r="T135" s="421"/>
      <c r="U135" s="421"/>
      <c r="V135" s="421"/>
      <c r="W135" s="421"/>
      <c r="X135" s="421"/>
      <c r="Y135" s="421"/>
      <c r="Z135" s="421"/>
      <c r="AA135" s="421"/>
      <c r="AB135" s="421"/>
      <c r="AC135" s="422"/>
    </row>
    <row r="136" spans="1:29">
      <c r="A136" s="420"/>
      <c r="B136" s="420"/>
      <c r="C136" s="420"/>
      <c r="D136" s="421" t="str">
        <f t="shared" si="14"/>
        <v>Dec</v>
      </c>
      <c r="E136" s="421">
        <f t="shared" si="16"/>
        <v>2006</v>
      </c>
      <c r="F136" s="429">
        <f t="shared" si="17"/>
        <v>5733618.5738094281</v>
      </c>
      <c r="G136" s="435">
        <f t="shared" si="18"/>
        <v>2.8E-3</v>
      </c>
      <c r="H136" s="429">
        <f t="shared" si="19"/>
        <v>964989.82678932359</v>
      </c>
      <c r="I136" s="425">
        <f t="shared" si="15"/>
        <v>4784682.8790267715</v>
      </c>
      <c r="J136" s="421"/>
      <c r="K136" s="421"/>
      <c r="L136" s="421"/>
      <c r="M136" s="421"/>
      <c r="N136" s="421"/>
      <c r="O136" s="421"/>
      <c r="P136" s="421"/>
      <c r="Q136" s="421"/>
      <c r="R136" s="421"/>
      <c r="S136" s="421"/>
      <c r="T136" s="421"/>
      <c r="U136" s="421"/>
      <c r="V136" s="421"/>
      <c r="W136" s="421"/>
      <c r="X136" s="421"/>
      <c r="Y136" s="421"/>
      <c r="Z136" s="421"/>
      <c r="AA136" s="421"/>
      <c r="AB136" s="421"/>
      <c r="AC136" s="422"/>
    </row>
    <row r="137" spans="1:29">
      <c r="A137" s="420"/>
      <c r="B137" s="420"/>
      <c r="C137" s="420"/>
      <c r="D137" s="421" t="str">
        <f t="shared" si="14"/>
        <v>Jan</v>
      </c>
      <c r="E137" s="421">
        <f>+E136+1</f>
        <v>2007</v>
      </c>
      <c r="F137" s="429">
        <f t="shared" si="17"/>
        <v>4784682.8790267715</v>
      </c>
      <c r="G137" s="435">
        <f t="shared" si="18"/>
        <v>2.8E-3</v>
      </c>
      <c r="H137" s="429">
        <f t="shared" si="19"/>
        <v>964989.82678932359</v>
      </c>
      <c r="I137" s="425">
        <f t="shared" si="15"/>
        <v>3833090.164298723</v>
      </c>
      <c r="J137" s="421"/>
      <c r="K137" s="421"/>
      <c r="L137" s="421"/>
      <c r="M137" s="421"/>
      <c r="N137" s="421"/>
      <c r="O137" s="421"/>
      <c r="P137" s="421"/>
      <c r="Q137" s="421"/>
      <c r="R137" s="421"/>
      <c r="S137" s="421"/>
      <c r="T137" s="421"/>
      <c r="U137" s="421"/>
      <c r="V137" s="421"/>
      <c r="W137" s="421"/>
      <c r="X137" s="421"/>
      <c r="Y137" s="421"/>
      <c r="Z137" s="421"/>
      <c r="AA137" s="421"/>
      <c r="AB137" s="421"/>
      <c r="AC137" s="422"/>
    </row>
    <row r="138" spans="1:29">
      <c r="A138" s="420"/>
      <c r="B138" s="420"/>
      <c r="C138" s="420"/>
      <c r="D138" s="421" t="str">
        <f t="shared" si="14"/>
        <v>Feb</v>
      </c>
      <c r="E138" s="421">
        <f>+E137</f>
        <v>2007</v>
      </c>
      <c r="F138" s="429">
        <f t="shared" si="17"/>
        <v>3833090.164298723</v>
      </c>
      <c r="G138" s="435">
        <f t="shared" si="18"/>
        <v>2.8E-3</v>
      </c>
      <c r="H138" s="429">
        <f t="shared" si="19"/>
        <v>964989.82678932359</v>
      </c>
      <c r="I138" s="425">
        <f t="shared" si="15"/>
        <v>2878832.9899694356</v>
      </c>
      <c r="J138" s="421"/>
      <c r="K138" s="421"/>
      <c r="L138" s="421"/>
      <c r="M138" s="421"/>
      <c r="N138" s="421"/>
      <c r="O138" s="421"/>
      <c r="P138" s="421"/>
      <c r="Q138" s="421"/>
      <c r="R138" s="421"/>
      <c r="S138" s="421"/>
      <c r="T138" s="421"/>
      <c r="U138" s="421"/>
      <c r="V138" s="421"/>
      <c r="W138" s="421"/>
      <c r="X138" s="421"/>
      <c r="Y138" s="421"/>
      <c r="Z138" s="421"/>
      <c r="AA138" s="421"/>
      <c r="AB138" s="421"/>
      <c r="AC138" s="422"/>
    </row>
    <row r="139" spans="1:29">
      <c r="A139" s="420"/>
      <c r="B139" s="420"/>
      <c r="C139" s="420"/>
      <c r="D139" s="421" t="str">
        <f t="shared" si="14"/>
        <v>Mar</v>
      </c>
      <c r="E139" s="421">
        <f>+E138</f>
        <v>2007</v>
      </c>
      <c r="F139" s="429">
        <f t="shared" si="17"/>
        <v>2878832.9899694356</v>
      </c>
      <c r="G139" s="435">
        <f t="shared" si="18"/>
        <v>2.8E-3</v>
      </c>
      <c r="H139" s="429">
        <f t="shared" si="19"/>
        <v>964989.82678932359</v>
      </c>
      <c r="I139" s="425">
        <f t="shared" si="15"/>
        <v>1921903.8955520261</v>
      </c>
      <c r="J139" s="421"/>
      <c r="K139" s="421"/>
      <c r="L139" s="421"/>
      <c r="M139" s="421"/>
      <c r="N139" s="421"/>
      <c r="O139" s="421"/>
      <c r="P139" s="421"/>
      <c r="Q139" s="421"/>
      <c r="R139" s="421"/>
      <c r="S139" s="421"/>
      <c r="T139" s="421"/>
      <c r="U139" s="421"/>
      <c r="V139" s="421"/>
      <c r="W139" s="421"/>
      <c r="X139" s="421"/>
      <c r="Y139" s="421"/>
      <c r="Z139" s="421"/>
      <c r="AA139" s="421"/>
      <c r="AB139" s="421"/>
      <c r="AC139" s="422"/>
    </row>
    <row r="140" spans="1:29">
      <c r="A140" s="420"/>
      <c r="B140" s="420"/>
      <c r="C140" s="420"/>
      <c r="D140" s="421" t="str">
        <f t="shared" si="14"/>
        <v>Apr</v>
      </c>
      <c r="E140" s="421">
        <f>+E139</f>
        <v>2007</v>
      </c>
      <c r="F140" s="429">
        <f t="shared" si="17"/>
        <v>1921903.8955520261</v>
      </c>
      <c r="G140" s="435">
        <f t="shared" si="18"/>
        <v>2.8E-3</v>
      </c>
      <c r="H140" s="429">
        <f t="shared" si="19"/>
        <v>964989.82678932359</v>
      </c>
      <c r="I140" s="425">
        <f t="shared" si="15"/>
        <v>962295.39967024827</v>
      </c>
      <c r="J140" s="421"/>
      <c r="K140" s="421"/>
      <c r="L140" s="421"/>
      <c r="M140" s="421"/>
      <c r="N140" s="421"/>
      <c r="O140" s="421"/>
      <c r="P140" s="421"/>
      <c r="Q140" s="421"/>
      <c r="R140" s="421"/>
      <c r="S140" s="421"/>
      <c r="T140" s="421"/>
      <c r="U140" s="421"/>
      <c r="V140" s="421"/>
      <c r="W140" s="421"/>
      <c r="X140" s="421"/>
      <c r="Y140" s="421"/>
      <c r="Z140" s="421"/>
      <c r="AA140" s="421"/>
      <c r="AB140" s="421"/>
      <c r="AC140" s="422"/>
    </row>
    <row r="141" spans="1:29">
      <c r="A141" s="420"/>
      <c r="B141" s="420"/>
      <c r="C141" s="420"/>
      <c r="D141" s="421" t="str">
        <f t="shared" si="14"/>
        <v>May</v>
      </c>
      <c r="E141" s="421">
        <f>+E140</f>
        <v>2007</v>
      </c>
      <c r="F141" s="429">
        <f t="shared" si="17"/>
        <v>962295.39967024827</v>
      </c>
      <c r="G141" s="435">
        <f t="shared" si="18"/>
        <v>2.8E-3</v>
      </c>
      <c r="H141" s="429">
        <f t="shared" si="19"/>
        <v>964989.82678932359</v>
      </c>
      <c r="I141" s="425">
        <f t="shared" si="15"/>
        <v>1.3969838619232178E-9</v>
      </c>
      <c r="J141" s="421"/>
      <c r="K141" s="421"/>
      <c r="L141" s="421"/>
      <c r="M141" s="421"/>
      <c r="N141" s="421"/>
      <c r="O141" s="421"/>
      <c r="P141" s="421"/>
      <c r="Q141" s="421"/>
      <c r="R141" s="421"/>
      <c r="S141" s="421"/>
      <c r="T141" s="421"/>
      <c r="U141" s="421"/>
      <c r="V141" s="421"/>
      <c r="W141" s="421"/>
      <c r="X141" s="421"/>
      <c r="Y141" s="421"/>
      <c r="Z141" s="421"/>
      <c r="AA141" s="421"/>
      <c r="AB141" s="421"/>
      <c r="AC141" s="422"/>
    </row>
    <row r="142" spans="1:29">
      <c r="A142" s="420"/>
      <c r="B142" s="420"/>
      <c r="C142" s="420"/>
      <c r="D142" s="421" t="s">
        <v>621</v>
      </c>
      <c r="E142" s="421"/>
      <c r="F142" s="421"/>
      <c r="G142" s="421"/>
      <c r="H142" s="429">
        <f>SUM(H130:H141)</f>
        <v>11579877.921471881</v>
      </c>
      <c r="I142" s="421"/>
      <c r="J142" s="421"/>
      <c r="K142" s="421"/>
      <c r="L142" s="421"/>
      <c r="M142" s="421"/>
      <c r="N142" s="421"/>
      <c r="O142" s="421"/>
      <c r="P142" s="421"/>
      <c r="Q142" s="421"/>
      <c r="R142" s="421"/>
      <c r="S142" s="421"/>
      <c r="T142" s="421"/>
      <c r="U142" s="421"/>
      <c r="V142" s="421"/>
      <c r="W142" s="421"/>
      <c r="X142" s="421"/>
      <c r="Y142" s="421"/>
      <c r="Z142" s="421"/>
      <c r="AA142" s="421"/>
      <c r="AB142" s="421"/>
      <c r="AC142" s="422"/>
    </row>
    <row r="143" spans="1:29">
      <c r="A143" s="420"/>
      <c r="B143" s="420"/>
      <c r="C143" s="420"/>
      <c r="D143" s="421"/>
      <c r="E143" s="421"/>
      <c r="F143" s="421"/>
      <c r="G143" s="421"/>
      <c r="H143" s="421"/>
      <c r="I143" s="421"/>
      <c r="J143" s="421"/>
      <c r="K143" s="421"/>
      <c r="L143" s="421"/>
      <c r="M143" s="421"/>
      <c r="N143" s="421"/>
      <c r="O143" s="421"/>
      <c r="P143" s="421"/>
      <c r="Q143" s="421"/>
      <c r="R143" s="421"/>
      <c r="S143" s="421"/>
      <c r="T143" s="421"/>
      <c r="U143" s="421"/>
      <c r="V143" s="421"/>
      <c r="W143" s="421"/>
      <c r="X143" s="421"/>
      <c r="Y143" s="421"/>
      <c r="Z143" s="421"/>
      <c r="AA143" s="421"/>
      <c r="AB143" s="421"/>
      <c r="AC143" s="422"/>
    </row>
    <row r="144" spans="1:29">
      <c r="B144" s="420"/>
      <c r="C144" s="420"/>
      <c r="D144" s="448" t="s">
        <v>638</v>
      </c>
      <c r="E144" s="420"/>
      <c r="G144" s="420"/>
      <c r="H144" s="429">
        <f>+H142</f>
        <v>11579877.921471881</v>
      </c>
      <c r="I144" s="420"/>
      <c r="J144" s="429"/>
      <c r="K144" s="429"/>
      <c r="L144" s="421"/>
      <c r="M144" s="421"/>
      <c r="N144" s="421"/>
      <c r="O144" s="421"/>
      <c r="P144" s="421"/>
      <c r="Q144" s="421"/>
      <c r="R144" s="421"/>
      <c r="S144" s="421"/>
      <c r="T144" s="421"/>
      <c r="U144" s="421"/>
      <c r="V144" s="421"/>
      <c r="W144" s="421"/>
      <c r="X144" s="421"/>
      <c r="Y144" s="421"/>
      <c r="Z144" s="421"/>
      <c r="AA144" s="421"/>
      <c r="AB144" s="421"/>
      <c r="AC144" s="422"/>
    </row>
    <row r="145" spans="1:29">
      <c r="A145" s="1324"/>
      <c r="B145" s="420"/>
      <c r="C145" s="420"/>
      <c r="D145" s="1330"/>
      <c r="E145" s="1331"/>
      <c r="F145" s="1332"/>
      <c r="G145" s="1333" t="s">
        <v>1221</v>
      </c>
      <c r="H145" s="1334">
        <v>0</v>
      </c>
      <c r="I145" s="420"/>
      <c r="J145" s="429"/>
      <c r="K145" s="429"/>
      <c r="L145" s="421"/>
      <c r="M145" s="421"/>
      <c r="N145" s="421"/>
      <c r="O145" s="421"/>
      <c r="P145" s="421"/>
      <c r="Q145" s="421"/>
      <c r="R145" s="421"/>
      <c r="S145" s="421"/>
      <c r="T145" s="421"/>
      <c r="U145" s="421"/>
      <c r="V145" s="421"/>
      <c r="W145" s="421"/>
      <c r="X145" s="421"/>
      <c r="Y145" s="421"/>
      <c r="Z145" s="421"/>
      <c r="AA145" s="421"/>
      <c r="AB145" s="421"/>
      <c r="AC145" s="422"/>
    </row>
    <row r="146" spans="1:29">
      <c r="A146" s="1324"/>
      <c r="B146" s="420"/>
      <c r="C146" s="420"/>
      <c r="D146" s="1330"/>
      <c r="E146" s="1331"/>
      <c r="F146" s="1332"/>
      <c r="G146" s="1331" t="s">
        <v>1222</v>
      </c>
      <c r="H146" s="428">
        <f>+H144+H145</f>
        <v>11579877.921471881</v>
      </c>
      <c r="I146" s="420"/>
      <c r="J146" s="429"/>
      <c r="K146" s="429"/>
      <c r="L146" s="421"/>
      <c r="M146" s="421"/>
      <c r="N146" s="421"/>
      <c r="O146" s="421"/>
      <c r="P146" s="421"/>
      <c r="Q146" s="421"/>
      <c r="R146" s="421"/>
      <c r="S146" s="421"/>
      <c r="T146" s="421"/>
      <c r="U146" s="421"/>
      <c r="V146" s="421"/>
      <c r="W146" s="421"/>
      <c r="X146" s="421"/>
      <c r="Y146" s="421"/>
      <c r="Z146" s="421"/>
      <c r="AA146" s="421"/>
      <c r="AB146" s="421"/>
      <c r="AC146" s="422"/>
    </row>
    <row r="147" spans="1:29">
      <c r="B147" s="420"/>
      <c r="C147" s="420"/>
      <c r="D147" s="448" t="s">
        <v>259</v>
      </c>
      <c r="E147" s="420"/>
      <c r="G147" s="420"/>
      <c r="H147" s="521">
        <v>0</v>
      </c>
      <c r="I147" s="523" t="s">
        <v>643</v>
      </c>
      <c r="J147" s="445"/>
      <c r="K147" s="421"/>
      <c r="L147" s="421"/>
      <c r="M147" s="421"/>
      <c r="N147" s="421"/>
      <c r="O147" s="421"/>
      <c r="P147" s="421"/>
      <c r="Q147" s="421"/>
      <c r="R147" s="421"/>
      <c r="S147" s="421"/>
      <c r="T147" s="421"/>
      <c r="U147" s="421"/>
      <c r="V147" s="421"/>
      <c r="W147" s="421"/>
      <c r="X147" s="421"/>
      <c r="Y147" s="421"/>
      <c r="Z147" s="421"/>
      <c r="AA147" s="421"/>
      <c r="AB147" s="421"/>
      <c r="AC147" s="422"/>
    </row>
    <row r="148" spans="1:29">
      <c r="B148" s="420"/>
      <c r="C148" s="420"/>
      <c r="D148" s="448" t="s">
        <v>258</v>
      </c>
      <c r="E148" s="420"/>
      <c r="G148" s="420"/>
      <c r="H148" s="429">
        <v>0</v>
      </c>
      <c r="I148" s="520"/>
      <c r="J148" s="445"/>
      <c r="K148" s="421"/>
      <c r="L148" s="421"/>
      <c r="M148" s="421"/>
      <c r="N148" s="421"/>
      <c r="O148" s="421"/>
      <c r="P148" s="421"/>
      <c r="Q148" s="421"/>
      <c r="R148" s="421"/>
      <c r="S148" s="421"/>
      <c r="T148" s="421"/>
      <c r="U148" s="421"/>
      <c r="V148" s="421"/>
      <c r="W148" s="421"/>
      <c r="X148" s="421"/>
      <c r="Y148" s="421"/>
      <c r="Z148" s="421"/>
      <c r="AA148" s="421"/>
      <c r="AB148" s="421"/>
      <c r="AC148" s="422"/>
    </row>
    <row r="149" spans="1:29">
      <c r="B149" s="420"/>
      <c r="C149" s="420"/>
      <c r="D149" s="431"/>
      <c r="E149" s="420"/>
      <c r="G149" s="420"/>
      <c r="H149" s="445"/>
      <c r="I149" s="960"/>
      <c r="J149" s="445"/>
      <c r="K149" s="421"/>
      <c r="L149" s="421"/>
      <c r="M149" s="421"/>
      <c r="N149" s="421"/>
      <c r="O149" s="421"/>
      <c r="P149" s="421"/>
      <c r="Q149" s="421"/>
      <c r="R149" s="421"/>
      <c r="S149" s="421"/>
      <c r="T149" s="421"/>
      <c r="U149" s="421"/>
      <c r="V149" s="421"/>
      <c r="W149" s="421"/>
      <c r="X149" s="421"/>
      <c r="Y149" s="421"/>
      <c r="Z149" s="421"/>
      <c r="AA149" s="421"/>
      <c r="AB149" s="421"/>
      <c r="AC149" s="422"/>
    </row>
    <row r="150" spans="1:29">
      <c r="A150" s="420"/>
      <c r="B150" s="420"/>
      <c r="C150" s="420"/>
      <c r="D150" s="431"/>
      <c r="E150" s="420"/>
      <c r="F150" s="429"/>
      <c r="G150" s="420"/>
      <c r="H150" s="445"/>
      <c r="I150" s="923"/>
      <c r="J150" s="445"/>
      <c r="K150" s="421"/>
      <c r="L150" s="421"/>
      <c r="M150" s="421"/>
      <c r="N150" s="421"/>
      <c r="O150" s="421"/>
      <c r="P150" s="421"/>
      <c r="Q150" s="421"/>
      <c r="R150" s="421"/>
      <c r="S150" s="421"/>
      <c r="T150" s="421"/>
      <c r="U150" s="421"/>
      <c r="V150" s="421"/>
      <c r="W150" s="421"/>
      <c r="X150" s="421"/>
      <c r="Y150" s="421"/>
      <c r="Z150" s="421"/>
      <c r="AA150" s="421"/>
      <c r="AB150" s="421"/>
      <c r="AC150" s="422"/>
    </row>
    <row r="151" spans="1:29">
      <c r="A151" s="420">
        <f>A20</f>
        <v>10</v>
      </c>
      <c r="B151" s="420" t="str">
        <f>B20</f>
        <v>May</v>
      </c>
      <c r="C151" s="420" t="str">
        <f>C20</f>
        <v>Year 3</v>
      </c>
      <c r="D151" s="548" t="str">
        <f>D20</f>
        <v>Post results of Step 9 on PJM web site</v>
      </c>
      <c r="E151" s="421"/>
      <c r="F151" s="421"/>
      <c r="G151" s="421"/>
      <c r="H151" s="425"/>
      <c r="I151" s="923"/>
      <c r="J151" s="440"/>
      <c r="K151" s="421"/>
      <c r="L151" s="421"/>
      <c r="M151" s="421"/>
      <c r="N151" s="421"/>
      <c r="O151" s="421"/>
      <c r="P151" s="421"/>
      <c r="Q151" s="421"/>
      <c r="R151" s="421"/>
      <c r="S151" s="421"/>
      <c r="T151" s="421"/>
      <c r="U151" s="421"/>
      <c r="V151" s="421"/>
      <c r="W151" s="421"/>
      <c r="X151" s="421"/>
      <c r="Y151" s="421"/>
      <c r="Z151" s="421"/>
      <c r="AA151" s="421"/>
      <c r="AB151" s="421"/>
      <c r="AC151" s="422"/>
    </row>
    <row r="152" spans="1:29">
      <c r="A152" s="420"/>
      <c r="B152" s="420"/>
      <c r="C152" s="420"/>
      <c r="D152" s="426">
        <f>+H148</f>
        <v>0</v>
      </c>
      <c r="E152" s="421" t="str">
        <f>+D48</f>
        <v>Post On PJM Web Site Rev Req and Formula with Exhibits</v>
      </c>
      <c r="F152" s="421"/>
      <c r="G152" s="421"/>
      <c r="H152" s="425"/>
      <c r="I152" s="440"/>
      <c r="J152" s="440"/>
      <c r="K152" s="421"/>
      <c r="L152" s="421"/>
      <c r="M152" s="421"/>
      <c r="N152" s="421"/>
      <c r="O152" s="421"/>
      <c r="P152" s="421"/>
      <c r="Q152" s="421"/>
      <c r="R152" s="421"/>
      <c r="S152" s="421"/>
      <c r="T152" s="421"/>
      <c r="U152" s="421"/>
      <c r="V152" s="421"/>
      <c r="W152" s="421"/>
      <c r="X152" s="421"/>
      <c r="Y152" s="421"/>
      <c r="Z152" s="421"/>
      <c r="AA152" s="421"/>
      <c r="AB152" s="421"/>
      <c r="AC152" s="422"/>
    </row>
    <row r="153" spans="1:29">
      <c r="A153" s="420"/>
      <c r="B153" s="420"/>
      <c r="C153" s="420"/>
      <c r="D153" s="432"/>
      <c r="E153" s="431"/>
      <c r="F153" s="421"/>
      <c r="G153" s="421"/>
      <c r="H153" s="421"/>
      <c r="I153" s="440"/>
      <c r="J153" s="440"/>
      <c r="K153" s="421"/>
      <c r="L153" s="421"/>
      <c r="M153" s="421"/>
      <c r="N153" s="421"/>
      <c r="O153" s="421"/>
      <c r="P153" s="421"/>
      <c r="Q153" s="421"/>
      <c r="R153" s="421"/>
      <c r="S153" s="421"/>
      <c r="T153" s="421"/>
      <c r="U153" s="421"/>
      <c r="V153" s="421"/>
      <c r="W153" s="421"/>
      <c r="X153" s="421"/>
      <c r="Y153" s="421"/>
      <c r="Z153" s="421"/>
      <c r="AA153" s="421"/>
      <c r="AB153" s="421"/>
      <c r="AC153" s="422"/>
    </row>
    <row r="154" spans="1:29">
      <c r="A154" s="420"/>
      <c r="B154" s="420"/>
      <c r="C154" s="420"/>
      <c r="D154" s="426"/>
      <c r="E154" s="421"/>
      <c r="F154" s="421"/>
      <c r="G154" s="421"/>
      <c r="H154" s="425"/>
      <c r="I154" s="443"/>
      <c r="J154" s="440"/>
      <c r="K154" s="421"/>
      <c r="L154" s="421"/>
      <c r="M154" s="421"/>
      <c r="N154" s="421"/>
      <c r="O154" s="421"/>
      <c r="P154" s="421"/>
      <c r="Q154" s="421"/>
      <c r="R154" s="421"/>
      <c r="S154" s="421"/>
      <c r="T154" s="421"/>
      <c r="U154" s="421"/>
      <c r="V154" s="421"/>
      <c r="W154" s="421"/>
      <c r="X154" s="421"/>
      <c r="Y154" s="421"/>
      <c r="Z154" s="421"/>
      <c r="AA154" s="421"/>
      <c r="AB154" s="421"/>
      <c r="AC154" s="422"/>
    </row>
    <row r="155" spans="1:29">
      <c r="A155" s="420">
        <f>A21</f>
        <v>11</v>
      </c>
      <c r="B155" s="420" t="str">
        <f>B21</f>
        <v>June</v>
      </c>
      <c r="C155" s="420" t="str">
        <f>C21</f>
        <v>Year 3</v>
      </c>
      <c r="D155" s="548" t="str">
        <f>D21</f>
        <v>Results of Step 9 go into effect for Rate Year 2 (e.g., June 1, 2006 - May 31, 2007)</v>
      </c>
      <c r="E155" s="421"/>
      <c r="F155" s="421"/>
      <c r="G155" s="421"/>
      <c r="H155" s="421"/>
      <c r="I155" s="421"/>
      <c r="J155" s="425"/>
      <c r="K155" s="421"/>
      <c r="L155" s="421"/>
      <c r="M155" s="421"/>
      <c r="N155" s="421"/>
      <c r="O155" s="421"/>
      <c r="P155" s="421"/>
      <c r="Q155" s="421"/>
      <c r="R155" s="421"/>
      <c r="S155" s="421"/>
      <c r="T155" s="421"/>
      <c r="U155" s="421"/>
      <c r="V155" s="421"/>
      <c r="W155" s="421"/>
      <c r="X155" s="421"/>
      <c r="Y155" s="421"/>
      <c r="Z155" s="421"/>
      <c r="AA155" s="421"/>
      <c r="AB155" s="421"/>
      <c r="AC155" s="422"/>
    </row>
    <row r="156" spans="1:29">
      <c r="A156" s="420"/>
      <c r="B156" s="420"/>
      <c r="C156" s="420"/>
      <c r="D156" s="437">
        <f>+D152</f>
        <v>0</v>
      </c>
      <c r="E156" s="421"/>
      <c r="F156" s="421"/>
      <c r="G156" s="421"/>
      <c r="H156" s="421"/>
      <c r="I156" s="421"/>
      <c r="J156" s="421"/>
      <c r="K156" s="421"/>
      <c r="L156" s="421"/>
      <c r="M156" s="421"/>
      <c r="N156" s="421"/>
      <c r="O156" s="421"/>
      <c r="P156" s="421"/>
      <c r="Q156" s="421"/>
      <c r="R156" s="421"/>
      <c r="S156" s="421"/>
      <c r="T156" s="421"/>
      <c r="U156" s="421"/>
      <c r="V156" s="421"/>
      <c r="W156" s="421"/>
      <c r="X156" s="421"/>
      <c r="Y156" s="421"/>
      <c r="Z156" s="421"/>
      <c r="AA156" s="421"/>
      <c r="AB156" s="421"/>
      <c r="AC156" s="422"/>
    </row>
    <row r="157" spans="1:29">
      <c r="A157" s="420"/>
      <c r="B157" s="420"/>
      <c r="C157" s="420"/>
      <c r="D157" s="421"/>
      <c r="E157" s="421"/>
      <c r="F157" s="421"/>
      <c r="G157" s="421"/>
      <c r="H157" s="421"/>
      <c r="I157" s="421"/>
      <c r="J157" s="421"/>
      <c r="K157" s="421"/>
      <c r="L157" s="421"/>
      <c r="M157" s="421"/>
      <c r="N157" s="421"/>
      <c r="O157" s="421"/>
      <c r="P157" s="421"/>
      <c r="Q157" s="421"/>
      <c r="R157" s="421"/>
      <c r="S157" s="421"/>
      <c r="T157" s="421"/>
      <c r="U157" s="421"/>
      <c r="V157" s="421"/>
      <c r="W157" s="421"/>
      <c r="X157" s="421"/>
      <c r="Y157" s="421"/>
      <c r="Z157" s="421"/>
      <c r="AA157" s="421"/>
      <c r="AB157" s="421"/>
      <c r="AC157" s="422"/>
    </row>
    <row r="158" spans="1:29">
      <c r="A158" s="420"/>
      <c r="B158" s="421"/>
      <c r="C158" s="420"/>
      <c r="D158" s="421"/>
      <c r="E158" s="421"/>
      <c r="F158" s="421"/>
      <c r="G158" s="421"/>
      <c r="H158" s="421"/>
      <c r="I158" s="421"/>
      <c r="J158" s="421"/>
      <c r="K158" s="421"/>
      <c r="L158" s="421"/>
      <c r="M158" s="421"/>
      <c r="N158" s="421"/>
      <c r="O158" s="421"/>
      <c r="P158" s="421"/>
      <c r="Q158" s="421"/>
      <c r="R158" s="421"/>
      <c r="S158" s="421"/>
      <c r="T158" s="421"/>
      <c r="U158" s="421"/>
      <c r="V158" s="421"/>
      <c r="W158" s="421"/>
      <c r="X158" s="421"/>
      <c r="Y158" s="421"/>
      <c r="Z158" s="421"/>
      <c r="AA158" s="421"/>
      <c r="AB158" s="421"/>
      <c r="AC158" s="422"/>
    </row>
    <row r="159" spans="1:29">
      <c r="A159" s="420"/>
      <c r="B159" s="420"/>
      <c r="C159" s="420"/>
      <c r="D159" s="421"/>
      <c r="E159" s="421"/>
      <c r="F159" s="421"/>
      <c r="G159" s="421"/>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2"/>
    </row>
    <row r="160" spans="1:29">
      <c r="A160" s="420"/>
      <c r="B160" s="420"/>
      <c r="C160" s="420"/>
      <c r="D160" s="421"/>
      <c r="E160" s="421"/>
      <c r="F160" s="421"/>
      <c r="G160" s="421"/>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2"/>
    </row>
    <row r="161" spans="1:29">
      <c r="A161" s="420"/>
      <c r="B161" s="420"/>
      <c r="C161" s="420"/>
      <c r="D161" s="421"/>
      <c r="E161" s="421"/>
      <c r="F161" s="421"/>
      <c r="G161" s="421"/>
      <c r="H161" s="421"/>
      <c r="I161" s="421"/>
      <c r="J161" s="421"/>
      <c r="K161" s="421"/>
      <c r="L161" s="421"/>
      <c r="M161" s="421"/>
      <c r="N161" s="421"/>
      <c r="O161" s="421"/>
      <c r="P161" s="421"/>
      <c r="Q161" s="421"/>
      <c r="R161" s="421"/>
      <c r="S161" s="421"/>
      <c r="T161" s="421"/>
      <c r="U161" s="421"/>
      <c r="V161" s="421"/>
      <c r="W161" s="421"/>
      <c r="X161" s="421"/>
      <c r="Y161" s="421"/>
      <c r="Z161" s="421"/>
      <c r="AA161" s="421"/>
      <c r="AB161" s="421"/>
      <c r="AC161" s="422"/>
    </row>
    <row r="162" spans="1:29">
      <c r="A162" s="420"/>
      <c r="B162" s="420"/>
      <c r="C162" s="420"/>
      <c r="D162" s="421"/>
      <c r="E162" s="421"/>
      <c r="F162" s="421"/>
      <c r="G162" s="421"/>
      <c r="H162" s="421"/>
      <c r="I162" s="421"/>
      <c r="J162" s="421"/>
      <c r="K162" s="421"/>
      <c r="L162" s="421"/>
      <c r="M162" s="421"/>
      <c r="N162" s="421"/>
      <c r="O162" s="421"/>
      <c r="P162" s="421"/>
      <c r="Q162" s="421"/>
      <c r="R162" s="421"/>
      <c r="S162" s="421"/>
      <c r="T162" s="421"/>
      <c r="U162" s="421"/>
      <c r="V162" s="421"/>
      <c r="W162" s="421"/>
      <c r="X162" s="421"/>
      <c r="Y162" s="421"/>
      <c r="Z162" s="421"/>
      <c r="AA162" s="421"/>
      <c r="AB162" s="421"/>
      <c r="AC162" s="422"/>
    </row>
    <row r="163" spans="1:29">
      <c r="A163" s="420"/>
      <c r="B163" s="420"/>
      <c r="C163" s="420"/>
      <c r="D163" s="421"/>
      <c r="E163" s="421"/>
      <c r="F163" s="421"/>
      <c r="G163" s="421"/>
      <c r="H163" s="421"/>
      <c r="I163" s="421"/>
      <c r="J163" s="421"/>
      <c r="K163" s="421"/>
      <c r="L163" s="421"/>
      <c r="M163" s="421"/>
      <c r="N163" s="421"/>
      <c r="O163" s="421"/>
      <c r="P163" s="421"/>
      <c r="Q163" s="421"/>
      <c r="R163" s="421"/>
      <c r="S163" s="421"/>
      <c r="T163" s="421"/>
      <c r="U163" s="421"/>
      <c r="V163" s="421"/>
      <c r="W163" s="421"/>
      <c r="X163" s="421"/>
      <c r="Y163" s="421"/>
      <c r="Z163" s="421"/>
      <c r="AA163" s="421"/>
      <c r="AB163" s="421"/>
      <c r="AC163" s="422"/>
    </row>
    <row r="164" spans="1:29">
      <c r="A164" s="420"/>
      <c r="B164" s="420"/>
      <c r="C164" s="420"/>
      <c r="D164" s="421"/>
      <c r="E164" s="421"/>
      <c r="F164" s="421"/>
      <c r="G164" s="421"/>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2"/>
    </row>
    <row r="165" spans="1:29">
      <c r="A165" s="420"/>
      <c r="B165" s="420"/>
      <c r="C165" s="420"/>
      <c r="D165" s="421"/>
      <c r="E165" s="421"/>
      <c r="F165" s="421"/>
      <c r="G165" s="421"/>
      <c r="H165" s="421"/>
      <c r="I165" s="421"/>
      <c r="J165" s="421"/>
      <c r="K165" s="421"/>
      <c r="L165" s="421"/>
      <c r="M165" s="421"/>
      <c r="N165" s="421"/>
      <c r="O165" s="421"/>
      <c r="P165" s="421"/>
      <c r="Q165" s="421"/>
      <c r="R165" s="421"/>
      <c r="S165" s="421"/>
      <c r="T165" s="421"/>
      <c r="U165" s="421"/>
      <c r="V165" s="421"/>
      <c r="W165" s="421"/>
      <c r="X165" s="421"/>
      <c r="Y165" s="421"/>
      <c r="Z165" s="421"/>
      <c r="AA165" s="421"/>
      <c r="AB165" s="421"/>
      <c r="AC165" s="422"/>
    </row>
    <row r="166" spans="1:29">
      <c r="A166" s="420"/>
      <c r="B166" s="420"/>
      <c r="C166" s="420"/>
      <c r="D166" s="421"/>
      <c r="E166" s="421"/>
      <c r="F166" s="421"/>
      <c r="G166" s="421"/>
      <c r="H166" s="421"/>
      <c r="I166" s="421"/>
      <c r="J166" s="421"/>
      <c r="K166" s="421"/>
      <c r="L166" s="421"/>
      <c r="M166" s="421"/>
      <c r="N166" s="421"/>
      <c r="O166" s="421"/>
      <c r="P166" s="421"/>
      <c r="Q166" s="421"/>
      <c r="R166" s="421"/>
      <c r="S166" s="421"/>
      <c r="T166" s="421"/>
      <c r="U166" s="421"/>
      <c r="V166" s="421"/>
      <c r="W166" s="421"/>
      <c r="X166" s="421"/>
      <c r="Y166" s="421"/>
      <c r="Z166" s="421"/>
      <c r="AA166" s="421"/>
      <c r="AB166" s="421"/>
      <c r="AC166" s="422"/>
    </row>
    <row r="167" spans="1:29">
      <c r="A167" s="420"/>
      <c r="B167" s="420"/>
      <c r="C167" s="420"/>
      <c r="D167" s="421"/>
      <c r="E167" s="421"/>
      <c r="F167" s="421"/>
      <c r="G167" s="421"/>
      <c r="H167" s="421"/>
      <c r="I167" s="421"/>
      <c r="J167" s="421"/>
      <c r="K167" s="421"/>
      <c r="L167" s="421"/>
      <c r="M167" s="421"/>
      <c r="N167" s="421"/>
      <c r="O167" s="421"/>
      <c r="P167" s="421"/>
      <c r="Q167" s="421"/>
      <c r="R167" s="421"/>
      <c r="S167" s="421"/>
      <c r="T167" s="421"/>
      <c r="U167" s="421"/>
      <c r="V167" s="421"/>
      <c r="W167" s="421"/>
      <c r="X167" s="421"/>
      <c r="Y167" s="421"/>
      <c r="Z167" s="421"/>
      <c r="AA167" s="421"/>
      <c r="AB167" s="421"/>
      <c r="AC167" s="422"/>
    </row>
    <row r="168" spans="1:29">
      <c r="A168" s="420"/>
      <c r="B168" s="420"/>
      <c r="C168" s="420"/>
      <c r="D168" s="421"/>
      <c r="E168" s="421"/>
      <c r="F168" s="421"/>
      <c r="G168" s="421"/>
      <c r="H168" s="421"/>
      <c r="I168" s="421"/>
      <c r="J168" s="421"/>
      <c r="K168" s="421"/>
      <c r="L168" s="421"/>
      <c r="M168" s="421"/>
      <c r="N168" s="421"/>
      <c r="O168" s="421"/>
      <c r="P168" s="421"/>
      <c r="Q168" s="421"/>
      <c r="R168" s="421"/>
      <c r="S168" s="421"/>
      <c r="T168" s="421"/>
      <c r="U168" s="421"/>
      <c r="V168" s="421"/>
      <c r="W168" s="421"/>
      <c r="X168" s="421"/>
      <c r="Y168" s="421"/>
      <c r="Z168" s="421"/>
      <c r="AA168" s="421"/>
      <c r="AB168" s="421"/>
      <c r="AC168" s="422"/>
    </row>
    <row r="169" spans="1:29">
      <c r="A169" s="420"/>
      <c r="B169" s="420"/>
      <c r="C169" s="420"/>
      <c r="D169" s="421"/>
      <c r="E169" s="421"/>
      <c r="F169" s="421"/>
      <c r="G169" s="421"/>
      <c r="H169" s="421"/>
      <c r="I169" s="421"/>
      <c r="J169" s="421"/>
      <c r="K169" s="421"/>
      <c r="L169" s="421"/>
      <c r="M169" s="421"/>
      <c r="N169" s="421"/>
      <c r="O169" s="421"/>
      <c r="P169" s="421"/>
      <c r="Q169" s="421"/>
      <c r="R169" s="421"/>
      <c r="S169" s="421"/>
      <c r="T169" s="421"/>
      <c r="U169" s="421"/>
      <c r="V169" s="421"/>
      <c r="W169" s="421"/>
      <c r="X169" s="421"/>
      <c r="Y169" s="421"/>
      <c r="Z169" s="421"/>
      <c r="AA169" s="421"/>
      <c r="AB169" s="421"/>
      <c r="AC169" s="422"/>
    </row>
    <row r="170" spans="1:29">
      <c r="A170" s="420"/>
      <c r="B170" s="420"/>
      <c r="C170" s="420"/>
      <c r="D170" s="421"/>
      <c r="E170" s="421"/>
      <c r="F170" s="421"/>
      <c r="G170" s="421"/>
      <c r="H170" s="421"/>
      <c r="I170" s="421"/>
      <c r="J170" s="421"/>
      <c r="K170" s="421"/>
      <c r="L170" s="421"/>
      <c r="M170" s="421"/>
      <c r="N170" s="421"/>
      <c r="O170" s="421"/>
      <c r="P170" s="421"/>
      <c r="Q170" s="421"/>
      <c r="R170" s="421"/>
      <c r="S170" s="421"/>
      <c r="T170" s="421"/>
      <c r="U170" s="421"/>
      <c r="V170" s="421"/>
      <c r="W170" s="421"/>
      <c r="X170" s="421"/>
      <c r="Y170" s="421"/>
      <c r="Z170" s="421"/>
      <c r="AA170" s="421"/>
      <c r="AB170" s="421"/>
      <c r="AC170" s="422"/>
    </row>
    <row r="171" spans="1:29">
      <c r="A171" s="420"/>
      <c r="B171" s="420"/>
      <c r="C171" s="420"/>
      <c r="D171" s="421"/>
      <c r="E171" s="421"/>
      <c r="F171" s="421"/>
      <c r="G171" s="421"/>
      <c r="H171" s="421"/>
      <c r="I171" s="421"/>
      <c r="J171" s="421"/>
      <c r="K171" s="421"/>
      <c r="L171" s="421"/>
      <c r="M171" s="421"/>
      <c r="N171" s="421"/>
      <c r="O171" s="421"/>
      <c r="P171" s="421"/>
      <c r="Q171" s="421"/>
      <c r="R171" s="421"/>
      <c r="S171" s="421"/>
      <c r="T171" s="421"/>
      <c r="U171" s="421"/>
      <c r="V171" s="421"/>
      <c r="W171" s="421"/>
      <c r="X171" s="421"/>
      <c r="Y171" s="421"/>
      <c r="Z171" s="421"/>
      <c r="AA171" s="421"/>
      <c r="AB171" s="421"/>
      <c r="AC171" s="422"/>
    </row>
    <row r="172" spans="1:29">
      <c r="A172" s="420"/>
      <c r="B172" s="420"/>
      <c r="C172" s="420"/>
      <c r="D172" s="421"/>
      <c r="E172" s="421"/>
      <c r="F172" s="421"/>
      <c r="G172" s="421"/>
      <c r="H172" s="421"/>
      <c r="I172" s="421"/>
      <c r="J172" s="421"/>
      <c r="K172" s="421"/>
      <c r="L172" s="421"/>
      <c r="M172" s="421"/>
      <c r="N172" s="421"/>
      <c r="O172" s="421"/>
      <c r="P172" s="421"/>
      <c r="Q172" s="421"/>
      <c r="R172" s="421"/>
      <c r="S172" s="421"/>
      <c r="T172" s="421"/>
      <c r="U172" s="421"/>
      <c r="V172" s="421"/>
      <c r="W172" s="421"/>
      <c r="X172" s="421"/>
      <c r="Y172" s="421"/>
      <c r="Z172" s="421"/>
      <c r="AA172" s="421"/>
      <c r="AB172" s="421"/>
      <c r="AC172" s="422"/>
    </row>
    <row r="173" spans="1:29">
      <c r="A173" s="420"/>
      <c r="B173" s="420"/>
      <c r="C173" s="420"/>
      <c r="D173" s="421"/>
      <c r="E173" s="421"/>
      <c r="F173" s="421"/>
      <c r="G173" s="421"/>
      <c r="H173" s="421"/>
      <c r="I173" s="421"/>
      <c r="J173" s="421"/>
      <c r="K173" s="421"/>
      <c r="L173" s="421"/>
      <c r="M173" s="421"/>
      <c r="N173" s="421"/>
      <c r="O173" s="421"/>
      <c r="P173" s="421"/>
      <c r="Q173" s="421"/>
      <c r="R173" s="421"/>
      <c r="S173" s="421"/>
      <c r="T173" s="421"/>
      <c r="U173" s="421"/>
      <c r="V173" s="421"/>
      <c r="W173" s="421"/>
      <c r="X173" s="421"/>
      <c r="Y173" s="421"/>
      <c r="Z173" s="421"/>
      <c r="AA173" s="421"/>
      <c r="AB173" s="421"/>
      <c r="AC173" s="422"/>
    </row>
    <row r="174" spans="1:29" ht="15.5">
      <c r="A174" s="406"/>
      <c r="B174" s="420"/>
      <c r="C174" s="420"/>
      <c r="D174" s="421"/>
      <c r="E174" s="421"/>
      <c r="F174" s="421"/>
      <c r="G174" s="421"/>
      <c r="H174" s="421"/>
      <c r="I174" s="421"/>
      <c r="J174" s="421"/>
      <c r="K174" s="421"/>
      <c r="L174" s="421"/>
      <c r="M174" s="421"/>
      <c r="N174" s="421"/>
      <c r="O174" s="421"/>
      <c r="P174" s="421"/>
      <c r="Q174" s="421"/>
      <c r="R174" s="421"/>
      <c r="S174" s="421"/>
      <c r="T174" s="421"/>
      <c r="U174" s="421"/>
      <c r="V174" s="421"/>
      <c r="W174" s="421"/>
      <c r="X174" s="421"/>
      <c r="Y174" s="421"/>
      <c r="Z174" s="421"/>
      <c r="AA174" s="421"/>
      <c r="AB174" s="421"/>
      <c r="AC174" s="422"/>
    </row>
    <row r="175" spans="1:29" ht="15.5">
      <c r="A175" s="406"/>
      <c r="B175" s="420"/>
      <c r="C175" s="420"/>
      <c r="D175" s="421"/>
      <c r="E175" s="421"/>
      <c r="F175" s="421"/>
      <c r="G175" s="421"/>
      <c r="H175" s="421"/>
      <c r="I175" s="421"/>
      <c r="J175" s="421"/>
      <c r="K175" s="421"/>
      <c r="L175" s="421"/>
      <c r="M175" s="421"/>
      <c r="N175" s="421"/>
      <c r="O175" s="421"/>
      <c r="P175" s="421"/>
      <c r="Q175" s="421"/>
      <c r="R175" s="421"/>
      <c r="S175" s="421"/>
      <c r="T175" s="421"/>
      <c r="U175" s="421"/>
      <c r="V175" s="421"/>
      <c r="W175" s="421"/>
      <c r="X175" s="421"/>
      <c r="Y175" s="421"/>
      <c r="Z175" s="421"/>
      <c r="AA175" s="421"/>
      <c r="AB175" s="421"/>
      <c r="AC175" s="422"/>
    </row>
    <row r="176" spans="1:29" ht="15.5">
      <c r="A176" s="406"/>
      <c r="B176" s="406"/>
      <c r="C176" s="406"/>
      <c r="D176" s="405"/>
      <c r="E176" s="405"/>
      <c r="F176" s="405"/>
      <c r="G176" s="405"/>
      <c r="H176" s="405"/>
      <c r="I176" s="405"/>
      <c r="J176" s="405"/>
      <c r="K176" s="405"/>
      <c r="L176" s="405"/>
      <c r="M176" s="405"/>
      <c r="N176" s="405"/>
      <c r="O176" s="405"/>
      <c r="P176" s="405"/>
      <c r="Q176" s="405"/>
      <c r="R176" s="405"/>
      <c r="S176" s="405"/>
      <c r="T176" s="405"/>
      <c r="U176" s="405"/>
      <c r="V176" s="405"/>
      <c r="W176" s="405"/>
      <c r="X176" s="405"/>
      <c r="Y176" s="405"/>
      <c r="Z176" s="405"/>
      <c r="AA176" s="405"/>
      <c r="AB176" s="405"/>
    </row>
    <row r="177" spans="1:28" ht="15.5">
      <c r="A177" s="406"/>
      <c r="B177" s="406"/>
      <c r="C177" s="406"/>
      <c r="D177" s="405"/>
      <c r="E177" s="405"/>
      <c r="F177" s="405"/>
      <c r="G177" s="405"/>
      <c r="H177" s="405"/>
      <c r="I177" s="405"/>
      <c r="J177" s="405"/>
      <c r="K177" s="405"/>
      <c r="L177" s="405"/>
      <c r="M177" s="405"/>
      <c r="N177" s="405"/>
      <c r="O177" s="405"/>
      <c r="P177" s="405"/>
      <c r="Q177" s="405"/>
      <c r="R177" s="405"/>
      <c r="S177" s="405"/>
      <c r="T177" s="405"/>
      <c r="U177" s="405"/>
      <c r="V177" s="405"/>
      <c r="W177" s="405"/>
      <c r="X177" s="405"/>
      <c r="Y177" s="405"/>
      <c r="Z177" s="405"/>
      <c r="AA177" s="405"/>
      <c r="AB177" s="405"/>
    </row>
    <row r="178" spans="1:28" ht="15.5">
      <c r="A178" s="406"/>
      <c r="B178" s="406"/>
      <c r="C178" s="406"/>
      <c r="D178" s="405"/>
      <c r="E178" s="405"/>
      <c r="F178" s="405"/>
      <c r="G178" s="405"/>
      <c r="H178" s="405"/>
      <c r="I178" s="405"/>
      <c r="J178" s="405"/>
      <c r="K178" s="405"/>
      <c r="L178" s="405"/>
      <c r="M178" s="405"/>
      <c r="N178" s="405"/>
      <c r="O178" s="405"/>
      <c r="P178" s="405"/>
      <c r="Q178" s="405"/>
      <c r="R178" s="405"/>
      <c r="S178" s="405"/>
      <c r="T178" s="405"/>
      <c r="U178" s="405"/>
      <c r="V178" s="405"/>
      <c r="W178" s="405"/>
      <c r="X178" s="405"/>
      <c r="Y178" s="405"/>
      <c r="Z178" s="405"/>
      <c r="AA178" s="405"/>
      <c r="AB178" s="405"/>
    </row>
    <row r="179" spans="1:28" ht="15.5">
      <c r="A179" s="406"/>
      <c r="B179" s="406"/>
      <c r="C179" s="406"/>
      <c r="D179" s="405"/>
      <c r="E179" s="405"/>
      <c r="F179" s="405"/>
      <c r="G179" s="405"/>
      <c r="H179" s="405"/>
      <c r="I179" s="405"/>
      <c r="J179" s="405"/>
      <c r="K179" s="405"/>
      <c r="L179" s="405"/>
      <c r="M179" s="405"/>
      <c r="N179" s="405"/>
      <c r="O179" s="405"/>
      <c r="P179" s="405"/>
      <c r="Q179" s="405"/>
      <c r="R179" s="405"/>
      <c r="S179" s="405"/>
      <c r="T179" s="405"/>
      <c r="U179" s="405"/>
      <c r="V179" s="405"/>
      <c r="W179" s="405"/>
      <c r="X179" s="405"/>
      <c r="Y179" s="405"/>
      <c r="Z179" s="405"/>
      <c r="AA179" s="405"/>
      <c r="AB179" s="405"/>
    </row>
    <row r="180" spans="1:28" ht="15.5">
      <c r="A180" s="406"/>
      <c r="B180" s="406"/>
      <c r="C180" s="406"/>
      <c r="D180" s="405"/>
      <c r="E180" s="405"/>
      <c r="F180" s="405"/>
      <c r="G180" s="405"/>
      <c r="H180" s="405"/>
      <c r="I180" s="405"/>
      <c r="J180" s="405"/>
      <c r="K180" s="405"/>
      <c r="L180" s="405"/>
      <c r="M180" s="405"/>
      <c r="N180" s="405"/>
      <c r="O180" s="405"/>
      <c r="P180" s="405"/>
      <c r="Q180" s="405"/>
      <c r="R180" s="405"/>
      <c r="S180" s="405"/>
      <c r="T180" s="405"/>
      <c r="U180" s="405"/>
      <c r="V180" s="405"/>
      <c r="W180" s="405"/>
      <c r="X180" s="405"/>
      <c r="Y180" s="405"/>
      <c r="Z180" s="405"/>
      <c r="AA180" s="405"/>
      <c r="AB180" s="405"/>
    </row>
    <row r="181" spans="1:28" ht="15.5">
      <c r="A181" s="406"/>
      <c r="B181" s="406"/>
      <c r="C181" s="406"/>
      <c r="D181" s="405"/>
      <c r="E181" s="405"/>
      <c r="F181" s="405"/>
      <c r="G181" s="405"/>
      <c r="H181" s="405"/>
      <c r="I181" s="405"/>
      <c r="J181" s="405"/>
      <c r="K181" s="405"/>
      <c r="L181" s="405"/>
      <c r="M181" s="405"/>
      <c r="N181" s="405"/>
      <c r="O181" s="405"/>
      <c r="P181" s="405"/>
      <c r="Q181" s="405"/>
      <c r="R181" s="405"/>
      <c r="S181" s="405"/>
      <c r="T181" s="405"/>
      <c r="U181" s="405"/>
      <c r="V181" s="405"/>
      <c r="W181" s="405"/>
      <c r="X181" s="405"/>
      <c r="Y181" s="405"/>
      <c r="Z181" s="405"/>
      <c r="AA181" s="405"/>
      <c r="AB181" s="405"/>
    </row>
    <row r="182" spans="1:28" ht="15.5">
      <c r="A182" s="406"/>
      <c r="B182" s="406"/>
      <c r="C182" s="406"/>
      <c r="D182" s="405"/>
      <c r="E182" s="405"/>
      <c r="F182" s="405"/>
      <c r="G182" s="405"/>
      <c r="H182" s="405"/>
      <c r="I182" s="405"/>
      <c r="J182" s="405"/>
      <c r="K182" s="405"/>
      <c r="L182" s="405"/>
      <c r="M182" s="405"/>
      <c r="N182" s="405"/>
      <c r="O182" s="405"/>
      <c r="P182" s="405"/>
      <c r="Q182" s="405"/>
      <c r="R182" s="405"/>
      <c r="S182" s="405"/>
      <c r="T182" s="405"/>
      <c r="U182" s="405"/>
      <c r="V182" s="405"/>
      <c r="W182" s="405"/>
      <c r="X182" s="405"/>
      <c r="Y182" s="405"/>
      <c r="Z182" s="405"/>
      <c r="AA182" s="405"/>
      <c r="AB182" s="405"/>
    </row>
    <row r="183" spans="1:28" ht="15.5">
      <c r="A183" s="406"/>
      <c r="B183" s="406"/>
      <c r="C183" s="406"/>
      <c r="D183" s="405"/>
      <c r="E183" s="405"/>
      <c r="F183" s="405"/>
      <c r="G183" s="405"/>
      <c r="H183" s="405"/>
      <c r="I183" s="405"/>
      <c r="J183" s="405"/>
      <c r="K183" s="405"/>
      <c r="L183" s="405"/>
      <c r="M183" s="405"/>
      <c r="N183" s="405"/>
      <c r="O183" s="405"/>
      <c r="P183" s="405"/>
      <c r="Q183" s="405"/>
      <c r="R183" s="405"/>
      <c r="S183" s="405"/>
      <c r="T183" s="405"/>
      <c r="U183" s="405"/>
      <c r="V183" s="405"/>
      <c r="W183" s="405"/>
      <c r="X183" s="405"/>
      <c r="Y183" s="405"/>
      <c r="Z183" s="405"/>
      <c r="AA183" s="405"/>
      <c r="AB183" s="405"/>
    </row>
    <row r="184" spans="1:28" ht="15.5">
      <c r="A184" s="406"/>
      <c r="B184" s="406"/>
      <c r="C184" s="406"/>
      <c r="D184" s="405"/>
      <c r="E184" s="405"/>
      <c r="F184" s="405"/>
      <c r="G184" s="405"/>
      <c r="H184" s="405"/>
      <c r="I184" s="405"/>
      <c r="J184" s="405"/>
      <c r="K184" s="405"/>
      <c r="L184" s="405"/>
      <c r="M184" s="405"/>
      <c r="N184" s="405"/>
      <c r="O184" s="405"/>
      <c r="P184" s="405"/>
      <c r="Q184" s="405"/>
      <c r="R184" s="405"/>
      <c r="S184" s="405"/>
      <c r="T184" s="405"/>
      <c r="U184" s="405"/>
      <c r="V184" s="405"/>
      <c r="W184" s="405"/>
      <c r="X184" s="405"/>
      <c r="Y184" s="405"/>
      <c r="Z184" s="405"/>
      <c r="AA184" s="405"/>
      <c r="AB184" s="405"/>
    </row>
    <row r="185" spans="1:28" ht="15.5">
      <c r="A185" s="406"/>
      <c r="B185" s="406"/>
      <c r="C185" s="406"/>
      <c r="D185" s="405"/>
      <c r="E185" s="405"/>
      <c r="F185" s="405"/>
      <c r="G185" s="405"/>
      <c r="H185" s="405"/>
      <c r="I185" s="405"/>
      <c r="J185" s="405"/>
      <c r="K185" s="405"/>
      <c r="L185" s="405"/>
      <c r="M185" s="405"/>
      <c r="N185" s="405"/>
      <c r="O185" s="405"/>
      <c r="P185" s="405"/>
      <c r="Q185" s="405"/>
      <c r="R185" s="405"/>
      <c r="S185" s="405"/>
      <c r="T185" s="405"/>
      <c r="U185" s="405"/>
      <c r="V185" s="405"/>
      <c r="W185" s="405"/>
      <c r="X185" s="405"/>
      <c r="Y185" s="405"/>
      <c r="Z185" s="405"/>
      <c r="AA185" s="405"/>
      <c r="AB185" s="405"/>
    </row>
    <row r="186" spans="1:28" ht="15.5">
      <c r="A186" s="406"/>
      <c r="B186" s="406"/>
      <c r="C186" s="406"/>
      <c r="D186" s="405"/>
      <c r="E186" s="405"/>
      <c r="F186" s="405"/>
      <c r="G186" s="405"/>
      <c r="H186" s="405"/>
      <c r="I186" s="405"/>
      <c r="J186" s="405"/>
      <c r="K186" s="405"/>
      <c r="L186" s="405"/>
      <c r="M186" s="405"/>
      <c r="N186" s="405"/>
      <c r="O186" s="405"/>
      <c r="P186" s="405"/>
      <c r="Q186" s="405"/>
      <c r="R186" s="405"/>
      <c r="S186" s="405"/>
      <c r="T186" s="405"/>
      <c r="U186" s="405"/>
      <c r="V186" s="405"/>
      <c r="W186" s="405"/>
      <c r="X186" s="405"/>
      <c r="Y186" s="405"/>
      <c r="Z186" s="405"/>
      <c r="AA186" s="405"/>
      <c r="AB186" s="405"/>
    </row>
    <row r="187" spans="1:28" ht="15.5">
      <c r="A187" s="406"/>
      <c r="B187" s="406"/>
      <c r="C187" s="406"/>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c r="AA187" s="405"/>
      <c r="AB187" s="405"/>
    </row>
    <row r="188" spans="1:28" ht="15.5">
      <c r="A188" s="406"/>
      <c r="B188" s="406"/>
      <c r="C188" s="406"/>
      <c r="D188" s="405"/>
      <c r="E188" s="405"/>
      <c r="F188" s="405"/>
      <c r="G188" s="405"/>
      <c r="H188" s="405"/>
      <c r="I188" s="405"/>
      <c r="J188" s="405"/>
      <c r="K188" s="405"/>
      <c r="L188" s="405"/>
      <c r="M188" s="405"/>
      <c r="N188" s="405"/>
      <c r="O188" s="405"/>
      <c r="P188" s="405"/>
      <c r="Q188" s="405"/>
      <c r="R188" s="405"/>
      <c r="S188" s="405"/>
      <c r="T188" s="405"/>
      <c r="U188" s="405"/>
      <c r="V188" s="405"/>
      <c r="W188" s="405"/>
      <c r="X188" s="405"/>
      <c r="Y188" s="405"/>
      <c r="Z188" s="405"/>
      <c r="AA188" s="405"/>
      <c r="AB188" s="405"/>
    </row>
    <row r="189" spans="1:28" ht="15.5">
      <c r="A189" s="406"/>
      <c r="B189" s="406"/>
      <c r="C189" s="406"/>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c r="AA189" s="405"/>
      <c r="AB189" s="405"/>
    </row>
    <row r="190" spans="1:28" ht="15.5">
      <c r="A190" s="406"/>
      <c r="B190" s="406"/>
      <c r="C190" s="406"/>
      <c r="D190" s="405"/>
      <c r="E190" s="405"/>
      <c r="F190" s="405"/>
      <c r="G190" s="405"/>
      <c r="H190" s="405"/>
      <c r="I190" s="405"/>
      <c r="J190" s="405"/>
      <c r="K190" s="405"/>
      <c r="L190" s="405"/>
      <c r="M190" s="405"/>
      <c r="N190" s="405"/>
      <c r="O190" s="405"/>
      <c r="P190" s="405"/>
      <c r="Q190" s="405"/>
      <c r="R190" s="405"/>
      <c r="S190" s="405"/>
      <c r="T190" s="405"/>
      <c r="U190" s="405"/>
      <c r="V190" s="405"/>
      <c r="W190" s="405"/>
      <c r="X190" s="405"/>
      <c r="Y190" s="405"/>
      <c r="Z190" s="405"/>
      <c r="AA190" s="405"/>
      <c r="AB190" s="405"/>
    </row>
    <row r="191" spans="1:28" ht="15.5">
      <c r="A191" s="406"/>
      <c r="B191" s="406"/>
      <c r="C191" s="406"/>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c r="AA191" s="405"/>
      <c r="AB191" s="405"/>
    </row>
    <row r="192" spans="1:28" ht="15.5">
      <c r="A192" s="406"/>
      <c r="B192" s="406"/>
      <c r="C192" s="406"/>
      <c r="D192" s="405"/>
      <c r="E192" s="405"/>
      <c r="F192" s="405"/>
      <c r="G192" s="405"/>
      <c r="H192" s="405"/>
      <c r="I192" s="405"/>
      <c r="J192" s="405"/>
      <c r="K192" s="405"/>
      <c r="L192" s="405"/>
      <c r="M192" s="405"/>
      <c r="N192" s="405"/>
      <c r="O192" s="405"/>
      <c r="P192" s="405"/>
      <c r="Q192" s="405"/>
      <c r="R192" s="405"/>
      <c r="S192" s="405"/>
      <c r="T192" s="405"/>
      <c r="U192" s="405"/>
      <c r="V192" s="405"/>
      <c r="W192" s="405"/>
      <c r="X192" s="405"/>
      <c r="Y192" s="405"/>
      <c r="Z192" s="405"/>
      <c r="AA192" s="405"/>
      <c r="AB192" s="405"/>
    </row>
    <row r="193" spans="1:28" ht="15.5">
      <c r="A193" s="406"/>
      <c r="B193" s="406"/>
      <c r="C193" s="406"/>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c r="AA193" s="405"/>
      <c r="AB193" s="405"/>
    </row>
    <row r="194" spans="1:28" ht="15.5">
      <c r="A194" s="406"/>
      <c r="B194" s="406"/>
      <c r="C194" s="406"/>
      <c r="D194" s="405"/>
      <c r="E194" s="405"/>
      <c r="F194" s="405"/>
      <c r="G194" s="405"/>
      <c r="H194" s="405"/>
      <c r="I194" s="405"/>
      <c r="J194" s="405"/>
      <c r="K194" s="405"/>
      <c r="L194" s="405"/>
      <c r="M194" s="405"/>
      <c r="N194" s="405"/>
      <c r="O194" s="405"/>
      <c r="P194" s="405"/>
      <c r="Q194" s="405"/>
      <c r="R194" s="405"/>
      <c r="S194" s="405"/>
      <c r="T194" s="405"/>
      <c r="U194" s="405"/>
      <c r="V194" s="405"/>
      <c r="W194" s="405"/>
      <c r="X194" s="405"/>
      <c r="Y194" s="405"/>
      <c r="Z194" s="405"/>
      <c r="AA194" s="405"/>
      <c r="AB194" s="405"/>
    </row>
    <row r="195" spans="1:28" ht="15.5">
      <c r="A195" s="406"/>
      <c r="B195" s="406"/>
      <c r="C195" s="406"/>
      <c r="D195" s="405"/>
      <c r="E195" s="405"/>
      <c r="F195" s="405"/>
      <c r="G195" s="405"/>
      <c r="H195" s="405"/>
      <c r="I195" s="405"/>
      <c r="J195" s="405"/>
      <c r="K195" s="405"/>
      <c r="L195" s="405"/>
      <c r="M195" s="405"/>
      <c r="N195" s="405"/>
      <c r="O195" s="405"/>
      <c r="P195" s="405"/>
      <c r="Q195" s="405"/>
      <c r="R195" s="405"/>
      <c r="S195" s="405"/>
      <c r="T195" s="405"/>
      <c r="U195" s="405"/>
      <c r="V195" s="405"/>
      <c r="W195" s="405"/>
      <c r="X195" s="405"/>
      <c r="Y195" s="405"/>
      <c r="Z195" s="405"/>
      <c r="AA195" s="405"/>
      <c r="AB195" s="405"/>
    </row>
    <row r="196" spans="1:28" ht="15.5">
      <c r="A196" s="406"/>
      <c r="B196" s="406"/>
      <c r="C196" s="406"/>
      <c r="D196" s="405"/>
      <c r="E196" s="405"/>
      <c r="F196" s="405"/>
      <c r="G196" s="405"/>
      <c r="H196" s="405"/>
      <c r="I196" s="405"/>
      <c r="J196" s="405"/>
      <c r="K196" s="405"/>
      <c r="L196" s="405"/>
      <c r="M196" s="405"/>
      <c r="N196" s="405"/>
      <c r="O196" s="405"/>
      <c r="P196" s="405"/>
      <c r="Q196" s="405"/>
      <c r="R196" s="405"/>
      <c r="S196" s="405"/>
      <c r="T196" s="405"/>
      <c r="U196" s="405"/>
      <c r="V196" s="405"/>
      <c r="W196" s="405"/>
      <c r="X196" s="405"/>
      <c r="Y196" s="405"/>
      <c r="Z196" s="405"/>
      <c r="AA196" s="405"/>
      <c r="AB196" s="405"/>
    </row>
    <row r="197" spans="1:28" ht="15.5">
      <c r="A197" s="406"/>
      <c r="B197" s="406"/>
      <c r="C197" s="406"/>
      <c r="D197" s="405"/>
      <c r="E197" s="405"/>
      <c r="F197" s="405"/>
      <c r="G197" s="405"/>
      <c r="H197" s="405"/>
      <c r="I197" s="405"/>
      <c r="J197" s="405"/>
      <c r="K197" s="405"/>
      <c r="L197" s="405"/>
      <c r="M197" s="405"/>
      <c r="N197" s="405"/>
      <c r="O197" s="405"/>
      <c r="P197" s="405"/>
      <c r="Q197" s="405"/>
      <c r="R197" s="405"/>
      <c r="S197" s="405"/>
      <c r="T197" s="405"/>
      <c r="U197" s="405"/>
      <c r="V197" s="405"/>
      <c r="W197" s="405"/>
      <c r="X197" s="405"/>
      <c r="Y197" s="405"/>
      <c r="Z197" s="405"/>
      <c r="AA197" s="405"/>
      <c r="AB197" s="405"/>
    </row>
    <row r="198" spans="1:28" ht="15.5">
      <c r="A198" s="406"/>
      <c r="B198" s="406"/>
      <c r="C198" s="406"/>
      <c r="D198" s="405"/>
      <c r="E198" s="405"/>
      <c r="F198" s="405"/>
      <c r="G198" s="405"/>
      <c r="H198" s="405"/>
      <c r="I198" s="405"/>
      <c r="J198" s="405"/>
      <c r="K198" s="405"/>
      <c r="L198" s="405"/>
      <c r="M198" s="405"/>
      <c r="N198" s="405"/>
      <c r="O198" s="405"/>
      <c r="P198" s="405"/>
      <c r="Q198" s="405"/>
      <c r="R198" s="405"/>
      <c r="S198" s="405"/>
      <c r="T198" s="405"/>
      <c r="U198" s="405"/>
      <c r="V198" s="405"/>
      <c r="W198" s="405"/>
      <c r="X198" s="405"/>
      <c r="Y198" s="405"/>
      <c r="Z198" s="405"/>
      <c r="AA198" s="405"/>
      <c r="AB198" s="405"/>
    </row>
    <row r="199" spans="1:28" ht="15.5">
      <c r="A199" s="406"/>
      <c r="B199" s="406"/>
      <c r="C199" s="406"/>
      <c r="D199" s="405"/>
      <c r="E199" s="405"/>
      <c r="F199" s="405"/>
      <c r="G199" s="405"/>
      <c r="H199" s="405"/>
      <c r="I199" s="405"/>
      <c r="J199" s="405"/>
      <c r="K199" s="405"/>
      <c r="L199" s="405"/>
      <c r="M199" s="405"/>
      <c r="N199" s="405"/>
      <c r="O199" s="405"/>
      <c r="P199" s="405"/>
      <c r="Q199" s="405"/>
      <c r="R199" s="405"/>
      <c r="S199" s="405"/>
      <c r="T199" s="405"/>
      <c r="U199" s="405"/>
      <c r="V199" s="405"/>
      <c r="W199" s="405"/>
      <c r="X199" s="405"/>
      <c r="Y199" s="405"/>
      <c r="Z199" s="405"/>
      <c r="AA199" s="405"/>
      <c r="AB199" s="405"/>
    </row>
    <row r="200" spans="1:28" ht="15.5">
      <c r="A200" s="406"/>
      <c r="B200" s="406"/>
      <c r="C200" s="406"/>
      <c r="D200" s="405"/>
      <c r="E200" s="405"/>
      <c r="F200" s="405"/>
      <c r="G200" s="405"/>
      <c r="H200" s="405"/>
      <c r="I200" s="405"/>
      <c r="J200" s="405"/>
      <c r="K200" s="405"/>
      <c r="L200" s="405"/>
      <c r="M200" s="405"/>
      <c r="N200" s="405"/>
      <c r="O200" s="405"/>
      <c r="P200" s="405"/>
      <c r="Q200" s="405"/>
      <c r="R200" s="405"/>
      <c r="S200" s="405"/>
      <c r="T200" s="405"/>
      <c r="U200" s="405"/>
      <c r="V200" s="405"/>
      <c r="W200" s="405"/>
      <c r="X200" s="405"/>
      <c r="Y200" s="405"/>
      <c r="Z200" s="405"/>
      <c r="AA200" s="405"/>
      <c r="AB200" s="405"/>
    </row>
    <row r="201" spans="1:28" ht="15.5">
      <c r="A201" s="406"/>
      <c r="B201" s="406"/>
      <c r="C201" s="406"/>
      <c r="D201" s="405"/>
      <c r="E201" s="405"/>
      <c r="F201" s="405"/>
      <c r="G201" s="405"/>
      <c r="H201" s="405"/>
      <c r="I201" s="405"/>
      <c r="J201" s="405"/>
      <c r="K201" s="405"/>
      <c r="L201" s="405"/>
      <c r="M201" s="405"/>
      <c r="N201" s="405"/>
      <c r="O201" s="405"/>
      <c r="P201" s="405"/>
      <c r="Q201" s="405"/>
      <c r="R201" s="405"/>
      <c r="S201" s="405"/>
      <c r="T201" s="405"/>
      <c r="U201" s="405"/>
      <c r="V201" s="405"/>
      <c r="W201" s="405"/>
      <c r="X201" s="405"/>
      <c r="Y201" s="405"/>
      <c r="Z201" s="405"/>
      <c r="AA201" s="405"/>
      <c r="AB201" s="405"/>
    </row>
    <row r="202" spans="1:28" ht="15.5">
      <c r="A202" s="406"/>
      <c r="B202" s="406"/>
      <c r="C202" s="406"/>
      <c r="D202" s="405"/>
      <c r="E202" s="405"/>
      <c r="F202" s="405"/>
      <c r="G202" s="405"/>
      <c r="H202" s="405"/>
      <c r="I202" s="405"/>
      <c r="J202" s="405"/>
      <c r="K202" s="405"/>
      <c r="L202" s="405"/>
      <c r="M202" s="405"/>
      <c r="N202" s="405"/>
      <c r="O202" s="405"/>
      <c r="P202" s="405"/>
      <c r="Q202" s="405"/>
      <c r="R202" s="405"/>
      <c r="S202" s="405"/>
      <c r="T202" s="405"/>
      <c r="U202" s="405"/>
      <c r="V202" s="405"/>
      <c r="W202" s="405"/>
      <c r="X202" s="405"/>
      <c r="Y202" s="405"/>
      <c r="Z202" s="405"/>
      <c r="AA202" s="405"/>
      <c r="AB202" s="405"/>
    </row>
    <row r="203" spans="1:28" ht="15.5">
      <c r="A203" s="406"/>
      <c r="B203" s="406"/>
      <c r="C203" s="406"/>
      <c r="D203" s="405"/>
      <c r="E203" s="405"/>
      <c r="F203" s="405"/>
      <c r="G203" s="405"/>
      <c r="H203" s="405"/>
      <c r="I203" s="405"/>
      <c r="J203" s="405"/>
      <c r="K203" s="405"/>
      <c r="L203" s="405"/>
      <c r="M203" s="405"/>
      <c r="N203" s="405"/>
      <c r="O203" s="405"/>
      <c r="P203" s="405"/>
      <c r="Q203" s="405"/>
      <c r="R203" s="405"/>
      <c r="S203" s="405"/>
      <c r="T203" s="405"/>
      <c r="U203" s="405"/>
      <c r="V203" s="405"/>
      <c r="W203" s="405"/>
      <c r="X203" s="405"/>
      <c r="Y203" s="405"/>
      <c r="Z203" s="405"/>
      <c r="AA203" s="405"/>
      <c r="AB203" s="405"/>
    </row>
    <row r="204" spans="1:28" ht="15.5">
      <c r="A204" s="406"/>
      <c r="B204" s="406"/>
      <c r="C204" s="406"/>
      <c r="D204" s="405"/>
      <c r="E204" s="405"/>
      <c r="F204" s="405"/>
      <c r="G204" s="405"/>
      <c r="H204" s="405"/>
      <c r="I204" s="405"/>
      <c r="J204" s="405"/>
      <c r="K204" s="405"/>
      <c r="L204" s="405"/>
      <c r="M204" s="405"/>
      <c r="N204" s="405"/>
      <c r="O204" s="405"/>
      <c r="P204" s="405"/>
      <c r="Q204" s="405"/>
      <c r="R204" s="405"/>
      <c r="S204" s="405"/>
      <c r="T204" s="405"/>
      <c r="U204" s="405"/>
      <c r="V204" s="405"/>
      <c r="W204" s="405"/>
      <c r="X204" s="405"/>
      <c r="Y204" s="405"/>
      <c r="Z204" s="405"/>
      <c r="AA204" s="405"/>
      <c r="AB204" s="405"/>
    </row>
    <row r="205" spans="1:28" ht="15.5">
      <c r="A205" s="406"/>
      <c r="B205" s="406"/>
      <c r="C205" s="406"/>
      <c r="D205" s="405"/>
      <c r="E205" s="405"/>
      <c r="F205" s="405"/>
      <c r="G205" s="405"/>
      <c r="H205" s="405"/>
      <c r="I205" s="405"/>
      <c r="J205" s="405"/>
      <c r="K205" s="405"/>
      <c r="L205" s="405"/>
      <c r="M205" s="405"/>
      <c r="N205" s="405"/>
      <c r="O205" s="405"/>
      <c r="P205" s="405"/>
      <c r="Q205" s="405"/>
      <c r="R205" s="405"/>
      <c r="S205" s="405"/>
      <c r="T205" s="405"/>
      <c r="U205" s="405"/>
      <c r="V205" s="405"/>
      <c r="W205" s="405"/>
      <c r="X205" s="405"/>
      <c r="Y205" s="405"/>
      <c r="Z205" s="405"/>
      <c r="AA205" s="405"/>
      <c r="AB205" s="405"/>
    </row>
    <row r="206" spans="1:28" ht="15.5">
      <c r="A206" s="406"/>
      <c r="B206" s="406"/>
      <c r="C206" s="406"/>
      <c r="D206" s="405"/>
      <c r="E206" s="405"/>
      <c r="F206" s="405"/>
      <c r="G206" s="405"/>
      <c r="H206" s="405"/>
      <c r="I206" s="405"/>
      <c r="J206" s="405"/>
      <c r="K206" s="405"/>
      <c r="L206" s="405"/>
      <c r="M206" s="405"/>
      <c r="N206" s="405"/>
      <c r="O206" s="405"/>
      <c r="P206" s="405"/>
      <c r="Q206" s="405"/>
      <c r="R206" s="405"/>
      <c r="S206" s="405"/>
      <c r="T206" s="405"/>
      <c r="U206" s="405"/>
      <c r="V206" s="405"/>
      <c r="W206" s="405"/>
      <c r="X206" s="405"/>
      <c r="Y206" s="405"/>
      <c r="Z206" s="405"/>
      <c r="AA206" s="405"/>
      <c r="AB206" s="405"/>
    </row>
    <row r="207" spans="1:28" ht="15.5">
      <c r="A207" s="406"/>
      <c r="B207" s="406"/>
      <c r="C207" s="406"/>
      <c r="D207" s="405"/>
      <c r="E207" s="405"/>
      <c r="F207" s="405"/>
      <c r="G207" s="405"/>
      <c r="H207" s="405"/>
      <c r="I207" s="405"/>
      <c r="J207" s="405"/>
      <c r="K207" s="405"/>
      <c r="L207" s="405"/>
      <c r="M207" s="405"/>
      <c r="N207" s="405"/>
      <c r="O207" s="405"/>
      <c r="P207" s="405"/>
      <c r="Q207" s="405"/>
      <c r="R207" s="405"/>
      <c r="S207" s="405"/>
      <c r="T207" s="405"/>
      <c r="U207" s="405"/>
      <c r="V207" s="405"/>
      <c r="W207" s="405"/>
      <c r="X207" s="405"/>
      <c r="Y207" s="405"/>
      <c r="Z207" s="405"/>
      <c r="AA207" s="405"/>
      <c r="AB207" s="405"/>
    </row>
    <row r="208" spans="1:28" ht="15.5">
      <c r="A208" s="406"/>
      <c r="B208" s="406"/>
      <c r="C208" s="406"/>
      <c r="D208" s="405"/>
      <c r="E208" s="405"/>
      <c r="F208" s="405"/>
      <c r="G208" s="405"/>
      <c r="H208" s="405"/>
      <c r="I208" s="405"/>
      <c r="J208" s="405"/>
      <c r="K208" s="405"/>
      <c r="L208" s="405"/>
      <c r="M208" s="405"/>
      <c r="N208" s="405"/>
      <c r="O208" s="405"/>
      <c r="P208" s="405"/>
      <c r="Q208" s="405"/>
      <c r="R208" s="405"/>
      <c r="S208" s="405"/>
      <c r="T208" s="405"/>
      <c r="U208" s="405"/>
      <c r="V208" s="405"/>
      <c r="W208" s="405"/>
      <c r="X208" s="405"/>
      <c r="Y208" s="405"/>
      <c r="Z208" s="405"/>
      <c r="AA208" s="405"/>
      <c r="AB208" s="405"/>
    </row>
    <row r="209" spans="1:28" ht="15.5">
      <c r="A209" s="406"/>
      <c r="B209" s="406"/>
      <c r="C209" s="406"/>
      <c r="D209" s="405"/>
      <c r="E209" s="405"/>
      <c r="F209" s="405"/>
      <c r="G209" s="405"/>
      <c r="H209" s="405"/>
      <c r="I209" s="405"/>
      <c r="J209" s="405"/>
      <c r="K209" s="405"/>
      <c r="L209" s="405"/>
      <c r="M209" s="405"/>
      <c r="N209" s="405"/>
      <c r="O209" s="405"/>
      <c r="P209" s="405"/>
      <c r="Q209" s="405"/>
      <c r="R209" s="405"/>
      <c r="S209" s="405"/>
      <c r="T209" s="405"/>
      <c r="U209" s="405"/>
      <c r="V209" s="405"/>
      <c r="W209" s="405"/>
      <c r="X209" s="405"/>
      <c r="Y209" s="405"/>
      <c r="Z209" s="405"/>
      <c r="AA209" s="405"/>
      <c r="AB209" s="405"/>
    </row>
    <row r="210" spans="1:28" ht="15.5">
      <c r="A210" s="406"/>
      <c r="B210" s="406"/>
      <c r="C210" s="406"/>
      <c r="D210" s="405"/>
      <c r="E210" s="405"/>
      <c r="F210" s="405"/>
      <c r="G210" s="405"/>
      <c r="H210" s="405"/>
      <c r="I210" s="405"/>
      <c r="J210" s="405"/>
      <c r="K210" s="405"/>
      <c r="L210" s="405"/>
      <c r="M210" s="405"/>
      <c r="N210" s="405"/>
      <c r="O210" s="405"/>
      <c r="P210" s="405"/>
      <c r="Q210" s="405"/>
      <c r="R210" s="405"/>
      <c r="S210" s="405"/>
      <c r="T210" s="405"/>
      <c r="U210" s="405"/>
      <c r="V210" s="405"/>
      <c r="W210" s="405"/>
      <c r="X210" s="405"/>
      <c r="Y210" s="405"/>
      <c r="Z210" s="405"/>
      <c r="AA210" s="405"/>
      <c r="AB210" s="405"/>
    </row>
    <row r="211" spans="1:28" ht="15.5">
      <c r="A211" s="406"/>
      <c r="B211" s="406"/>
      <c r="C211" s="406"/>
      <c r="D211" s="405"/>
      <c r="E211" s="405"/>
      <c r="F211" s="405"/>
      <c r="G211" s="405"/>
      <c r="H211" s="405"/>
      <c r="I211" s="405"/>
      <c r="J211" s="405"/>
      <c r="K211" s="405"/>
      <c r="L211" s="405"/>
      <c r="M211" s="405"/>
      <c r="N211" s="405"/>
      <c r="O211" s="405"/>
      <c r="P211" s="405"/>
      <c r="Q211" s="405"/>
      <c r="R211" s="405"/>
      <c r="S211" s="405"/>
      <c r="T211" s="405"/>
      <c r="U211" s="405"/>
      <c r="V211" s="405"/>
      <c r="W211" s="405"/>
      <c r="X211" s="405"/>
      <c r="Y211" s="405"/>
      <c r="Z211" s="405"/>
      <c r="AA211" s="405"/>
      <c r="AB211" s="405"/>
    </row>
    <row r="212" spans="1:28" ht="15.5">
      <c r="A212" s="406"/>
      <c r="B212" s="406"/>
      <c r="C212" s="406"/>
      <c r="D212" s="405"/>
      <c r="E212" s="405"/>
      <c r="F212" s="405"/>
      <c r="G212" s="405"/>
      <c r="H212" s="405"/>
      <c r="I212" s="405"/>
      <c r="J212" s="405"/>
      <c r="K212" s="405"/>
      <c r="L212" s="405"/>
      <c r="M212" s="405"/>
      <c r="N212" s="405"/>
      <c r="O212" s="405"/>
      <c r="P212" s="405"/>
      <c r="Q212" s="405"/>
      <c r="R212" s="405"/>
      <c r="S212" s="405"/>
      <c r="T212" s="405"/>
      <c r="U212" s="405"/>
      <c r="V212" s="405"/>
      <c r="W212" s="405"/>
      <c r="X212" s="405"/>
      <c r="Y212" s="405"/>
      <c r="Z212" s="405"/>
      <c r="AA212" s="405"/>
      <c r="AB212" s="405"/>
    </row>
    <row r="213" spans="1:28" ht="15.5">
      <c r="A213" s="406"/>
      <c r="B213" s="406"/>
      <c r="C213" s="406"/>
      <c r="D213" s="405"/>
      <c r="E213" s="405"/>
      <c r="F213" s="405"/>
      <c r="G213" s="405"/>
      <c r="H213" s="405"/>
      <c r="I213" s="405"/>
      <c r="J213" s="405"/>
      <c r="K213" s="405"/>
      <c r="L213" s="405"/>
      <c r="M213" s="405"/>
      <c r="N213" s="405"/>
      <c r="O213" s="405"/>
      <c r="P213" s="405"/>
      <c r="Q213" s="405"/>
      <c r="R213" s="405"/>
      <c r="S213" s="405"/>
      <c r="T213" s="405"/>
      <c r="U213" s="405"/>
      <c r="V213" s="405"/>
      <c r="W213" s="405"/>
      <c r="X213" s="405"/>
      <c r="Y213" s="405"/>
      <c r="Z213" s="405"/>
      <c r="AA213" s="405"/>
      <c r="AB213" s="405"/>
    </row>
    <row r="214" spans="1:28" ht="15.5">
      <c r="A214" s="406"/>
      <c r="B214" s="406"/>
      <c r="C214" s="406"/>
      <c r="D214" s="405"/>
      <c r="E214" s="405"/>
      <c r="F214" s="405"/>
      <c r="G214" s="405"/>
      <c r="H214" s="405"/>
      <c r="I214" s="405"/>
      <c r="J214" s="405"/>
      <c r="K214" s="405"/>
      <c r="L214" s="405"/>
      <c r="M214" s="405"/>
      <c r="N214" s="405"/>
      <c r="O214" s="405"/>
      <c r="P214" s="405"/>
      <c r="Q214" s="405"/>
      <c r="R214" s="405"/>
      <c r="S214" s="405"/>
      <c r="T214" s="405"/>
      <c r="U214" s="405"/>
      <c r="V214" s="405"/>
      <c r="W214" s="405"/>
      <c r="X214" s="405"/>
      <c r="Y214" s="405"/>
      <c r="Z214" s="405"/>
      <c r="AA214" s="405"/>
      <c r="AB214" s="405"/>
    </row>
    <row r="215" spans="1:28" ht="15.5">
      <c r="A215" s="406"/>
      <c r="B215" s="406"/>
      <c r="C215" s="406"/>
      <c r="D215" s="405"/>
      <c r="E215" s="405"/>
      <c r="F215" s="405"/>
      <c r="G215" s="405"/>
      <c r="H215" s="405"/>
      <c r="I215" s="405"/>
      <c r="J215" s="405"/>
      <c r="K215" s="405"/>
      <c r="L215" s="405"/>
      <c r="M215" s="405"/>
      <c r="N215" s="405"/>
      <c r="O215" s="405"/>
      <c r="P215" s="405"/>
      <c r="Q215" s="405"/>
      <c r="R215" s="405"/>
      <c r="S215" s="405"/>
      <c r="T215" s="405"/>
      <c r="U215" s="405"/>
      <c r="V215" s="405"/>
      <c r="W215" s="405"/>
      <c r="X215" s="405"/>
      <c r="Y215" s="405"/>
      <c r="Z215" s="405"/>
      <c r="AA215" s="405"/>
      <c r="AB215" s="405"/>
    </row>
    <row r="216" spans="1:28" ht="15.5">
      <c r="A216" s="406"/>
      <c r="B216" s="406"/>
      <c r="C216" s="406"/>
      <c r="D216" s="405"/>
      <c r="E216" s="405"/>
      <c r="F216" s="405"/>
      <c r="G216" s="405"/>
      <c r="H216" s="405"/>
      <c r="I216" s="405"/>
      <c r="J216" s="405"/>
      <c r="K216" s="405"/>
      <c r="L216" s="405"/>
      <c r="M216" s="405"/>
      <c r="N216" s="405"/>
      <c r="O216" s="405"/>
      <c r="P216" s="405"/>
      <c r="Q216" s="405"/>
      <c r="R216" s="405"/>
      <c r="S216" s="405"/>
      <c r="T216" s="405"/>
      <c r="U216" s="405"/>
      <c r="V216" s="405"/>
      <c r="W216" s="405"/>
      <c r="X216" s="405"/>
      <c r="Y216" s="405"/>
      <c r="Z216" s="405"/>
      <c r="AA216" s="405"/>
      <c r="AB216" s="405"/>
    </row>
    <row r="217" spans="1:28" ht="15.5">
      <c r="A217" s="406"/>
      <c r="B217" s="406"/>
      <c r="C217" s="406"/>
      <c r="D217" s="405"/>
      <c r="E217" s="405"/>
      <c r="F217" s="405"/>
      <c r="G217" s="405"/>
      <c r="H217" s="405"/>
      <c r="I217" s="405"/>
      <c r="J217" s="405"/>
      <c r="K217" s="405"/>
      <c r="L217" s="405"/>
      <c r="M217" s="405"/>
      <c r="N217" s="405"/>
      <c r="O217" s="405"/>
      <c r="P217" s="405"/>
      <c r="Q217" s="405"/>
      <c r="R217" s="405"/>
      <c r="S217" s="405"/>
      <c r="T217" s="405"/>
      <c r="U217" s="405"/>
      <c r="V217" s="405"/>
      <c r="W217" s="405"/>
      <c r="X217" s="405"/>
      <c r="Y217" s="405"/>
      <c r="Z217" s="405"/>
      <c r="AA217" s="405"/>
      <c r="AB217" s="405"/>
    </row>
    <row r="218" spans="1:28" ht="15.5">
      <c r="A218" s="406"/>
      <c r="B218" s="406"/>
      <c r="C218" s="406"/>
      <c r="D218" s="405"/>
      <c r="E218" s="405"/>
      <c r="F218" s="405"/>
      <c r="G218" s="405"/>
      <c r="H218" s="405"/>
      <c r="I218" s="405"/>
      <c r="J218" s="405"/>
      <c r="K218" s="405"/>
      <c r="L218" s="405"/>
      <c r="M218" s="405"/>
      <c r="N218" s="405"/>
      <c r="O218" s="405"/>
      <c r="P218" s="405"/>
      <c r="Q218" s="405"/>
      <c r="R218" s="405"/>
      <c r="S218" s="405"/>
      <c r="T218" s="405"/>
      <c r="U218" s="405"/>
      <c r="V218" s="405"/>
      <c r="W218" s="405"/>
      <c r="X218" s="405"/>
      <c r="Y218" s="405"/>
      <c r="Z218" s="405"/>
      <c r="AA218" s="405"/>
      <c r="AB218" s="405"/>
    </row>
    <row r="219" spans="1:28" ht="15.5">
      <c r="A219" s="406"/>
      <c r="B219" s="406"/>
      <c r="C219" s="406"/>
      <c r="D219" s="405"/>
      <c r="E219" s="405"/>
      <c r="F219" s="405"/>
      <c r="G219" s="405"/>
      <c r="H219" s="405"/>
      <c r="I219" s="405"/>
      <c r="J219" s="405"/>
      <c r="K219" s="405"/>
      <c r="L219" s="405"/>
      <c r="M219" s="405"/>
      <c r="N219" s="405"/>
      <c r="O219" s="405"/>
      <c r="P219" s="405"/>
      <c r="Q219" s="405"/>
      <c r="R219" s="405"/>
      <c r="S219" s="405"/>
      <c r="T219" s="405"/>
      <c r="U219" s="405"/>
      <c r="V219" s="405"/>
      <c r="W219" s="405"/>
      <c r="X219" s="405"/>
      <c r="Y219" s="405"/>
      <c r="Z219" s="405"/>
      <c r="AA219" s="405"/>
      <c r="AB219" s="405"/>
    </row>
    <row r="220" spans="1:28" ht="15.5">
      <c r="A220" s="406"/>
      <c r="B220" s="406"/>
      <c r="C220" s="406"/>
      <c r="D220" s="405"/>
      <c r="E220" s="405"/>
      <c r="F220" s="405"/>
      <c r="G220" s="405"/>
      <c r="H220" s="405"/>
      <c r="I220" s="405"/>
      <c r="J220" s="405"/>
      <c r="K220" s="405"/>
      <c r="L220" s="405"/>
      <c r="M220" s="405"/>
      <c r="N220" s="405"/>
      <c r="O220" s="405"/>
      <c r="P220" s="405"/>
      <c r="Q220" s="405"/>
      <c r="R220" s="405"/>
      <c r="S220" s="405"/>
      <c r="T220" s="405"/>
      <c r="U220" s="405"/>
      <c r="V220" s="405"/>
      <c r="W220" s="405"/>
      <c r="X220" s="405"/>
      <c r="Y220" s="405"/>
      <c r="Z220" s="405"/>
      <c r="AA220" s="405"/>
      <c r="AB220" s="405"/>
    </row>
    <row r="221" spans="1:28" ht="15.5">
      <c r="A221" s="406"/>
      <c r="B221" s="406"/>
      <c r="C221" s="406"/>
      <c r="D221" s="405"/>
      <c r="E221" s="405"/>
      <c r="F221" s="405"/>
      <c r="G221" s="405"/>
      <c r="H221" s="405"/>
      <c r="I221" s="405"/>
      <c r="J221" s="405"/>
      <c r="K221" s="405"/>
      <c r="L221" s="405"/>
      <c r="M221" s="405"/>
      <c r="N221" s="405"/>
      <c r="O221" s="405"/>
      <c r="P221" s="405"/>
      <c r="Q221" s="405"/>
      <c r="R221" s="405"/>
      <c r="S221" s="405"/>
      <c r="T221" s="405"/>
      <c r="U221" s="405"/>
      <c r="V221" s="405"/>
      <c r="W221" s="405"/>
      <c r="X221" s="405"/>
      <c r="Y221" s="405"/>
      <c r="Z221" s="405"/>
      <c r="AA221" s="405"/>
      <c r="AB221" s="405"/>
    </row>
    <row r="222" spans="1:28" ht="15.5">
      <c r="A222" s="406"/>
      <c r="B222" s="406"/>
      <c r="C222" s="406"/>
      <c r="D222" s="405"/>
      <c r="E222" s="405"/>
      <c r="F222" s="405"/>
      <c r="G222" s="405"/>
      <c r="H222" s="405"/>
      <c r="I222" s="405"/>
      <c r="J222" s="405"/>
      <c r="K222" s="405"/>
      <c r="L222" s="405"/>
      <c r="M222" s="405"/>
      <c r="N222" s="405"/>
      <c r="O222" s="405"/>
      <c r="P222" s="405"/>
      <c r="Q222" s="405"/>
      <c r="R222" s="405"/>
      <c r="S222" s="405"/>
      <c r="T222" s="405"/>
      <c r="U222" s="405"/>
      <c r="V222" s="405"/>
      <c r="W222" s="405"/>
      <c r="X222" s="405"/>
      <c r="Y222" s="405"/>
      <c r="Z222" s="405"/>
      <c r="AA222" s="405"/>
      <c r="AB222" s="405"/>
    </row>
    <row r="223" spans="1:28" ht="15.5">
      <c r="A223" s="406"/>
      <c r="B223" s="406"/>
      <c r="C223" s="406"/>
      <c r="D223" s="405"/>
      <c r="E223" s="405"/>
      <c r="F223" s="405"/>
      <c r="G223" s="405"/>
      <c r="H223" s="405"/>
      <c r="I223" s="405"/>
      <c r="J223" s="405"/>
      <c r="K223" s="405"/>
      <c r="L223" s="405"/>
      <c r="M223" s="405"/>
      <c r="N223" s="405"/>
      <c r="O223" s="405"/>
      <c r="P223" s="405"/>
      <c r="Q223" s="405"/>
      <c r="R223" s="405"/>
      <c r="S223" s="405"/>
      <c r="T223" s="405"/>
      <c r="U223" s="405"/>
      <c r="V223" s="405"/>
      <c r="W223" s="405"/>
      <c r="X223" s="405"/>
      <c r="Y223" s="405"/>
      <c r="Z223" s="405"/>
      <c r="AA223" s="405"/>
      <c r="AB223" s="405"/>
    </row>
    <row r="224" spans="1:28" ht="15.5">
      <c r="A224" s="406"/>
      <c r="B224" s="406"/>
      <c r="C224" s="406"/>
      <c r="D224" s="405"/>
      <c r="E224" s="405"/>
      <c r="F224" s="405"/>
      <c r="G224" s="405"/>
      <c r="H224" s="405"/>
      <c r="I224" s="405"/>
      <c r="J224" s="405"/>
      <c r="K224" s="405"/>
      <c r="L224" s="405"/>
      <c r="M224" s="405"/>
      <c r="N224" s="405"/>
      <c r="O224" s="405"/>
      <c r="P224" s="405"/>
      <c r="Q224" s="405"/>
      <c r="R224" s="405"/>
      <c r="S224" s="405"/>
      <c r="T224" s="405"/>
      <c r="U224" s="405"/>
      <c r="V224" s="405"/>
      <c r="W224" s="405"/>
      <c r="X224" s="405"/>
      <c r="Y224" s="405"/>
      <c r="Z224" s="405"/>
      <c r="AA224" s="405"/>
      <c r="AB224" s="405"/>
    </row>
    <row r="225" spans="1:28" ht="15.5">
      <c r="A225" s="406"/>
      <c r="B225" s="406"/>
      <c r="C225" s="406"/>
      <c r="D225" s="405"/>
      <c r="E225" s="405"/>
      <c r="F225" s="405"/>
      <c r="G225" s="405"/>
      <c r="H225" s="405"/>
      <c r="I225" s="405"/>
      <c r="J225" s="405"/>
      <c r="K225" s="405"/>
      <c r="L225" s="405"/>
      <c r="M225" s="405"/>
      <c r="N225" s="405"/>
      <c r="O225" s="405"/>
      <c r="P225" s="405"/>
      <c r="Q225" s="405"/>
      <c r="R225" s="405"/>
      <c r="S225" s="405"/>
      <c r="T225" s="405"/>
      <c r="U225" s="405"/>
      <c r="V225" s="405"/>
      <c r="W225" s="405"/>
      <c r="X225" s="405"/>
      <c r="Y225" s="405"/>
      <c r="Z225" s="405"/>
      <c r="AA225" s="405"/>
      <c r="AB225" s="405"/>
    </row>
    <row r="226" spans="1:28" ht="15.5">
      <c r="A226" s="406"/>
      <c r="B226" s="406"/>
      <c r="C226" s="406"/>
      <c r="D226" s="405"/>
      <c r="E226" s="405"/>
      <c r="F226" s="405"/>
      <c r="G226" s="405"/>
      <c r="H226" s="405"/>
      <c r="I226" s="405"/>
      <c r="J226" s="405"/>
      <c r="K226" s="405"/>
      <c r="L226" s="405"/>
      <c r="M226" s="405"/>
      <c r="N226" s="405"/>
      <c r="O226" s="405"/>
      <c r="P226" s="405"/>
      <c r="Q226" s="405"/>
      <c r="R226" s="405"/>
      <c r="S226" s="405"/>
      <c r="T226" s="405"/>
      <c r="U226" s="405"/>
      <c r="V226" s="405"/>
      <c r="W226" s="405"/>
      <c r="X226" s="405"/>
      <c r="Y226" s="405"/>
      <c r="Z226" s="405"/>
      <c r="AA226" s="405"/>
      <c r="AB226" s="405"/>
    </row>
    <row r="227" spans="1:28" ht="15.5">
      <c r="A227" s="406"/>
      <c r="B227" s="406"/>
      <c r="C227" s="406"/>
      <c r="D227" s="405"/>
      <c r="E227" s="405"/>
      <c r="F227" s="405"/>
      <c r="G227" s="405"/>
      <c r="H227" s="405"/>
      <c r="I227" s="405"/>
      <c r="J227" s="405"/>
      <c r="K227" s="405"/>
      <c r="L227" s="405"/>
      <c r="M227" s="405"/>
      <c r="N227" s="405"/>
      <c r="O227" s="405"/>
      <c r="P227" s="405"/>
      <c r="Q227" s="405"/>
      <c r="R227" s="405"/>
      <c r="S227" s="405"/>
      <c r="T227" s="405"/>
      <c r="U227" s="405"/>
      <c r="V227" s="405"/>
      <c r="W227" s="405"/>
      <c r="X227" s="405"/>
      <c r="Y227" s="405"/>
      <c r="Z227" s="405"/>
      <c r="AA227" s="405"/>
      <c r="AB227" s="405"/>
    </row>
    <row r="228" spans="1:28" ht="15.5">
      <c r="A228" s="406"/>
      <c r="B228" s="406"/>
      <c r="C228" s="406"/>
      <c r="D228" s="405"/>
      <c r="E228" s="405"/>
      <c r="F228" s="405"/>
      <c r="G228" s="405"/>
      <c r="H228" s="405"/>
      <c r="I228" s="405"/>
      <c r="J228" s="405"/>
      <c r="K228" s="405"/>
      <c r="L228" s="405"/>
      <c r="M228" s="405"/>
      <c r="N228" s="405"/>
      <c r="O228" s="405"/>
      <c r="P228" s="405"/>
      <c r="Q228" s="405"/>
      <c r="R228" s="405"/>
      <c r="S228" s="405"/>
      <c r="T228" s="405"/>
      <c r="U228" s="405"/>
      <c r="V228" s="405"/>
      <c r="W228" s="405"/>
      <c r="X228" s="405"/>
      <c r="Y228" s="405"/>
      <c r="Z228" s="405"/>
      <c r="AA228" s="405"/>
      <c r="AB228" s="405"/>
    </row>
    <row r="229" spans="1:28" ht="15.5">
      <c r="A229" s="406"/>
      <c r="B229" s="406"/>
      <c r="C229" s="406"/>
      <c r="D229" s="405"/>
      <c r="E229" s="405"/>
      <c r="F229" s="405"/>
      <c r="G229" s="405"/>
      <c r="H229" s="405"/>
      <c r="I229" s="405"/>
      <c r="J229" s="405"/>
      <c r="K229" s="405"/>
      <c r="L229" s="405"/>
      <c r="M229" s="405"/>
      <c r="N229" s="405"/>
      <c r="O229" s="405"/>
      <c r="P229" s="405"/>
      <c r="Q229" s="405"/>
      <c r="R229" s="405"/>
      <c r="S229" s="405"/>
      <c r="T229" s="405"/>
      <c r="U229" s="405"/>
      <c r="V229" s="405"/>
      <c r="W229" s="405"/>
      <c r="X229" s="405"/>
      <c r="Y229" s="405"/>
      <c r="Z229" s="405"/>
      <c r="AA229" s="405"/>
      <c r="AB229" s="405"/>
    </row>
    <row r="230" spans="1:28" ht="15.5">
      <c r="A230" s="406"/>
      <c r="B230" s="406"/>
      <c r="C230" s="406"/>
      <c r="D230" s="405"/>
      <c r="E230" s="405"/>
      <c r="F230" s="405"/>
      <c r="G230" s="405"/>
      <c r="H230" s="405"/>
      <c r="I230" s="405"/>
      <c r="J230" s="405"/>
      <c r="K230" s="405"/>
      <c r="L230" s="405"/>
      <c r="M230" s="405"/>
      <c r="N230" s="405"/>
      <c r="O230" s="405"/>
      <c r="P230" s="405"/>
      <c r="Q230" s="405"/>
      <c r="R230" s="405"/>
      <c r="S230" s="405"/>
      <c r="T230" s="405"/>
      <c r="U230" s="405"/>
      <c r="V230" s="405"/>
      <c r="W230" s="405"/>
      <c r="X230" s="405"/>
      <c r="Y230" s="405"/>
      <c r="Z230" s="405"/>
      <c r="AA230" s="405"/>
      <c r="AB230" s="405"/>
    </row>
    <row r="231" spans="1:28" ht="15.5">
      <c r="A231" s="406"/>
      <c r="B231" s="406"/>
      <c r="C231" s="406"/>
      <c r="D231" s="405"/>
      <c r="E231" s="405"/>
      <c r="F231" s="405"/>
      <c r="G231" s="405"/>
      <c r="H231" s="405"/>
      <c r="I231" s="405"/>
      <c r="J231" s="405"/>
      <c r="K231" s="405"/>
      <c r="L231" s="405"/>
      <c r="M231" s="405"/>
      <c r="N231" s="405"/>
      <c r="O231" s="405"/>
      <c r="P231" s="405"/>
      <c r="Q231" s="405"/>
      <c r="R231" s="405"/>
      <c r="S231" s="405"/>
      <c r="T231" s="405"/>
      <c r="U231" s="405"/>
      <c r="V231" s="405"/>
      <c r="W231" s="405"/>
      <c r="X231" s="405"/>
      <c r="Y231" s="405"/>
      <c r="Z231" s="405"/>
      <c r="AA231" s="405"/>
      <c r="AB231" s="405"/>
    </row>
    <row r="232" spans="1:28" ht="15.5">
      <c r="A232" s="406"/>
      <c r="B232" s="406"/>
      <c r="C232" s="406"/>
      <c r="D232" s="405"/>
      <c r="E232" s="405"/>
      <c r="F232" s="405"/>
      <c r="G232" s="405"/>
      <c r="H232" s="405"/>
      <c r="I232" s="405"/>
      <c r="J232" s="405"/>
      <c r="K232" s="405"/>
      <c r="L232" s="405"/>
      <c r="M232" s="405"/>
      <c r="N232" s="405"/>
      <c r="O232" s="405"/>
      <c r="P232" s="405"/>
      <c r="Q232" s="405"/>
      <c r="R232" s="405"/>
      <c r="S232" s="405"/>
      <c r="T232" s="405"/>
      <c r="U232" s="405"/>
      <c r="V232" s="405"/>
      <c r="W232" s="405"/>
      <c r="X232" s="405"/>
      <c r="Y232" s="405"/>
      <c r="Z232" s="405"/>
      <c r="AA232" s="405"/>
      <c r="AB232" s="405"/>
    </row>
    <row r="233" spans="1:28" ht="15.5">
      <c r="A233" s="406"/>
      <c r="B233" s="406"/>
      <c r="C233" s="406"/>
      <c r="D233" s="405"/>
      <c r="E233" s="405"/>
      <c r="F233" s="405"/>
      <c r="G233" s="405"/>
      <c r="H233" s="405"/>
      <c r="I233" s="405"/>
      <c r="J233" s="405"/>
      <c r="K233" s="405"/>
      <c r="L233" s="405"/>
      <c r="M233" s="405"/>
      <c r="N233" s="405"/>
      <c r="O233" s="405"/>
      <c r="P233" s="405"/>
      <c r="Q233" s="405"/>
      <c r="R233" s="405"/>
      <c r="S233" s="405"/>
      <c r="T233" s="405"/>
      <c r="U233" s="405"/>
      <c r="V233" s="405"/>
      <c r="W233" s="405"/>
      <c r="X233" s="405"/>
      <c r="Y233" s="405"/>
      <c r="Z233" s="405"/>
      <c r="AA233" s="405"/>
      <c r="AB233" s="405"/>
    </row>
    <row r="234" spans="1:28" ht="15.5">
      <c r="A234" s="406"/>
      <c r="B234" s="406"/>
      <c r="C234" s="406"/>
      <c r="D234" s="405"/>
      <c r="E234" s="405"/>
      <c r="F234" s="405"/>
      <c r="G234" s="405"/>
      <c r="H234" s="405"/>
      <c r="I234" s="405"/>
      <c r="J234" s="405"/>
      <c r="K234" s="405"/>
      <c r="L234" s="405"/>
      <c r="M234" s="405"/>
      <c r="N234" s="405"/>
      <c r="O234" s="405"/>
      <c r="P234" s="405"/>
      <c r="Q234" s="405"/>
      <c r="R234" s="405"/>
      <c r="S234" s="405"/>
      <c r="T234" s="405"/>
      <c r="U234" s="405"/>
      <c r="V234" s="405"/>
      <c r="W234" s="405"/>
      <c r="X234" s="405"/>
      <c r="Y234" s="405"/>
      <c r="Z234" s="405"/>
      <c r="AA234" s="405"/>
      <c r="AB234" s="405"/>
    </row>
    <row r="235" spans="1:28" ht="15.5">
      <c r="A235" s="406"/>
      <c r="B235" s="406"/>
      <c r="C235" s="406"/>
      <c r="D235" s="405"/>
      <c r="E235" s="405"/>
      <c r="F235" s="405"/>
      <c r="G235" s="405"/>
      <c r="H235" s="405"/>
      <c r="I235" s="405"/>
      <c r="J235" s="405"/>
      <c r="K235" s="405"/>
      <c r="L235" s="405"/>
      <c r="M235" s="405"/>
      <c r="N235" s="405"/>
      <c r="O235" s="405"/>
      <c r="P235" s="405"/>
      <c r="Q235" s="405"/>
      <c r="R235" s="405"/>
      <c r="S235" s="405"/>
      <c r="T235" s="405"/>
      <c r="U235" s="405"/>
      <c r="V235" s="405"/>
      <c r="W235" s="405"/>
      <c r="X235" s="405"/>
      <c r="Y235" s="405"/>
      <c r="Z235" s="405"/>
      <c r="AA235" s="405"/>
      <c r="AB235" s="405"/>
    </row>
    <row r="236" spans="1:28" ht="15.5">
      <c r="A236" s="406"/>
      <c r="B236" s="406"/>
      <c r="C236" s="406"/>
      <c r="D236" s="405"/>
      <c r="E236" s="405"/>
      <c r="F236" s="405"/>
      <c r="G236" s="405"/>
      <c r="H236" s="405"/>
      <c r="I236" s="405"/>
      <c r="J236" s="405"/>
      <c r="K236" s="405"/>
      <c r="L236" s="405"/>
      <c r="M236" s="405"/>
      <c r="N236" s="405"/>
      <c r="O236" s="405"/>
      <c r="P236" s="405"/>
      <c r="Q236" s="405"/>
      <c r="R236" s="405"/>
      <c r="S236" s="405"/>
      <c r="T236" s="405"/>
      <c r="U236" s="405"/>
      <c r="V236" s="405"/>
      <c r="W236" s="405"/>
      <c r="X236" s="405"/>
      <c r="Y236" s="405"/>
      <c r="Z236" s="405"/>
      <c r="AA236" s="405"/>
      <c r="AB236" s="405"/>
    </row>
    <row r="237" spans="1:28" ht="15.5">
      <c r="A237" s="406"/>
      <c r="B237" s="406"/>
      <c r="C237" s="406"/>
      <c r="D237" s="405"/>
      <c r="E237" s="405"/>
      <c r="F237" s="405"/>
      <c r="G237" s="405"/>
      <c r="H237" s="405"/>
      <c r="I237" s="405"/>
      <c r="J237" s="405"/>
      <c r="K237" s="405"/>
      <c r="L237" s="405"/>
      <c r="M237" s="405"/>
      <c r="N237" s="405"/>
      <c r="O237" s="405"/>
      <c r="P237" s="405"/>
      <c r="Q237" s="405"/>
      <c r="R237" s="405"/>
      <c r="S237" s="405"/>
      <c r="T237" s="405"/>
      <c r="U237" s="405"/>
      <c r="V237" s="405"/>
      <c r="W237" s="405"/>
      <c r="X237" s="405"/>
      <c r="Y237" s="405"/>
      <c r="Z237" s="405"/>
      <c r="AA237" s="405"/>
      <c r="AB237" s="405"/>
    </row>
    <row r="238" spans="1:28" ht="15.5">
      <c r="A238" s="406"/>
      <c r="B238" s="406"/>
      <c r="C238" s="406"/>
      <c r="D238" s="405"/>
      <c r="E238" s="405"/>
      <c r="F238" s="405"/>
      <c r="G238" s="405"/>
      <c r="H238" s="405"/>
      <c r="I238" s="405"/>
      <c r="J238" s="405"/>
      <c r="K238" s="405"/>
      <c r="L238" s="405"/>
      <c r="M238" s="405"/>
      <c r="N238" s="405"/>
      <c r="O238" s="405"/>
      <c r="P238" s="405"/>
      <c r="Q238" s="405"/>
      <c r="R238" s="405"/>
      <c r="S238" s="405"/>
      <c r="T238" s="405"/>
      <c r="U238" s="405"/>
      <c r="V238" s="405"/>
      <c r="W238" s="405"/>
      <c r="X238" s="405"/>
      <c r="Y238" s="405"/>
      <c r="Z238" s="405"/>
      <c r="AA238" s="405"/>
      <c r="AB238" s="405"/>
    </row>
    <row r="239" spans="1:28" ht="15.5">
      <c r="A239" s="406"/>
      <c r="B239" s="406"/>
      <c r="C239" s="406"/>
      <c r="D239" s="405"/>
      <c r="E239" s="405"/>
      <c r="F239" s="405"/>
      <c r="G239" s="405"/>
      <c r="H239" s="405"/>
      <c r="I239" s="405"/>
      <c r="J239" s="405"/>
      <c r="K239" s="405"/>
      <c r="L239" s="405"/>
      <c r="M239" s="405"/>
      <c r="N239" s="405"/>
      <c r="O239" s="405"/>
      <c r="P239" s="405"/>
      <c r="Q239" s="405"/>
      <c r="R239" s="405"/>
      <c r="S239" s="405"/>
      <c r="T239" s="405"/>
      <c r="U239" s="405"/>
      <c r="V239" s="405"/>
      <c r="W239" s="405"/>
      <c r="X239" s="405"/>
      <c r="Y239" s="405"/>
      <c r="Z239" s="405"/>
      <c r="AA239" s="405"/>
      <c r="AB239" s="405"/>
    </row>
    <row r="240" spans="1:28" ht="15.5">
      <c r="A240" s="406"/>
      <c r="B240" s="406"/>
      <c r="C240" s="406"/>
      <c r="D240" s="405"/>
      <c r="E240" s="405"/>
      <c r="F240" s="405"/>
      <c r="G240" s="405"/>
      <c r="H240" s="405"/>
      <c r="I240" s="405"/>
      <c r="J240" s="405"/>
      <c r="K240" s="405"/>
      <c r="L240" s="405"/>
      <c r="M240" s="405"/>
      <c r="N240" s="405"/>
      <c r="O240" s="405"/>
      <c r="P240" s="405"/>
      <c r="Q240" s="405"/>
      <c r="R240" s="405"/>
      <c r="S240" s="405"/>
      <c r="T240" s="405"/>
      <c r="U240" s="405"/>
      <c r="V240" s="405"/>
      <c r="W240" s="405"/>
      <c r="X240" s="405"/>
      <c r="Y240" s="405"/>
      <c r="Z240" s="405"/>
      <c r="AA240" s="405"/>
      <c r="AB240" s="405"/>
    </row>
    <row r="241" spans="1:28" ht="15.5">
      <c r="A241" s="406"/>
      <c r="B241" s="406"/>
      <c r="C241" s="406"/>
      <c r="D241" s="405"/>
      <c r="E241" s="405"/>
      <c r="F241" s="405"/>
      <c r="G241" s="405"/>
      <c r="H241" s="405"/>
      <c r="I241" s="405"/>
      <c r="J241" s="405"/>
      <c r="K241" s="405"/>
      <c r="L241" s="405"/>
      <c r="M241" s="405"/>
      <c r="N241" s="405"/>
      <c r="O241" s="405"/>
      <c r="P241" s="405"/>
      <c r="Q241" s="405"/>
      <c r="R241" s="405"/>
      <c r="S241" s="405"/>
      <c r="T241" s="405"/>
      <c r="U241" s="405"/>
      <c r="V241" s="405"/>
      <c r="W241" s="405"/>
      <c r="X241" s="405"/>
      <c r="Y241" s="405"/>
      <c r="Z241" s="405"/>
      <c r="AA241" s="405"/>
      <c r="AB241" s="405"/>
    </row>
    <row r="242" spans="1:28" ht="15.5">
      <c r="A242" s="406"/>
      <c r="B242" s="406"/>
      <c r="C242" s="406"/>
      <c r="D242" s="405"/>
      <c r="E242" s="405"/>
      <c r="F242" s="405"/>
      <c r="G242" s="405"/>
      <c r="H242" s="405"/>
      <c r="I242" s="405"/>
      <c r="J242" s="405"/>
      <c r="K242" s="405"/>
      <c r="L242" s="405"/>
      <c r="M242" s="405"/>
      <c r="N242" s="405"/>
      <c r="O242" s="405"/>
      <c r="P242" s="405"/>
      <c r="Q242" s="405"/>
      <c r="R242" s="405"/>
      <c r="S242" s="405"/>
      <c r="T242" s="405"/>
      <c r="U242" s="405"/>
      <c r="V242" s="405"/>
      <c r="W242" s="405"/>
      <c r="X242" s="405"/>
      <c r="Y242" s="405"/>
      <c r="Z242" s="405"/>
      <c r="AA242" s="405"/>
      <c r="AB242" s="405"/>
    </row>
    <row r="243" spans="1:28" ht="15.5">
      <c r="A243" s="406"/>
      <c r="B243" s="406"/>
      <c r="C243" s="406"/>
      <c r="D243" s="405"/>
      <c r="E243" s="405"/>
      <c r="F243" s="405"/>
      <c r="G243" s="405"/>
      <c r="H243" s="405"/>
      <c r="I243" s="405"/>
      <c r="J243" s="405"/>
      <c r="K243" s="405"/>
      <c r="L243" s="405"/>
      <c r="M243" s="405"/>
      <c r="N243" s="405"/>
      <c r="O243" s="405"/>
      <c r="P243" s="405"/>
      <c r="Q243" s="405"/>
      <c r="R243" s="405"/>
      <c r="S243" s="405"/>
      <c r="T243" s="405"/>
      <c r="U243" s="405"/>
      <c r="V243" s="405"/>
      <c r="W243" s="405"/>
      <c r="X243" s="405"/>
      <c r="Y243" s="405"/>
      <c r="Z243" s="405"/>
      <c r="AA243" s="405"/>
      <c r="AB243" s="405"/>
    </row>
    <row r="244" spans="1:28" ht="15.5">
      <c r="A244" s="406"/>
      <c r="B244" s="406"/>
      <c r="C244" s="406"/>
      <c r="D244" s="405"/>
      <c r="E244" s="405"/>
      <c r="F244" s="405"/>
      <c r="G244" s="405"/>
      <c r="H244" s="405"/>
      <c r="I244" s="405"/>
      <c r="J244" s="405"/>
      <c r="K244" s="405"/>
      <c r="L244" s="405"/>
      <c r="M244" s="405"/>
      <c r="N244" s="405"/>
      <c r="O244" s="405"/>
      <c r="P244" s="405"/>
      <c r="Q244" s="405"/>
      <c r="R244" s="405"/>
      <c r="S244" s="405"/>
      <c r="T244" s="405"/>
      <c r="U244" s="405"/>
      <c r="V244" s="405"/>
      <c r="W244" s="405"/>
      <c r="X244" s="405"/>
      <c r="Y244" s="405"/>
      <c r="Z244" s="405"/>
      <c r="AA244" s="405"/>
      <c r="AB244" s="405"/>
    </row>
    <row r="245" spans="1:28" ht="15.5">
      <c r="A245" s="406"/>
      <c r="B245" s="406"/>
      <c r="C245" s="406"/>
      <c r="D245" s="405"/>
      <c r="E245" s="405"/>
      <c r="F245" s="405"/>
      <c r="G245" s="405"/>
      <c r="H245" s="405"/>
      <c r="I245" s="405"/>
      <c r="J245" s="405"/>
      <c r="K245" s="405"/>
      <c r="L245" s="405"/>
      <c r="M245" s="405"/>
      <c r="N245" s="405"/>
      <c r="O245" s="405"/>
      <c r="P245" s="405"/>
      <c r="Q245" s="405"/>
      <c r="R245" s="405"/>
      <c r="S245" s="405"/>
      <c r="T245" s="405"/>
      <c r="U245" s="405"/>
      <c r="V245" s="405"/>
      <c r="W245" s="405"/>
      <c r="X245" s="405"/>
      <c r="Y245" s="405"/>
      <c r="Z245" s="405"/>
      <c r="AA245" s="405"/>
      <c r="AB245" s="405"/>
    </row>
    <row r="246" spans="1:28" ht="15.5">
      <c r="A246" s="406"/>
      <c r="B246" s="406"/>
      <c r="C246" s="406"/>
      <c r="D246" s="405"/>
      <c r="E246" s="405"/>
      <c r="F246" s="405"/>
      <c r="G246" s="405"/>
      <c r="H246" s="405"/>
      <c r="I246" s="405"/>
      <c r="J246" s="405"/>
      <c r="K246" s="405"/>
      <c r="L246" s="405"/>
      <c r="M246" s="405"/>
      <c r="N246" s="405"/>
      <c r="O246" s="405"/>
      <c r="P246" s="405"/>
      <c r="Q246" s="405"/>
      <c r="R246" s="405"/>
      <c r="S246" s="405"/>
      <c r="T246" s="405"/>
      <c r="U246" s="405"/>
      <c r="V246" s="405"/>
      <c r="W246" s="405"/>
      <c r="X246" s="405"/>
      <c r="Y246" s="405"/>
      <c r="Z246" s="405"/>
      <c r="AA246" s="405"/>
      <c r="AB246" s="405"/>
    </row>
    <row r="247" spans="1:28" ht="15.5">
      <c r="A247" s="406"/>
      <c r="B247" s="406"/>
      <c r="C247" s="406"/>
      <c r="D247" s="405"/>
      <c r="E247" s="405"/>
      <c r="F247" s="405"/>
      <c r="G247" s="405"/>
      <c r="H247" s="405"/>
      <c r="I247" s="405"/>
      <c r="J247" s="405"/>
      <c r="K247" s="405"/>
      <c r="L247" s="405"/>
      <c r="M247" s="405"/>
      <c r="N247" s="405"/>
      <c r="O247" s="405"/>
      <c r="P247" s="405"/>
      <c r="Q247" s="405"/>
      <c r="R247" s="405"/>
      <c r="S247" s="405"/>
      <c r="T247" s="405"/>
      <c r="U247" s="405"/>
      <c r="V247" s="405"/>
      <c r="W247" s="405"/>
      <c r="X247" s="405"/>
      <c r="Y247" s="405"/>
      <c r="Z247" s="405"/>
      <c r="AA247" s="405"/>
      <c r="AB247" s="405"/>
    </row>
    <row r="248" spans="1:28" ht="15.5">
      <c r="A248" s="406"/>
      <c r="B248" s="406"/>
      <c r="C248" s="406"/>
      <c r="D248" s="405"/>
      <c r="E248" s="405"/>
      <c r="F248" s="405"/>
      <c r="G248" s="405"/>
      <c r="H248" s="405"/>
      <c r="I248" s="405"/>
      <c r="J248" s="405"/>
      <c r="K248" s="405"/>
      <c r="L248" s="405"/>
      <c r="M248" s="405"/>
      <c r="N248" s="405"/>
      <c r="O248" s="405"/>
      <c r="P248" s="405"/>
      <c r="Q248" s="405"/>
      <c r="R248" s="405"/>
      <c r="S248" s="405"/>
      <c r="T248" s="405"/>
      <c r="U248" s="405"/>
      <c r="V248" s="405"/>
      <c r="W248" s="405"/>
      <c r="X248" s="405"/>
      <c r="Y248" s="405"/>
      <c r="Z248" s="405"/>
      <c r="AA248" s="405"/>
      <c r="AB248" s="405"/>
    </row>
    <row r="249" spans="1:28" ht="15.5">
      <c r="A249" s="406"/>
      <c r="B249" s="406"/>
      <c r="C249" s="406"/>
      <c r="D249" s="405"/>
      <c r="E249" s="405"/>
      <c r="F249" s="405"/>
      <c r="G249" s="405"/>
      <c r="H249" s="405"/>
      <c r="I249" s="405"/>
      <c r="J249" s="405"/>
      <c r="K249" s="405"/>
      <c r="L249" s="405"/>
      <c r="M249" s="405"/>
      <c r="N249" s="405"/>
      <c r="O249" s="405"/>
      <c r="P249" s="405"/>
      <c r="Q249" s="405"/>
      <c r="R249" s="405"/>
      <c r="S249" s="405"/>
      <c r="T249" s="405"/>
      <c r="U249" s="405"/>
      <c r="V249" s="405"/>
      <c r="W249" s="405"/>
      <c r="X249" s="405"/>
      <c r="Y249" s="405"/>
      <c r="Z249" s="405"/>
      <c r="AA249" s="405"/>
      <c r="AB249" s="405"/>
    </row>
    <row r="250" spans="1:28" ht="15.5">
      <c r="A250" s="406"/>
      <c r="B250" s="406"/>
      <c r="C250" s="406"/>
      <c r="D250" s="405"/>
      <c r="E250" s="405"/>
      <c r="F250" s="405"/>
      <c r="G250" s="405"/>
      <c r="H250" s="405"/>
      <c r="I250" s="405"/>
      <c r="J250" s="405"/>
      <c r="K250" s="405"/>
      <c r="L250" s="405"/>
      <c r="M250" s="405"/>
      <c r="N250" s="405"/>
      <c r="O250" s="405"/>
      <c r="P250" s="405"/>
      <c r="Q250" s="405"/>
      <c r="R250" s="405"/>
      <c r="S250" s="405"/>
      <c r="T250" s="405"/>
      <c r="U250" s="405"/>
      <c r="V250" s="405"/>
      <c r="W250" s="405"/>
      <c r="X250" s="405"/>
      <c r="Y250" s="405"/>
      <c r="Z250" s="405"/>
      <c r="AA250" s="405"/>
      <c r="AB250" s="405"/>
    </row>
    <row r="251" spans="1:28" ht="15.5">
      <c r="A251" s="406"/>
      <c r="B251" s="406"/>
      <c r="C251" s="406"/>
      <c r="D251" s="405"/>
      <c r="E251" s="405"/>
      <c r="F251" s="405"/>
      <c r="G251" s="405"/>
      <c r="H251" s="405"/>
      <c r="I251" s="405"/>
      <c r="J251" s="405"/>
      <c r="K251" s="405"/>
      <c r="L251" s="405"/>
      <c r="M251" s="405"/>
      <c r="N251" s="405"/>
      <c r="O251" s="405"/>
      <c r="P251" s="405"/>
      <c r="Q251" s="405"/>
      <c r="R251" s="405"/>
      <c r="S251" s="405"/>
      <c r="T251" s="405"/>
      <c r="U251" s="405"/>
      <c r="V251" s="405"/>
      <c r="W251" s="405"/>
      <c r="X251" s="405"/>
      <c r="Y251" s="405"/>
      <c r="Z251" s="405"/>
      <c r="AA251" s="405"/>
      <c r="AB251" s="405"/>
    </row>
    <row r="252" spans="1:28" ht="15.5">
      <c r="A252" s="406"/>
      <c r="B252" s="406"/>
      <c r="C252" s="406"/>
      <c r="D252" s="405"/>
      <c r="E252" s="405"/>
      <c r="F252" s="405"/>
      <c r="G252" s="405"/>
      <c r="H252" s="405"/>
      <c r="I252" s="405"/>
      <c r="J252" s="405"/>
      <c r="K252" s="405"/>
      <c r="L252" s="405"/>
      <c r="M252" s="405"/>
      <c r="N252" s="405"/>
      <c r="O252" s="405"/>
      <c r="P252" s="405"/>
      <c r="Q252" s="405"/>
      <c r="R252" s="405"/>
      <c r="S252" s="405"/>
      <c r="T252" s="405"/>
      <c r="U252" s="405"/>
      <c r="V252" s="405"/>
      <c r="W252" s="405"/>
      <c r="X252" s="405"/>
      <c r="Y252" s="405"/>
      <c r="Z252" s="405"/>
      <c r="AA252" s="405"/>
      <c r="AB252" s="405"/>
    </row>
    <row r="253" spans="1:28" ht="15.5">
      <c r="A253" s="406"/>
      <c r="B253" s="406"/>
      <c r="C253" s="406"/>
      <c r="D253" s="405"/>
      <c r="E253" s="405"/>
      <c r="F253" s="405"/>
      <c r="G253" s="405"/>
      <c r="H253" s="405"/>
      <c r="I253" s="405"/>
      <c r="J253" s="405"/>
      <c r="K253" s="405"/>
      <c r="L253" s="405"/>
      <c r="M253" s="405"/>
      <c r="N253" s="405"/>
      <c r="O253" s="405"/>
      <c r="P253" s="405"/>
      <c r="Q253" s="405"/>
      <c r="R253" s="405"/>
      <c r="S253" s="405"/>
      <c r="T253" s="405"/>
      <c r="U253" s="405"/>
      <c r="V253" s="405"/>
      <c r="W253" s="405"/>
      <c r="X253" s="405"/>
      <c r="Y253" s="405"/>
      <c r="Z253" s="405"/>
      <c r="AA253" s="405"/>
      <c r="AB253" s="405"/>
    </row>
    <row r="254" spans="1:28" ht="15.5">
      <c r="A254" s="406"/>
      <c r="B254" s="406"/>
      <c r="C254" s="406"/>
      <c r="D254" s="405"/>
      <c r="E254" s="405"/>
      <c r="F254" s="405"/>
      <c r="G254" s="405"/>
      <c r="H254" s="405"/>
      <c r="I254" s="405"/>
      <c r="J254" s="405"/>
      <c r="K254" s="405"/>
      <c r="L254" s="405"/>
      <c r="M254" s="405"/>
      <c r="N254" s="405"/>
      <c r="O254" s="405"/>
      <c r="P254" s="405"/>
      <c r="Q254" s="405"/>
      <c r="R254" s="405"/>
      <c r="S254" s="405"/>
      <c r="T254" s="405"/>
      <c r="U254" s="405"/>
      <c r="V254" s="405"/>
      <c r="W254" s="405"/>
      <c r="X254" s="405"/>
      <c r="Y254" s="405"/>
      <c r="Z254" s="405"/>
      <c r="AA254" s="405"/>
      <c r="AB254" s="405"/>
    </row>
    <row r="255" spans="1:28" ht="15.5">
      <c r="A255" s="406"/>
      <c r="B255" s="406"/>
      <c r="C255" s="406"/>
      <c r="D255" s="405"/>
      <c r="E255" s="405"/>
      <c r="F255" s="405"/>
      <c r="G255" s="405"/>
      <c r="H255" s="405"/>
      <c r="I255" s="405"/>
      <c r="J255" s="405"/>
      <c r="K255" s="405"/>
      <c r="L255" s="405"/>
      <c r="M255" s="405"/>
      <c r="N255" s="405"/>
      <c r="O255" s="405"/>
      <c r="P255" s="405"/>
      <c r="Q255" s="405"/>
      <c r="R255" s="405"/>
      <c r="S255" s="405"/>
      <c r="T255" s="405"/>
      <c r="U255" s="405"/>
      <c r="V255" s="405"/>
      <c r="W255" s="405"/>
      <c r="X255" s="405"/>
      <c r="Y255" s="405"/>
      <c r="Z255" s="405"/>
      <c r="AA255" s="405"/>
      <c r="AB255" s="405"/>
    </row>
    <row r="256" spans="1:28" ht="15.5">
      <c r="A256" s="406"/>
      <c r="B256" s="406"/>
      <c r="C256" s="406"/>
      <c r="D256" s="405"/>
      <c r="E256" s="405"/>
      <c r="F256" s="405"/>
      <c r="G256" s="405"/>
      <c r="H256" s="405"/>
      <c r="I256" s="405"/>
      <c r="J256" s="405"/>
      <c r="K256" s="405"/>
      <c r="L256" s="405"/>
      <c r="M256" s="405"/>
      <c r="N256" s="405"/>
      <c r="O256" s="405"/>
      <c r="P256" s="405"/>
      <c r="Q256" s="405"/>
      <c r="R256" s="405"/>
      <c r="S256" s="405"/>
      <c r="T256" s="405"/>
      <c r="U256" s="405"/>
      <c r="V256" s="405"/>
      <c r="W256" s="405"/>
      <c r="X256" s="405"/>
      <c r="Y256" s="405"/>
      <c r="Z256" s="405"/>
      <c r="AA256" s="405"/>
      <c r="AB256" s="405"/>
    </row>
    <row r="257" spans="1:28" ht="15.5">
      <c r="A257" s="406"/>
      <c r="B257" s="406"/>
      <c r="C257" s="406"/>
      <c r="D257" s="405"/>
      <c r="E257" s="405"/>
      <c r="F257" s="405"/>
      <c r="G257" s="405"/>
      <c r="H257" s="405"/>
      <c r="I257" s="405"/>
      <c r="J257" s="405"/>
      <c r="K257" s="405"/>
      <c r="L257" s="405"/>
      <c r="M257" s="405"/>
      <c r="N257" s="405"/>
      <c r="O257" s="405"/>
      <c r="P257" s="405"/>
      <c r="Q257" s="405"/>
      <c r="R257" s="405"/>
      <c r="S257" s="405"/>
      <c r="T257" s="405"/>
      <c r="U257" s="405"/>
      <c r="V257" s="405"/>
      <c r="W257" s="405"/>
      <c r="X257" s="405"/>
      <c r="Y257" s="405"/>
      <c r="Z257" s="405"/>
      <c r="AA257" s="405"/>
      <c r="AB257" s="405"/>
    </row>
    <row r="258" spans="1:28" ht="15.5">
      <c r="A258" s="406"/>
      <c r="B258" s="406"/>
      <c r="C258" s="406"/>
      <c r="D258" s="405"/>
      <c r="E258" s="405"/>
      <c r="F258" s="405"/>
      <c r="G258" s="405"/>
      <c r="H258" s="405"/>
      <c r="I258" s="405"/>
      <c r="J258" s="405"/>
      <c r="K258" s="405"/>
      <c r="L258" s="405"/>
      <c r="M258" s="405"/>
      <c r="N258" s="405"/>
      <c r="O258" s="405"/>
      <c r="P258" s="405"/>
      <c r="Q258" s="405"/>
      <c r="R258" s="405"/>
      <c r="S258" s="405"/>
      <c r="T258" s="405"/>
      <c r="U258" s="405"/>
      <c r="V258" s="405"/>
      <c r="W258" s="405"/>
      <c r="X258" s="405"/>
      <c r="Y258" s="405"/>
      <c r="Z258" s="405"/>
      <c r="AA258" s="405"/>
      <c r="AB258" s="405"/>
    </row>
    <row r="259" spans="1:28" ht="15.5">
      <c r="A259" s="406"/>
      <c r="B259" s="406"/>
      <c r="C259" s="406"/>
      <c r="D259" s="405"/>
      <c r="E259" s="405"/>
      <c r="F259" s="405"/>
      <c r="G259" s="405"/>
      <c r="H259" s="405"/>
      <c r="I259" s="405"/>
      <c r="J259" s="405"/>
      <c r="K259" s="405"/>
      <c r="L259" s="405"/>
      <c r="M259" s="405"/>
      <c r="N259" s="405"/>
      <c r="O259" s="405"/>
      <c r="P259" s="405"/>
      <c r="Q259" s="405"/>
      <c r="R259" s="405"/>
      <c r="S259" s="405"/>
      <c r="T259" s="405"/>
      <c r="U259" s="405"/>
      <c r="V259" s="405"/>
      <c r="W259" s="405"/>
      <c r="X259" s="405"/>
      <c r="Y259" s="405"/>
      <c r="Z259" s="405"/>
      <c r="AA259" s="405"/>
      <c r="AB259" s="405"/>
    </row>
    <row r="260" spans="1:28" ht="15.5">
      <c r="A260" s="406"/>
      <c r="B260" s="406"/>
      <c r="C260" s="406"/>
      <c r="D260" s="405"/>
      <c r="E260" s="405"/>
      <c r="F260" s="405"/>
      <c r="G260" s="405"/>
      <c r="H260" s="405"/>
      <c r="I260" s="405"/>
      <c r="J260" s="405"/>
      <c r="K260" s="405"/>
      <c r="L260" s="405"/>
      <c r="M260" s="405"/>
      <c r="N260" s="405"/>
      <c r="O260" s="405"/>
      <c r="P260" s="405"/>
      <c r="Q260" s="405"/>
      <c r="R260" s="405"/>
      <c r="S260" s="405"/>
      <c r="T260" s="405"/>
      <c r="U260" s="405"/>
      <c r="V260" s="405"/>
      <c r="W260" s="405"/>
      <c r="X260" s="405"/>
      <c r="Y260" s="405"/>
      <c r="Z260" s="405"/>
      <c r="AA260" s="405"/>
      <c r="AB260" s="405"/>
    </row>
    <row r="261" spans="1:28" ht="15.5">
      <c r="A261" s="406"/>
      <c r="B261" s="406"/>
      <c r="C261" s="406"/>
      <c r="D261" s="405"/>
      <c r="E261" s="405"/>
      <c r="F261" s="405"/>
      <c r="G261" s="405"/>
      <c r="H261" s="405"/>
      <c r="I261" s="405"/>
      <c r="J261" s="405"/>
      <c r="K261" s="405"/>
      <c r="L261" s="405"/>
      <c r="M261" s="405"/>
      <c r="N261" s="405"/>
      <c r="O261" s="405"/>
      <c r="P261" s="405"/>
      <c r="Q261" s="405"/>
      <c r="R261" s="405"/>
      <c r="S261" s="405"/>
      <c r="T261" s="405"/>
      <c r="U261" s="405"/>
      <c r="V261" s="405"/>
      <c r="W261" s="405"/>
      <c r="X261" s="405"/>
      <c r="Y261" s="405"/>
      <c r="Z261" s="405"/>
      <c r="AA261" s="405"/>
      <c r="AB261" s="405"/>
    </row>
    <row r="262" spans="1:28" ht="15.5">
      <c r="A262" s="406"/>
      <c r="B262" s="406"/>
      <c r="C262" s="406"/>
      <c r="D262" s="405"/>
      <c r="E262" s="405"/>
      <c r="F262" s="405"/>
      <c r="G262" s="405"/>
      <c r="H262" s="405"/>
      <c r="I262" s="405"/>
      <c r="J262" s="405"/>
      <c r="K262" s="405"/>
      <c r="L262" s="405"/>
      <c r="M262" s="405"/>
      <c r="N262" s="405"/>
      <c r="O262" s="405"/>
      <c r="P262" s="405"/>
      <c r="Q262" s="405"/>
      <c r="R262" s="405"/>
      <c r="S262" s="405"/>
      <c r="T262" s="405"/>
      <c r="U262" s="405"/>
      <c r="V262" s="405"/>
      <c r="W262" s="405"/>
      <c r="X262" s="405"/>
      <c r="Y262" s="405"/>
      <c r="Z262" s="405"/>
      <c r="AA262" s="405"/>
      <c r="AB262" s="405"/>
    </row>
    <row r="263" spans="1:28" ht="15.5">
      <c r="A263" s="406"/>
      <c r="B263" s="406"/>
      <c r="C263" s="406"/>
      <c r="D263" s="405"/>
      <c r="E263" s="405"/>
      <c r="F263" s="405"/>
      <c r="G263" s="405"/>
      <c r="H263" s="405"/>
      <c r="I263" s="405"/>
      <c r="J263" s="405"/>
      <c r="K263" s="405"/>
      <c r="L263" s="405"/>
      <c r="M263" s="405"/>
      <c r="N263" s="405"/>
      <c r="O263" s="405"/>
      <c r="P263" s="405"/>
      <c r="Q263" s="405"/>
      <c r="R263" s="405"/>
      <c r="S263" s="405"/>
      <c r="T263" s="405"/>
      <c r="U263" s="405"/>
      <c r="V263" s="405"/>
      <c r="W263" s="405"/>
      <c r="X263" s="405"/>
      <c r="Y263" s="405"/>
      <c r="Z263" s="405"/>
      <c r="AA263" s="405"/>
      <c r="AB263" s="405"/>
    </row>
    <row r="264" spans="1:28" ht="15.5">
      <c r="A264" s="406"/>
      <c r="B264" s="406"/>
      <c r="C264" s="406"/>
      <c r="D264" s="405"/>
      <c r="E264" s="405"/>
      <c r="F264" s="405"/>
      <c r="G264" s="405"/>
      <c r="H264" s="405"/>
      <c r="I264" s="405"/>
      <c r="J264" s="405"/>
      <c r="K264" s="405"/>
      <c r="L264" s="405"/>
      <c r="M264" s="405"/>
      <c r="N264" s="405"/>
      <c r="O264" s="405"/>
      <c r="P264" s="405"/>
      <c r="Q264" s="405"/>
      <c r="R264" s="405"/>
      <c r="S264" s="405"/>
      <c r="T264" s="405"/>
      <c r="U264" s="405"/>
      <c r="V264" s="405"/>
      <c r="W264" s="405"/>
      <c r="X264" s="405"/>
      <c r="Y264" s="405"/>
      <c r="Z264" s="405"/>
      <c r="AA264" s="405"/>
      <c r="AB264" s="405"/>
    </row>
    <row r="265" spans="1:28" ht="15.5">
      <c r="A265" s="406"/>
      <c r="B265" s="406"/>
      <c r="C265" s="406"/>
      <c r="D265" s="405"/>
      <c r="E265" s="405"/>
      <c r="F265" s="405"/>
      <c r="G265" s="405"/>
      <c r="H265" s="405"/>
      <c r="I265" s="405"/>
      <c r="J265" s="405"/>
      <c r="K265" s="405"/>
      <c r="L265" s="405"/>
      <c r="M265" s="405"/>
      <c r="N265" s="405"/>
      <c r="O265" s="405"/>
      <c r="P265" s="405"/>
      <c r="Q265" s="405"/>
      <c r="R265" s="405"/>
      <c r="S265" s="405"/>
      <c r="T265" s="405"/>
      <c r="U265" s="405"/>
      <c r="V265" s="405"/>
      <c r="W265" s="405"/>
      <c r="X265" s="405"/>
      <c r="Y265" s="405"/>
      <c r="Z265" s="405"/>
      <c r="AA265" s="405"/>
      <c r="AB265" s="405"/>
    </row>
    <row r="266" spans="1:28" ht="15.5">
      <c r="A266" s="406"/>
      <c r="B266" s="406"/>
      <c r="C266" s="406"/>
      <c r="D266" s="405"/>
      <c r="E266" s="405"/>
      <c r="F266" s="405"/>
      <c r="G266" s="405"/>
      <c r="H266" s="405"/>
      <c r="I266" s="405"/>
      <c r="J266" s="405"/>
      <c r="K266" s="405"/>
      <c r="L266" s="405"/>
      <c r="M266" s="405"/>
      <c r="N266" s="405"/>
      <c r="O266" s="405"/>
      <c r="P266" s="405"/>
      <c r="Q266" s="405"/>
      <c r="R266" s="405"/>
      <c r="S266" s="405"/>
      <c r="T266" s="405"/>
      <c r="U266" s="405"/>
      <c r="V266" s="405"/>
      <c r="W266" s="405"/>
      <c r="X266" s="405"/>
      <c r="Y266" s="405"/>
      <c r="Z266" s="405"/>
      <c r="AA266" s="405"/>
      <c r="AB266" s="405"/>
    </row>
    <row r="267" spans="1:28" ht="15.5">
      <c r="A267" s="406"/>
      <c r="B267" s="406"/>
      <c r="C267" s="406"/>
      <c r="D267" s="405"/>
      <c r="E267" s="405"/>
      <c r="F267" s="405"/>
      <c r="G267" s="405"/>
      <c r="H267" s="405"/>
      <c r="I267" s="405"/>
      <c r="J267" s="405"/>
      <c r="K267" s="405"/>
      <c r="L267" s="405"/>
      <c r="M267" s="405"/>
      <c r="N267" s="405"/>
      <c r="O267" s="405"/>
      <c r="P267" s="405"/>
      <c r="Q267" s="405"/>
      <c r="R267" s="405"/>
      <c r="S267" s="405"/>
      <c r="T267" s="405"/>
      <c r="U267" s="405"/>
      <c r="V267" s="405"/>
      <c r="W267" s="405"/>
      <c r="X267" s="405"/>
      <c r="Y267" s="405"/>
      <c r="Z267" s="405"/>
      <c r="AA267" s="405"/>
      <c r="AB267" s="405"/>
    </row>
    <row r="268" spans="1:28" ht="15.5">
      <c r="A268" s="406"/>
      <c r="B268" s="406"/>
      <c r="C268" s="406"/>
      <c r="D268" s="405"/>
      <c r="E268" s="405"/>
      <c r="F268" s="405"/>
      <c r="G268" s="405"/>
      <c r="H268" s="405"/>
      <c r="I268" s="405"/>
      <c r="J268" s="405"/>
      <c r="K268" s="405"/>
      <c r="L268" s="405"/>
      <c r="M268" s="405"/>
      <c r="N268" s="405"/>
      <c r="O268" s="405"/>
      <c r="P268" s="405"/>
      <c r="Q268" s="405"/>
      <c r="R268" s="405"/>
      <c r="S268" s="405"/>
      <c r="T268" s="405"/>
      <c r="U268" s="405"/>
      <c r="V268" s="405"/>
      <c r="W268" s="405"/>
      <c r="X268" s="405"/>
      <c r="Y268" s="405"/>
      <c r="Z268" s="405"/>
      <c r="AA268" s="405"/>
      <c r="AB268" s="405"/>
    </row>
    <row r="269" spans="1:28" ht="15.5">
      <c r="A269" s="406"/>
      <c r="B269" s="406"/>
      <c r="C269" s="406"/>
      <c r="D269" s="405"/>
      <c r="E269" s="405"/>
      <c r="F269" s="405"/>
      <c r="G269" s="405"/>
      <c r="H269" s="405"/>
      <c r="I269" s="405"/>
      <c r="J269" s="405"/>
      <c r="K269" s="405"/>
      <c r="L269" s="405"/>
      <c r="M269" s="405"/>
      <c r="N269" s="405"/>
      <c r="O269" s="405"/>
      <c r="P269" s="405"/>
      <c r="Q269" s="405"/>
      <c r="R269" s="405"/>
      <c r="S269" s="405"/>
      <c r="T269" s="405"/>
      <c r="U269" s="405"/>
      <c r="V269" s="405"/>
      <c r="W269" s="405"/>
      <c r="X269" s="405"/>
      <c r="Y269" s="405"/>
      <c r="Z269" s="405"/>
      <c r="AA269" s="405"/>
      <c r="AB269" s="405"/>
    </row>
    <row r="270" spans="1:28" ht="15.5">
      <c r="A270" s="406"/>
      <c r="B270" s="406"/>
      <c r="C270" s="406"/>
      <c r="D270" s="405"/>
      <c r="E270" s="405"/>
      <c r="F270" s="405"/>
      <c r="G270" s="405"/>
      <c r="H270" s="405"/>
      <c r="I270" s="405"/>
      <c r="J270" s="405"/>
      <c r="K270" s="405"/>
      <c r="L270" s="405"/>
      <c r="M270" s="405"/>
      <c r="N270" s="405"/>
      <c r="O270" s="405"/>
      <c r="P270" s="405"/>
      <c r="Q270" s="405"/>
      <c r="R270" s="405"/>
      <c r="S270" s="405"/>
      <c r="T270" s="405"/>
      <c r="U270" s="405"/>
      <c r="V270" s="405"/>
      <c r="W270" s="405"/>
      <c r="X270" s="405"/>
      <c r="Y270" s="405"/>
      <c r="Z270" s="405"/>
      <c r="AA270" s="405"/>
      <c r="AB270" s="405"/>
    </row>
    <row r="271" spans="1:28" ht="15.5">
      <c r="A271" s="406"/>
      <c r="B271" s="406"/>
      <c r="C271" s="406"/>
      <c r="D271" s="405"/>
      <c r="E271" s="405"/>
      <c r="F271" s="405"/>
      <c r="G271" s="405"/>
      <c r="H271" s="405"/>
      <c r="I271" s="405"/>
      <c r="J271" s="405"/>
      <c r="K271" s="405"/>
      <c r="L271" s="405"/>
      <c r="M271" s="405"/>
      <c r="N271" s="405"/>
      <c r="O271" s="405"/>
      <c r="P271" s="405"/>
      <c r="Q271" s="405"/>
      <c r="R271" s="405"/>
      <c r="S271" s="405"/>
      <c r="T271" s="405"/>
      <c r="U271" s="405"/>
      <c r="V271" s="405"/>
      <c r="W271" s="405"/>
      <c r="X271" s="405"/>
      <c r="Y271" s="405"/>
      <c r="Z271" s="405"/>
      <c r="AA271" s="405"/>
      <c r="AB271" s="405"/>
    </row>
    <row r="272" spans="1:28" ht="15.5">
      <c r="A272" s="406"/>
      <c r="B272" s="406"/>
      <c r="C272" s="406"/>
      <c r="D272" s="405"/>
      <c r="E272" s="405"/>
      <c r="F272" s="405"/>
      <c r="G272" s="405"/>
      <c r="H272" s="405"/>
      <c r="I272" s="405"/>
      <c r="J272" s="405"/>
      <c r="K272" s="405"/>
      <c r="L272" s="405"/>
      <c r="M272" s="405"/>
      <c r="N272" s="405"/>
      <c r="O272" s="405"/>
      <c r="P272" s="405"/>
      <c r="Q272" s="405"/>
      <c r="R272" s="405"/>
      <c r="S272" s="405"/>
      <c r="T272" s="405"/>
      <c r="U272" s="405"/>
      <c r="V272" s="405"/>
      <c r="W272" s="405"/>
      <c r="X272" s="405"/>
      <c r="Y272" s="405"/>
      <c r="Z272" s="405"/>
      <c r="AA272" s="405"/>
      <c r="AB272" s="405"/>
    </row>
    <row r="273" spans="1:28" ht="15.5">
      <c r="A273" s="406"/>
      <c r="B273" s="406"/>
      <c r="C273" s="406"/>
      <c r="D273" s="405"/>
      <c r="E273" s="405"/>
      <c r="F273" s="405"/>
      <c r="G273" s="405"/>
      <c r="H273" s="405"/>
      <c r="I273" s="405"/>
      <c r="J273" s="405"/>
      <c r="K273" s="405"/>
      <c r="L273" s="405"/>
      <c r="M273" s="405"/>
      <c r="N273" s="405"/>
      <c r="O273" s="405"/>
      <c r="P273" s="405"/>
      <c r="Q273" s="405"/>
      <c r="R273" s="405"/>
      <c r="S273" s="405"/>
      <c r="T273" s="405"/>
      <c r="U273" s="405"/>
      <c r="V273" s="405"/>
      <c r="W273" s="405"/>
      <c r="X273" s="405"/>
      <c r="Y273" s="405"/>
      <c r="Z273" s="405"/>
      <c r="AA273" s="405"/>
      <c r="AB273" s="405"/>
    </row>
    <row r="274" spans="1:28" ht="15.5">
      <c r="A274" s="406"/>
      <c r="B274" s="406"/>
      <c r="C274" s="406"/>
      <c r="D274" s="405"/>
      <c r="E274" s="405"/>
      <c r="F274" s="405"/>
      <c r="G274" s="405"/>
      <c r="H274" s="405"/>
      <c r="I274" s="405"/>
      <c r="J274" s="405"/>
      <c r="K274" s="405"/>
      <c r="L274" s="405"/>
      <c r="M274" s="405"/>
      <c r="N274" s="405"/>
      <c r="O274" s="405"/>
      <c r="P274" s="405"/>
      <c r="Q274" s="405"/>
      <c r="R274" s="405"/>
      <c r="S274" s="405"/>
      <c r="T274" s="405"/>
      <c r="U274" s="405"/>
      <c r="V274" s="405"/>
      <c r="W274" s="405"/>
      <c r="X274" s="405"/>
      <c r="Y274" s="405"/>
      <c r="Z274" s="405"/>
      <c r="AA274" s="405"/>
      <c r="AB274" s="405"/>
    </row>
    <row r="275" spans="1:28" ht="15.5">
      <c r="A275" s="406"/>
      <c r="B275" s="406"/>
      <c r="C275" s="406"/>
      <c r="D275" s="405"/>
      <c r="E275" s="405"/>
      <c r="F275" s="405"/>
      <c r="G275" s="405"/>
      <c r="H275" s="405"/>
      <c r="I275" s="405"/>
      <c r="J275" s="405"/>
      <c r="K275" s="405"/>
      <c r="L275" s="405"/>
      <c r="M275" s="405"/>
      <c r="N275" s="405"/>
      <c r="O275" s="405"/>
      <c r="P275" s="405"/>
      <c r="Q275" s="405"/>
      <c r="R275" s="405"/>
      <c r="S275" s="405"/>
      <c r="T275" s="405"/>
      <c r="U275" s="405"/>
      <c r="V275" s="405"/>
      <c r="W275" s="405"/>
      <c r="X275" s="405"/>
      <c r="Y275" s="405"/>
      <c r="Z275" s="405"/>
      <c r="AA275" s="405"/>
      <c r="AB275" s="405"/>
    </row>
    <row r="276" spans="1:28" ht="15.5">
      <c r="A276" s="406"/>
      <c r="B276" s="406"/>
      <c r="C276" s="406"/>
      <c r="D276" s="405"/>
      <c r="E276" s="405"/>
      <c r="F276" s="405"/>
      <c r="G276" s="405"/>
      <c r="H276" s="405"/>
      <c r="I276" s="405"/>
      <c r="J276" s="405"/>
      <c r="K276" s="405"/>
      <c r="L276" s="405"/>
      <c r="M276" s="405"/>
      <c r="N276" s="405"/>
      <c r="O276" s="405"/>
      <c r="P276" s="405"/>
      <c r="Q276" s="405"/>
      <c r="R276" s="405"/>
      <c r="S276" s="405"/>
      <c r="T276" s="405"/>
      <c r="U276" s="405"/>
      <c r="V276" s="405"/>
      <c r="W276" s="405"/>
      <c r="X276" s="405"/>
      <c r="Y276" s="405"/>
      <c r="Z276" s="405"/>
      <c r="AA276" s="405"/>
      <c r="AB276" s="405"/>
    </row>
    <row r="277" spans="1:28" ht="15.5">
      <c r="A277" s="406"/>
      <c r="B277" s="406"/>
      <c r="C277" s="406"/>
      <c r="D277" s="405"/>
      <c r="E277" s="405"/>
      <c r="F277" s="405"/>
      <c r="G277" s="405"/>
      <c r="H277" s="405"/>
      <c r="I277" s="405"/>
      <c r="J277" s="405"/>
      <c r="K277" s="405"/>
      <c r="L277" s="405"/>
      <c r="M277" s="405"/>
      <c r="N277" s="405"/>
      <c r="O277" s="405"/>
      <c r="P277" s="405"/>
      <c r="Q277" s="405"/>
      <c r="R277" s="405"/>
      <c r="S277" s="405"/>
      <c r="T277" s="405"/>
      <c r="U277" s="405"/>
      <c r="V277" s="405"/>
      <c r="W277" s="405"/>
      <c r="X277" s="405"/>
      <c r="Y277" s="405"/>
      <c r="Z277" s="405"/>
      <c r="AA277" s="405"/>
      <c r="AB277" s="405"/>
    </row>
    <row r="278" spans="1:28" ht="15.5">
      <c r="A278" s="406"/>
      <c r="B278" s="406"/>
      <c r="C278" s="406"/>
      <c r="D278" s="405"/>
      <c r="E278" s="405"/>
      <c r="F278" s="405"/>
      <c r="G278" s="405"/>
      <c r="H278" s="405"/>
      <c r="I278" s="405"/>
      <c r="J278" s="405"/>
      <c r="K278" s="405"/>
      <c r="L278" s="405"/>
      <c r="M278" s="405"/>
      <c r="N278" s="405"/>
      <c r="O278" s="405"/>
      <c r="P278" s="405"/>
      <c r="Q278" s="405"/>
      <c r="R278" s="405"/>
      <c r="S278" s="405"/>
      <c r="T278" s="405"/>
      <c r="U278" s="405"/>
      <c r="V278" s="405"/>
      <c r="W278" s="405"/>
      <c r="X278" s="405"/>
      <c r="Y278" s="405"/>
      <c r="Z278" s="405"/>
      <c r="AA278" s="405"/>
      <c r="AB278" s="405"/>
    </row>
    <row r="279" spans="1:28" ht="15.5">
      <c r="A279" s="406"/>
      <c r="B279" s="406"/>
      <c r="C279" s="406"/>
      <c r="D279" s="405"/>
      <c r="E279" s="405"/>
      <c r="F279" s="405"/>
      <c r="G279" s="405"/>
      <c r="H279" s="405"/>
      <c r="I279" s="405"/>
      <c r="J279" s="405"/>
      <c r="K279" s="405"/>
      <c r="L279" s="405"/>
      <c r="M279" s="405"/>
      <c r="N279" s="405"/>
      <c r="O279" s="405"/>
      <c r="P279" s="405"/>
      <c r="Q279" s="405"/>
      <c r="R279" s="405"/>
      <c r="S279" s="405"/>
      <c r="T279" s="405"/>
      <c r="U279" s="405"/>
      <c r="V279" s="405"/>
      <c r="W279" s="405"/>
      <c r="X279" s="405"/>
      <c r="Y279" s="405"/>
      <c r="Z279" s="405"/>
      <c r="AA279" s="405"/>
      <c r="AB279" s="405"/>
    </row>
    <row r="280" spans="1:28" ht="15.5">
      <c r="A280" s="406"/>
      <c r="B280" s="406"/>
      <c r="C280" s="406"/>
      <c r="D280" s="405"/>
      <c r="E280" s="405"/>
      <c r="F280" s="405"/>
      <c r="G280" s="405"/>
      <c r="H280" s="405"/>
      <c r="I280" s="405"/>
      <c r="J280" s="405"/>
      <c r="K280" s="405"/>
      <c r="L280" s="405"/>
      <c r="M280" s="405"/>
      <c r="N280" s="405"/>
      <c r="O280" s="405"/>
      <c r="P280" s="405"/>
      <c r="Q280" s="405"/>
      <c r="R280" s="405"/>
      <c r="S280" s="405"/>
      <c r="T280" s="405"/>
      <c r="U280" s="405"/>
      <c r="V280" s="405"/>
      <c r="W280" s="405"/>
      <c r="X280" s="405"/>
      <c r="Y280" s="405"/>
      <c r="Z280" s="405"/>
      <c r="AA280" s="405"/>
      <c r="AB280" s="405"/>
    </row>
    <row r="281" spans="1:28" ht="15.5">
      <c r="A281" s="406"/>
      <c r="B281" s="406"/>
      <c r="C281" s="406"/>
      <c r="D281" s="405"/>
      <c r="E281" s="405"/>
      <c r="F281" s="405"/>
      <c r="G281" s="405"/>
      <c r="H281" s="405"/>
      <c r="I281" s="405"/>
      <c r="J281" s="405"/>
      <c r="K281" s="405"/>
      <c r="L281" s="405"/>
      <c r="M281" s="405"/>
      <c r="N281" s="405"/>
      <c r="O281" s="405"/>
      <c r="P281" s="405"/>
      <c r="Q281" s="405"/>
      <c r="R281" s="405"/>
      <c r="S281" s="405"/>
      <c r="T281" s="405"/>
      <c r="U281" s="405"/>
      <c r="V281" s="405"/>
      <c r="W281" s="405"/>
      <c r="X281" s="405"/>
      <c r="Y281" s="405"/>
      <c r="Z281" s="405"/>
      <c r="AA281" s="405"/>
      <c r="AB281" s="405"/>
    </row>
    <row r="282" spans="1:28" ht="15.5">
      <c r="A282" s="406"/>
      <c r="B282" s="406"/>
      <c r="C282" s="406"/>
      <c r="D282" s="405"/>
      <c r="E282" s="405"/>
      <c r="F282" s="405"/>
      <c r="G282" s="405"/>
      <c r="H282" s="405"/>
      <c r="I282" s="405"/>
      <c r="J282" s="405"/>
      <c r="K282" s="405"/>
      <c r="L282" s="405"/>
      <c r="M282" s="405"/>
      <c r="N282" s="405"/>
      <c r="O282" s="405"/>
      <c r="P282" s="405"/>
      <c r="Q282" s="405"/>
      <c r="R282" s="405"/>
      <c r="S282" s="405"/>
      <c r="T282" s="405"/>
      <c r="U282" s="405"/>
      <c r="V282" s="405"/>
      <c r="W282" s="405"/>
      <c r="X282" s="405"/>
      <c r="Y282" s="405"/>
      <c r="Z282" s="405"/>
      <c r="AA282" s="405"/>
      <c r="AB282" s="405"/>
    </row>
    <row r="283" spans="1:28" ht="15.5">
      <c r="A283" s="406"/>
      <c r="B283" s="406"/>
      <c r="C283" s="406"/>
      <c r="D283" s="405"/>
      <c r="E283" s="405"/>
      <c r="F283" s="405"/>
      <c r="G283" s="405"/>
      <c r="H283" s="405"/>
      <c r="I283" s="405"/>
      <c r="J283" s="405"/>
      <c r="K283" s="405"/>
      <c r="L283" s="405"/>
      <c r="M283" s="405"/>
      <c r="N283" s="405"/>
      <c r="O283" s="405"/>
      <c r="P283" s="405"/>
      <c r="Q283" s="405"/>
      <c r="R283" s="405"/>
      <c r="S283" s="405"/>
      <c r="T283" s="405"/>
      <c r="U283" s="405"/>
      <c r="V283" s="405"/>
      <c r="W283" s="405"/>
      <c r="X283" s="405"/>
      <c r="Y283" s="405"/>
      <c r="Z283" s="405"/>
      <c r="AA283" s="405"/>
      <c r="AB283" s="405"/>
    </row>
    <row r="284" spans="1:28" ht="15.5">
      <c r="A284" s="406"/>
      <c r="B284" s="406"/>
      <c r="C284" s="406"/>
      <c r="D284" s="405"/>
      <c r="E284" s="405"/>
      <c r="F284" s="405"/>
      <c r="G284" s="405"/>
      <c r="H284" s="405"/>
      <c r="I284" s="405"/>
      <c r="J284" s="405"/>
      <c r="K284" s="405"/>
      <c r="L284" s="405"/>
      <c r="M284" s="405"/>
      <c r="N284" s="405"/>
      <c r="O284" s="405"/>
      <c r="P284" s="405"/>
      <c r="Q284" s="405"/>
      <c r="R284" s="405"/>
      <c r="S284" s="405"/>
      <c r="T284" s="405"/>
      <c r="U284" s="405"/>
      <c r="V284" s="405"/>
      <c r="W284" s="405"/>
      <c r="X284" s="405"/>
      <c r="Y284" s="405"/>
      <c r="Z284" s="405"/>
      <c r="AA284" s="405"/>
      <c r="AB284" s="405"/>
    </row>
    <row r="285" spans="1:28" ht="15.5">
      <c r="A285" s="406"/>
      <c r="B285" s="406"/>
      <c r="C285" s="406"/>
      <c r="D285" s="405"/>
      <c r="E285" s="405"/>
      <c r="F285" s="405"/>
      <c r="G285" s="405"/>
      <c r="H285" s="405"/>
      <c r="I285" s="405"/>
      <c r="J285" s="405"/>
      <c r="K285" s="405"/>
      <c r="L285" s="405"/>
      <c r="M285" s="405"/>
      <c r="N285" s="405"/>
      <c r="O285" s="405"/>
      <c r="P285" s="405"/>
      <c r="Q285" s="405"/>
      <c r="R285" s="405"/>
      <c r="S285" s="405"/>
      <c r="T285" s="405"/>
      <c r="U285" s="405"/>
      <c r="V285" s="405"/>
      <c r="W285" s="405"/>
      <c r="X285" s="405"/>
      <c r="Y285" s="405"/>
      <c r="Z285" s="405"/>
      <c r="AA285" s="405"/>
      <c r="AB285" s="405"/>
    </row>
    <row r="286" spans="1:28" ht="15.5">
      <c r="A286" s="406"/>
      <c r="B286" s="406"/>
      <c r="C286" s="406"/>
      <c r="D286" s="405"/>
      <c r="E286" s="405"/>
      <c r="F286" s="405"/>
      <c r="G286" s="405"/>
      <c r="H286" s="405"/>
      <c r="I286" s="405"/>
      <c r="J286" s="405"/>
      <c r="K286" s="405"/>
      <c r="L286" s="405"/>
      <c r="M286" s="405"/>
      <c r="N286" s="405"/>
      <c r="O286" s="405"/>
      <c r="P286" s="405"/>
      <c r="Q286" s="405"/>
      <c r="R286" s="405"/>
      <c r="S286" s="405"/>
      <c r="T286" s="405"/>
      <c r="U286" s="405"/>
      <c r="V286" s="405"/>
      <c r="W286" s="405"/>
      <c r="X286" s="405"/>
      <c r="Y286" s="405"/>
      <c r="Z286" s="405"/>
      <c r="AA286" s="405"/>
      <c r="AB286" s="405"/>
    </row>
    <row r="287" spans="1:28" ht="15.5">
      <c r="A287" s="406"/>
      <c r="B287" s="406"/>
      <c r="C287" s="406"/>
      <c r="D287" s="405"/>
      <c r="E287" s="405"/>
      <c r="F287" s="405"/>
      <c r="G287" s="405"/>
      <c r="H287" s="405"/>
      <c r="I287" s="405"/>
      <c r="J287" s="405"/>
      <c r="K287" s="405"/>
      <c r="L287" s="405"/>
      <c r="M287" s="405"/>
      <c r="N287" s="405"/>
      <c r="O287" s="405"/>
      <c r="P287" s="405"/>
      <c r="Q287" s="405"/>
      <c r="R287" s="405"/>
      <c r="S287" s="405"/>
      <c r="T287" s="405"/>
      <c r="U287" s="405"/>
      <c r="V287" s="405"/>
      <c r="W287" s="405"/>
      <c r="X287" s="405"/>
      <c r="Y287" s="405"/>
      <c r="Z287" s="405"/>
      <c r="AA287" s="405"/>
      <c r="AB287" s="405"/>
    </row>
    <row r="288" spans="1:28" ht="15.5">
      <c r="A288" s="406"/>
      <c r="B288" s="406"/>
      <c r="C288" s="406"/>
      <c r="D288" s="405"/>
      <c r="E288" s="405"/>
      <c r="F288" s="405"/>
      <c r="G288" s="405"/>
      <c r="H288" s="405"/>
      <c r="I288" s="405"/>
      <c r="J288" s="405"/>
      <c r="K288" s="405"/>
      <c r="L288" s="405"/>
      <c r="M288" s="405"/>
      <c r="N288" s="405"/>
      <c r="O288" s="405"/>
      <c r="P288" s="405"/>
      <c r="Q288" s="405"/>
      <c r="R288" s="405"/>
      <c r="S288" s="405"/>
      <c r="T288" s="405"/>
      <c r="U288" s="405"/>
      <c r="V288" s="405"/>
      <c r="W288" s="405"/>
      <c r="X288" s="405"/>
      <c r="Y288" s="405"/>
      <c r="Z288" s="405"/>
      <c r="AA288" s="405"/>
      <c r="AB288" s="405"/>
    </row>
    <row r="289" spans="1:28" ht="15.5">
      <c r="A289" s="406"/>
      <c r="B289" s="406"/>
      <c r="C289" s="406"/>
      <c r="D289" s="405"/>
      <c r="E289" s="405"/>
      <c r="F289" s="405"/>
      <c r="G289" s="405"/>
      <c r="H289" s="405"/>
      <c r="I289" s="405"/>
      <c r="J289" s="405"/>
      <c r="K289" s="405"/>
      <c r="L289" s="405"/>
      <c r="M289" s="405"/>
      <c r="N289" s="405"/>
      <c r="O289" s="405"/>
      <c r="P289" s="405"/>
      <c r="Q289" s="405"/>
      <c r="R289" s="405"/>
      <c r="S289" s="405"/>
      <c r="T289" s="405"/>
      <c r="U289" s="405"/>
      <c r="V289" s="405"/>
      <c r="W289" s="405"/>
      <c r="X289" s="405"/>
      <c r="Y289" s="405"/>
      <c r="Z289" s="405"/>
      <c r="AA289" s="405"/>
      <c r="AB289" s="405"/>
    </row>
    <row r="290" spans="1:28" ht="15.5">
      <c r="A290" s="406"/>
      <c r="B290" s="406"/>
      <c r="C290" s="406"/>
      <c r="D290" s="405"/>
      <c r="E290" s="405"/>
      <c r="F290" s="405"/>
      <c r="G290" s="405"/>
      <c r="H290" s="405"/>
      <c r="I290" s="405"/>
      <c r="J290" s="405"/>
      <c r="K290" s="405"/>
      <c r="L290" s="405"/>
      <c r="M290" s="405"/>
      <c r="N290" s="405"/>
      <c r="O290" s="405"/>
      <c r="P290" s="405"/>
      <c r="Q290" s="405"/>
      <c r="R290" s="405"/>
      <c r="S290" s="405"/>
      <c r="T290" s="405"/>
      <c r="U290" s="405"/>
      <c r="V290" s="405"/>
      <c r="W290" s="405"/>
      <c r="X290" s="405"/>
      <c r="Y290" s="405"/>
      <c r="Z290" s="405"/>
      <c r="AA290" s="405"/>
      <c r="AB290" s="405"/>
    </row>
    <row r="291" spans="1:28" ht="15.5">
      <c r="A291" s="406"/>
      <c r="B291" s="406"/>
      <c r="C291" s="406"/>
      <c r="D291" s="405"/>
      <c r="E291" s="405"/>
      <c r="F291" s="405"/>
      <c r="G291" s="405"/>
      <c r="H291" s="405"/>
      <c r="I291" s="405"/>
      <c r="J291" s="405"/>
      <c r="K291" s="405"/>
      <c r="L291" s="405"/>
      <c r="M291" s="405"/>
      <c r="N291" s="405"/>
      <c r="O291" s="405"/>
      <c r="P291" s="405"/>
      <c r="Q291" s="405"/>
      <c r="R291" s="405"/>
      <c r="S291" s="405"/>
      <c r="T291" s="405"/>
      <c r="U291" s="405"/>
      <c r="V291" s="405"/>
      <c r="W291" s="405"/>
      <c r="X291" s="405"/>
      <c r="Y291" s="405"/>
      <c r="Z291" s="405"/>
      <c r="AA291" s="405"/>
      <c r="AB291" s="405"/>
    </row>
    <row r="292" spans="1:28" ht="15.5">
      <c r="A292" s="406"/>
      <c r="B292" s="406"/>
      <c r="C292" s="406"/>
      <c r="D292" s="405"/>
      <c r="E292" s="405"/>
      <c r="F292" s="405"/>
      <c r="G292" s="405"/>
      <c r="H292" s="405"/>
      <c r="I292" s="405"/>
      <c r="J292" s="405"/>
      <c r="K292" s="405"/>
      <c r="L292" s="405"/>
      <c r="M292" s="405"/>
      <c r="N292" s="405"/>
      <c r="O292" s="405"/>
      <c r="P292" s="405"/>
      <c r="Q292" s="405"/>
      <c r="R292" s="405"/>
      <c r="S292" s="405"/>
      <c r="T292" s="405"/>
      <c r="U292" s="405"/>
      <c r="V292" s="405"/>
      <c r="W292" s="405"/>
      <c r="X292" s="405"/>
      <c r="Y292" s="405"/>
      <c r="Z292" s="405"/>
      <c r="AA292" s="405"/>
      <c r="AB292" s="405"/>
    </row>
    <row r="293" spans="1:28" ht="15.5">
      <c r="A293" s="406"/>
      <c r="B293" s="406"/>
      <c r="C293" s="406"/>
      <c r="D293" s="405"/>
      <c r="E293" s="405"/>
      <c r="F293" s="405"/>
      <c r="G293" s="405"/>
      <c r="H293" s="405"/>
      <c r="I293" s="405"/>
      <c r="J293" s="405"/>
      <c r="K293" s="405"/>
      <c r="L293" s="405"/>
      <c r="M293" s="405"/>
      <c r="N293" s="405"/>
      <c r="O293" s="405"/>
      <c r="P293" s="405"/>
      <c r="Q293" s="405"/>
      <c r="R293" s="405"/>
      <c r="S293" s="405"/>
      <c r="T293" s="405"/>
      <c r="U293" s="405"/>
      <c r="V293" s="405"/>
      <c r="W293" s="405"/>
      <c r="X293" s="405"/>
      <c r="Y293" s="405"/>
      <c r="Z293" s="405"/>
      <c r="AA293" s="405"/>
      <c r="AB293" s="405"/>
    </row>
    <row r="294" spans="1:28" ht="15.5">
      <c r="A294" s="406"/>
      <c r="B294" s="406"/>
      <c r="C294" s="406"/>
      <c r="D294" s="405"/>
      <c r="E294" s="405"/>
      <c r="F294" s="405"/>
      <c r="G294" s="405"/>
      <c r="H294" s="405"/>
      <c r="I294" s="405"/>
      <c r="J294" s="405"/>
      <c r="K294" s="405"/>
      <c r="L294" s="405"/>
      <c r="M294" s="405"/>
      <c r="N294" s="405"/>
      <c r="O294" s="405"/>
      <c r="P294" s="405"/>
      <c r="Q294" s="405"/>
      <c r="R294" s="405"/>
      <c r="S294" s="405"/>
      <c r="T294" s="405"/>
      <c r="U294" s="405"/>
      <c r="V294" s="405"/>
      <c r="W294" s="405"/>
      <c r="X294" s="405"/>
      <c r="Y294" s="405"/>
      <c r="Z294" s="405"/>
      <c r="AA294" s="405"/>
      <c r="AB294" s="405"/>
    </row>
    <row r="295" spans="1:28" ht="15.5">
      <c r="A295" s="406"/>
      <c r="B295" s="406"/>
      <c r="C295" s="406"/>
      <c r="D295" s="405"/>
      <c r="E295" s="405"/>
      <c r="F295" s="405"/>
      <c r="G295" s="405"/>
      <c r="H295" s="405"/>
      <c r="I295" s="405"/>
      <c r="J295" s="405"/>
      <c r="K295" s="405"/>
      <c r="L295" s="405"/>
      <c r="M295" s="405"/>
      <c r="N295" s="405"/>
      <c r="O295" s="405"/>
      <c r="P295" s="405"/>
      <c r="Q295" s="405"/>
      <c r="R295" s="405"/>
      <c r="S295" s="405"/>
      <c r="T295" s="405"/>
      <c r="U295" s="405"/>
      <c r="V295" s="405"/>
      <c r="W295" s="405"/>
      <c r="X295" s="405"/>
      <c r="Y295" s="405"/>
      <c r="Z295" s="405"/>
      <c r="AA295" s="405"/>
      <c r="AB295" s="405"/>
    </row>
    <row r="296" spans="1:28" ht="15.5">
      <c r="A296" s="406"/>
      <c r="B296" s="406"/>
      <c r="C296" s="406"/>
      <c r="D296" s="405"/>
      <c r="E296" s="405"/>
      <c r="F296" s="405"/>
      <c r="G296" s="405"/>
      <c r="H296" s="405"/>
      <c r="I296" s="405"/>
      <c r="J296" s="405"/>
      <c r="K296" s="405"/>
      <c r="L296" s="405"/>
      <c r="M296" s="405"/>
      <c r="N296" s="405"/>
      <c r="O296" s="405"/>
      <c r="P296" s="405"/>
      <c r="Q296" s="405"/>
      <c r="R296" s="405"/>
      <c r="S296" s="405"/>
      <c r="T296" s="405"/>
      <c r="U296" s="405"/>
      <c r="V296" s="405"/>
      <c r="W296" s="405"/>
      <c r="X296" s="405"/>
      <c r="Y296" s="405"/>
      <c r="Z296" s="405"/>
      <c r="AA296" s="405"/>
      <c r="AB296" s="405"/>
    </row>
    <row r="297" spans="1:28" ht="15.5">
      <c r="A297" s="406"/>
      <c r="B297" s="406"/>
      <c r="C297" s="406"/>
      <c r="D297" s="405"/>
      <c r="E297" s="405"/>
      <c r="F297" s="405"/>
      <c r="G297" s="405"/>
      <c r="H297" s="405"/>
      <c r="I297" s="405"/>
      <c r="J297" s="405"/>
      <c r="K297" s="405"/>
      <c r="L297" s="405"/>
      <c r="M297" s="405"/>
      <c r="N297" s="405"/>
      <c r="O297" s="405"/>
      <c r="P297" s="405"/>
      <c r="Q297" s="405"/>
      <c r="R297" s="405"/>
      <c r="S297" s="405"/>
      <c r="T297" s="405"/>
      <c r="U297" s="405"/>
      <c r="V297" s="405"/>
      <c r="W297" s="405"/>
      <c r="X297" s="405"/>
      <c r="Y297" s="405"/>
      <c r="Z297" s="405"/>
      <c r="AA297" s="405"/>
      <c r="AB297" s="405"/>
    </row>
    <row r="298" spans="1:28" ht="15.5">
      <c r="A298" s="406"/>
      <c r="B298" s="406"/>
      <c r="C298" s="406"/>
      <c r="D298" s="405"/>
      <c r="E298" s="405"/>
      <c r="F298" s="405"/>
      <c r="G298" s="405"/>
      <c r="H298" s="405"/>
      <c r="I298" s="405"/>
      <c r="J298" s="405"/>
      <c r="K298" s="405"/>
      <c r="L298" s="405"/>
      <c r="M298" s="405"/>
      <c r="N298" s="405"/>
      <c r="O298" s="405"/>
      <c r="P298" s="405"/>
      <c r="Q298" s="405"/>
      <c r="R298" s="405"/>
      <c r="S298" s="405"/>
      <c r="T298" s="405"/>
      <c r="U298" s="405"/>
      <c r="V298" s="405"/>
      <c r="W298" s="405"/>
      <c r="X298" s="405"/>
      <c r="Y298" s="405"/>
      <c r="Z298" s="405"/>
      <c r="AA298" s="405"/>
      <c r="AB298" s="405"/>
    </row>
    <row r="299" spans="1:28" ht="15.5">
      <c r="A299" s="406"/>
      <c r="B299" s="406"/>
      <c r="C299" s="406"/>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405"/>
      <c r="AA299" s="405"/>
      <c r="AB299" s="405"/>
    </row>
    <row r="300" spans="1:28" ht="15.5">
      <c r="A300" s="406"/>
      <c r="B300" s="406"/>
      <c r="C300" s="406"/>
      <c r="D300" s="405"/>
      <c r="E300" s="405"/>
      <c r="F300" s="405"/>
      <c r="G300" s="405"/>
      <c r="H300" s="405"/>
      <c r="I300" s="405"/>
      <c r="J300" s="405"/>
      <c r="K300" s="405"/>
      <c r="L300" s="405"/>
      <c r="M300" s="405"/>
      <c r="N300" s="405"/>
      <c r="O300" s="405"/>
      <c r="P300" s="405"/>
      <c r="Q300" s="405"/>
      <c r="R300" s="405"/>
      <c r="S300" s="405"/>
      <c r="T300" s="405"/>
      <c r="U300" s="405"/>
      <c r="V300" s="405"/>
      <c r="W300" s="405"/>
      <c r="X300" s="405"/>
      <c r="Y300" s="405"/>
      <c r="Z300" s="405"/>
      <c r="AA300" s="405"/>
      <c r="AB300" s="405"/>
    </row>
    <row r="301" spans="1:28" ht="15.5">
      <c r="A301" s="406"/>
      <c r="B301" s="406"/>
      <c r="C301" s="406"/>
      <c r="D301" s="405"/>
      <c r="E301" s="405"/>
      <c r="F301" s="405"/>
      <c r="G301" s="405"/>
      <c r="H301" s="405"/>
      <c r="I301" s="405"/>
      <c r="J301" s="405"/>
      <c r="K301" s="405"/>
      <c r="L301" s="405"/>
      <c r="M301" s="405"/>
      <c r="N301" s="405"/>
      <c r="O301" s="405"/>
      <c r="P301" s="405"/>
      <c r="Q301" s="405"/>
      <c r="R301" s="405"/>
      <c r="S301" s="405"/>
      <c r="T301" s="405"/>
      <c r="U301" s="405"/>
      <c r="V301" s="405"/>
      <c r="W301" s="405"/>
      <c r="X301" s="405"/>
      <c r="Y301" s="405"/>
      <c r="Z301" s="405"/>
      <c r="AA301" s="405"/>
      <c r="AB301" s="405"/>
    </row>
    <row r="302" spans="1:28" ht="15.5">
      <c r="A302" s="406"/>
      <c r="B302" s="406"/>
      <c r="C302" s="406"/>
      <c r="D302" s="405"/>
      <c r="E302" s="405"/>
      <c r="F302" s="405"/>
      <c r="G302" s="405"/>
      <c r="H302" s="405"/>
      <c r="I302" s="405"/>
      <c r="J302" s="405"/>
      <c r="K302" s="405"/>
      <c r="L302" s="405"/>
      <c r="M302" s="405"/>
      <c r="N302" s="405"/>
      <c r="O302" s="405"/>
      <c r="P302" s="405"/>
      <c r="Q302" s="405"/>
      <c r="R302" s="405"/>
      <c r="S302" s="405"/>
      <c r="T302" s="405"/>
      <c r="U302" s="405"/>
      <c r="V302" s="405"/>
      <c r="W302" s="405"/>
      <c r="X302" s="405"/>
      <c r="Y302" s="405"/>
      <c r="Z302" s="405"/>
      <c r="AA302" s="405"/>
      <c r="AB302" s="405"/>
    </row>
    <row r="303" spans="1:28" ht="15.5">
      <c r="A303" s="406"/>
      <c r="B303" s="406"/>
      <c r="C303" s="406"/>
      <c r="D303" s="405"/>
      <c r="E303" s="405"/>
      <c r="F303" s="405"/>
      <c r="G303" s="405"/>
      <c r="H303" s="405"/>
      <c r="I303" s="405"/>
      <c r="J303" s="405"/>
      <c r="K303" s="405"/>
      <c r="L303" s="405"/>
      <c r="M303" s="405"/>
      <c r="N303" s="405"/>
      <c r="O303" s="405"/>
      <c r="P303" s="405"/>
      <c r="Q303" s="405"/>
      <c r="R303" s="405"/>
      <c r="S303" s="405"/>
      <c r="T303" s="405"/>
      <c r="U303" s="405"/>
      <c r="V303" s="405"/>
      <c r="W303" s="405"/>
      <c r="X303" s="405"/>
      <c r="Y303" s="405"/>
      <c r="Z303" s="405"/>
      <c r="AA303" s="405"/>
      <c r="AB303" s="405"/>
    </row>
    <row r="304" spans="1:28" ht="15.5">
      <c r="A304" s="406"/>
      <c r="B304" s="406"/>
      <c r="C304" s="406"/>
      <c r="D304" s="405"/>
      <c r="E304" s="405"/>
      <c r="F304" s="405"/>
      <c r="G304" s="405"/>
      <c r="H304" s="405"/>
      <c r="I304" s="405"/>
      <c r="J304" s="405"/>
      <c r="K304" s="405"/>
      <c r="L304" s="405"/>
      <c r="M304" s="405"/>
      <c r="N304" s="405"/>
      <c r="O304" s="405"/>
      <c r="P304" s="405"/>
      <c r="Q304" s="405"/>
      <c r="R304" s="405"/>
      <c r="S304" s="405"/>
      <c r="T304" s="405"/>
      <c r="U304" s="405"/>
      <c r="V304" s="405"/>
      <c r="W304" s="405"/>
      <c r="X304" s="405"/>
      <c r="Y304" s="405"/>
      <c r="Z304" s="405"/>
      <c r="AA304" s="405"/>
      <c r="AB304" s="405"/>
    </row>
    <row r="305" spans="1:28" ht="15.5">
      <c r="A305" s="406"/>
      <c r="B305" s="406"/>
      <c r="C305" s="406"/>
      <c r="D305" s="405"/>
      <c r="E305" s="405"/>
      <c r="F305" s="405"/>
      <c r="G305" s="405"/>
      <c r="H305" s="405"/>
      <c r="I305" s="405"/>
      <c r="J305" s="405"/>
      <c r="K305" s="405"/>
      <c r="L305" s="405"/>
      <c r="M305" s="405"/>
      <c r="N305" s="405"/>
      <c r="O305" s="405"/>
      <c r="P305" s="405"/>
      <c r="Q305" s="405"/>
      <c r="R305" s="405"/>
      <c r="S305" s="405"/>
      <c r="T305" s="405"/>
      <c r="U305" s="405"/>
      <c r="V305" s="405"/>
      <c r="W305" s="405"/>
      <c r="X305" s="405"/>
      <c r="Y305" s="405"/>
      <c r="Z305" s="405"/>
      <c r="AA305" s="405"/>
      <c r="AB305" s="405"/>
    </row>
    <row r="306" spans="1:28" ht="15.5">
      <c r="A306" s="406"/>
      <c r="B306" s="406"/>
      <c r="C306" s="406"/>
      <c r="D306" s="405"/>
      <c r="E306" s="405"/>
      <c r="F306" s="405"/>
      <c r="G306" s="405"/>
      <c r="H306" s="405"/>
      <c r="I306" s="405"/>
      <c r="J306" s="405"/>
      <c r="K306" s="405"/>
      <c r="L306" s="405"/>
      <c r="M306" s="405"/>
      <c r="N306" s="405"/>
      <c r="O306" s="405"/>
      <c r="P306" s="405"/>
      <c r="Q306" s="405"/>
      <c r="R306" s="405"/>
      <c r="S306" s="405"/>
      <c r="T306" s="405"/>
      <c r="U306" s="405"/>
      <c r="V306" s="405"/>
      <c r="W306" s="405"/>
      <c r="X306" s="405"/>
      <c r="Y306" s="405"/>
      <c r="Z306" s="405"/>
      <c r="AA306" s="405"/>
      <c r="AB306" s="405"/>
    </row>
    <row r="307" spans="1:28" ht="15.5">
      <c r="A307" s="406"/>
      <c r="B307" s="406"/>
      <c r="C307" s="406"/>
      <c r="D307" s="405"/>
      <c r="E307" s="405"/>
      <c r="F307" s="405"/>
      <c r="G307" s="405"/>
      <c r="H307" s="405"/>
      <c r="I307" s="405"/>
      <c r="J307" s="405"/>
      <c r="K307" s="405"/>
      <c r="L307" s="405"/>
      <c r="M307" s="405"/>
      <c r="N307" s="405"/>
      <c r="O307" s="405"/>
      <c r="P307" s="405"/>
      <c r="Q307" s="405"/>
      <c r="R307" s="405"/>
      <c r="S307" s="405"/>
      <c r="T307" s="405"/>
      <c r="U307" s="405"/>
      <c r="V307" s="405"/>
      <c r="W307" s="405"/>
      <c r="X307" s="405"/>
      <c r="Y307" s="405"/>
      <c r="Z307" s="405"/>
      <c r="AA307" s="405"/>
      <c r="AB307" s="405"/>
    </row>
    <row r="308" spans="1:28" ht="15.5">
      <c r="A308" s="406"/>
      <c r="B308" s="406"/>
      <c r="C308" s="406"/>
      <c r="D308" s="405"/>
      <c r="E308" s="405"/>
      <c r="F308" s="405"/>
      <c r="G308" s="405"/>
      <c r="H308" s="405"/>
      <c r="I308" s="405"/>
      <c r="J308" s="405"/>
      <c r="K308" s="405"/>
      <c r="L308" s="405"/>
      <c r="M308" s="405"/>
      <c r="N308" s="405"/>
      <c r="O308" s="405"/>
      <c r="P308" s="405"/>
      <c r="Q308" s="405"/>
      <c r="R308" s="405"/>
      <c r="S308" s="405"/>
      <c r="T308" s="405"/>
      <c r="U308" s="405"/>
      <c r="V308" s="405"/>
      <c r="W308" s="405"/>
      <c r="X308" s="405"/>
      <c r="Y308" s="405"/>
      <c r="Z308" s="405"/>
      <c r="AA308" s="405"/>
      <c r="AB308" s="405"/>
    </row>
    <row r="309" spans="1:28" ht="15.5">
      <c r="A309" s="406"/>
      <c r="B309" s="406"/>
      <c r="C309" s="406"/>
      <c r="D309" s="405"/>
      <c r="E309" s="405"/>
      <c r="F309" s="405"/>
      <c r="G309" s="405"/>
      <c r="H309" s="405"/>
      <c r="I309" s="405"/>
      <c r="J309" s="405"/>
      <c r="K309" s="405"/>
      <c r="L309" s="405"/>
      <c r="M309" s="405"/>
      <c r="N309" s="405"/>
      <c r="O309" s="405"/>
      <c r="P309" s="405"/>
      <c r="Q309" s="405"/>
      <c r="R309" s="405"/>
      <c r="S309" s="405"/>
      <c r="T309" s="405"/>
      <c r="U309" s="405"/>
      <c r="V309" s="405"/>
      <c r="W309" s="405"/>
      <c r="X309" s="405"/>
      <c r="Y309" s="405"/>
      <c r="Z309" s="405"/>
      <c r="AA309" s="405"/>
      <c r="AB309" s="405"/>
    </row>
    <row r="310" spans="1:28" ht="15.5">
      <c r="A310" s="406"/>
      <c r="B310" s="406"/>
      <c r="C310" s="406"/>
      <c r="D310" s="405"/>
      <c r="E310" s="405"/>
      <c r="F310" s="405"/>
      <c r="G310" s="405"/>
      <c r="H310" s="405"/>
      <c r="I310" s="405"/>
      <c r="J310" s="405"/>
      <c r="K310" s="405"/>
      <c r="L310" s="405"/>
      <c r="M310" s="405"/>
      <c r="N310" s="405"/>
      <c r="O310" s="405"/>
      <c r="P310" s="405"/>
      <c r="Q310" s="405"/>
      <c r="R310" s="405"/>
      <c r="S310" s="405"/>
      <c r="T310" s="405"/>
      <c r="U310" s="405"/>
      <c r="V310" s="405"/>
      <c r="W310" s="405"/>
      <c r="X310" s="405"/>
      <c r="Y310" s="405"/>
      <c r="Z310" s="405"/>
      <c r="AA310" s="405"/>
      <c r="AB310" s="405"/>
    </row>
    <row r="311" spans="1:28" ht="15.5">
      <c r="A311" s="406"/>
      <c r="B311" s="406"/>
      <c r="C311" s="406"/>
      <c r="D311" s="405"/>
      <c r="E311" s="405"/>
      <c r="F311" s="405"/>
      <c r="G311" s="405"/>
      <c r="H311" s="405"/>
      <c r="I311" s="405"/>
      <c r="J311" s="405"/>
      <c r="K311" s="405"/>
      <c r="L311" s="405"/>
      <c r="M311" s="405"/>
      <c r="N311" s="405"/>
      <c r="O311" s="405"/>
      <c r="P311" s="405"/>
      <c r="Q311" s="405"/>
      <c r="R311" s="405"/>
      <c r="S311" s="405"/>
      <c r="T311" s="405"/>
      <c r="U311" s="405"/>
      <c r="V311" s="405"/>
      <c r="W311" s="405"/>
      <c r="X311" s="405"/>
      <c r="Y311" s="405"/>
      <c r="Z311" s="405"/>
      <c r="AA311" s="405"/>
      <c r="AB311" s="405"/>
    </row>
    <row r="312" spans="1:28" ht="15.5">
      <c r="A312" s="406"/>
      <c r="B312" s="406"/>
      <c r="C312" s="406"/>
      <c r="D312" s="405"/>
      <c r="E312" s="405"/>
      <c r="F312" s="405"/>
      <c r="G312" s="405"/>
      <c r="H312" s="405"/>
      <c r="I312" s="405"/>
      <c r="J312" s="405"/>
      <c r="K312" s="405"/>
      <c r="L312" s="405"/>
      <c r="M312" s="405"/>
      <c r="N312" s="405"/>
      <c r="O312" s="405"/>
      <c r="P312" s="405"/>
      <c r="Q312" s="405"/>
      <c r="R312" s="405"/>
      <c r="S312" s="405"/>
      <c r="T312" s="405"/>
      <c r="U312" s="405"/>
      <c r="V312" s="405"/>
      <c r="W312" s="405"/>
      <c r="X312" s="405"/>
      <c r="Y312" s="405"/>
      <c r="Z312" s="405"/>
      <c r="AA312" s="405"/>
      <c r="AB312" s="405"/>
    </row>
    <row r="313" spans="1:28" ht="15.5">
      <c r="A313" s="406"/>
      <c r="B313" s="406"/>
      <c r="C313" s="406"/>
      <c r="D313" s="405"/>
      <c r="E313" s="405"/>
      <c r="F313" s="405"/>
      <c r="G313" s="405"/>
      <c r="H313" s="405"/>
      <c r="I313" s="405"/>
      <c r="J313" s="405"/>
      <c r="K313" s="405"/>
      <c r="L313" s="405"/>
      <c r="M313" s="405"/>
      <c r="N313" s="405"/>
      <c r="O313" s="405"/>
      <c r="P313" s="405"/>
      <c r="Q313" s="405"/>
      <c r="R313" s="405"/>
      <c r="S313" s="405"/>
      <c r="T313" s="405"/>
      <c r="U313" s="405"/>
      <c r="V313" s="405"/>
      <c r="W313" s="405"/>
      <c r="X313" s="405"/>
      <c r="Y313" s="405"/>
      <c r="Z313" s="405"/>
      <c r="AA313" s="405"/>
      <c r="AB313" s="405"/>
    </row>
    <row r="314" spans="1:28" ht="15.5">
      <c r="B314" s="406"/>
      <c r="C314" s="406"/>
      <c r="D314" s="405"/>
      <c r="E314" s="405"/>
      <c r="F314" s="405"/>
      <c r="G314" s="405"/>
      <c r="H314" s="405"/>
      <c r="I314" s="405"/>
      <c r="J314" s="405"/>
      <c r="K314" s="405"/>
      <c r="L314" s="405"/>
      <c r="M314" s="405"/>
      <c r="N314" s="405"/>
      <c r="O314" s="405"/>
      <c r="P314" s="405"/>
      <c r="Q314" s="405"/>
      <c r="R314" s="405"/>
      <c r="S314" s="405"/>
      <c r="T314" s="405"/>
      <c r="U314" s="405"/>
      <c r="V314" s="405"/>
      <c r="W314" s="405"/>
      <c r="X314" s="405"/>
      <c r="Y314" s="405"/>
      <c r="Z314" s="405"/>
      <c r="AA314" s="405"/>
      <c r="AB314" s="405"/>
    </row>
    <row r="315" spans="1:28" ht="15.5">
      <c r="B315" s="406"/>
      <c r="C315" s="406"/>
      <c r="D315" s="405"/>
      <c r="E315" s="405"/>
      <c r="F315" s="405"/>
      <c r="G315" s="405"/>
      <c r="H315" s="405"/>
      <c r="I315" s="405"/>
      <c r="J315" s="405"/>
      <c r="K315" s="405"/>
      <c r="L315" s="405"/>
      <c r="M315" s="405"/>
      <c r="N315" s="405"/>
      <c r="O315" s="405"/>
      <c r="P315" s="405"/>
      <c r="Q315" s="405"/>
      <c r="R315" s="405"/>
      <c r="S315" s="405"/>
      <c r="T315" s="405"/>
      <c r="U315" s="405"/>
      <c r="V315" s="405"/>
      <c r="W315" s="405"/>
      <c r="X315" s="405"/>
      <c r="Y315" s="405"/>
      <c r="Z315" s="405"/>
      <c r="AA315" s="405"/>
      <c r="AB315" s="405"/>
    </row>
    <row r="335" spans="1:1">
      <c r="A335" s="725"/>
    </row>
    <row r="336" spans="1:1">
      <c r="A336" s="725"/>
    </row>
    <row r="337" spans="1:6">
      <c r="A337" s="725"/>
      <c r="B337" s="725"/>
      <c r="C337" s="725"/>
      <c r="D337" s="565"/>
      <c r="E337" s="565"/>
      <c r="F337" s="565"/>
    </row>
    <row r="338" spans="1:6">
      <c r="A338" s="725"/>
      <c r="B338" s="725"/>
      <c r="C338" s="725"/>
      <c r="D338" s="565"/>
      <c r="E338" s="565"/>
      <c r="F338" s="565"/>
    </row>
    <row r="339" spans="1:6">
      <c r="A339" s="725"/>
      <c r="B339" s="725"/>
      <c r="C339" s="725"/>
      <c r="D339" s="565"/>
      <c r="E339" s="565"/>
      <c r="F339" s="565"/>
    </row>
    <row r="340" spans="1:6">
      <c r="A340" s="725"/>
      <c r="B340" s="725"/>
      <c r="C340" s="725"/>
      <c r="D340" s="565"/>
      <c r="E340" s="565"/>
      <c r="F340" s="565"/>
    </row>
    <row r="341" spans="1:6">
      <c r="A341" s="725"/>
      <c r="B341" s="725"/>
      <c r="C341" s="725"/>
      <c r="D341" s="565"/>
      <c r="E341" s="565"/>
      <c r="F341" s="565"/>
    </row>
    <row r="342" spans="1:6">
      <c r="A342" s="725"/>
      <c r="B342" s="725"/>
      <c r="C342" s="725"/>
      <c r="D342" s="565"/>
      <c r="E342" s="565"/>
      <c r="F342" s="565"/>
    </row>
    <row r="343" spans="1:6">
      <c r="A343" s="725"/>
      <c r="B343" s="725"/>
      <c r="C343" s="725"/>
      <c r="D343" s="565"/>
      <c r="E343" s="565"/>
      <c r="F343" s="565"/>
    </row>
    <row r="344" spans="1:6">
      <c r="B344" s="725"/>
      <c r="C344" s="725"/>
      <c r="D344" s="565"/>
      <c r="E344" s="565"/>
      <c r="F344" s="565"/>
    </row>
    <row r="345" spans="1:6">
      <c r="B345" s="725"/>
      <c r="C345" s="725"/>
      <c r="D345" s="565"/>
      <c r="E345" s="565"/>
      <c r="F345" s="565"/>
    </row>
  </sheetData>
  <mergeCells count="4">
    <mergeCell ref="A1:J1"/>
    <mergeCell ref="A3:J3"/>
    <mergeCell ref="D78:H78"/>
    <mergeCell ref="D106:H106"/>
  </mergeCells>
  <phoneticPr fontId="0" type="noConversion"/>
  <printOptions horizontalCentered="1"/>
  <pageMargins left="0.75" right="0.5" top="1" bottom="0.5" header="0.5" footer="0.5"/>
  <pageSetup scale="64" fitToHeight="2" orientation="portrait" r:id="rId1"/>
  <headerFooter alignWithMargins="0">
    <oddHeader xml:space="preserve">&amp;L&amp;"Arial,Bold"&amp;11
&amp;R&amp;"Times New Roman,Bold"&amp;11Appendix A
Page &amp;P of &amp;N
</oddHeader>
  </headerFooter>
  <rowBreaks count="2" manualBreakCount="2">
    <brk id="53" max="16383" man="1"/>
    <brk id="10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T398"/>
  <sheetViews>
    <sheetView topLeftCell="GR19" zoomScale="85" zoomScaleNormal="85" zoomScaleSheetLayoutView="50" workbookViewId="0">
      <selection activeCell="HE58" sqref="HE58"/>
    </sheetView>
  </sheetViews>
  <sheetFormatPr defaultColWidth="9.1796875" defaultRowHeight="12.5"/>
  <cols>
    <col min="1" max="1" width="22.26953125" style="561" customWidth="1"/>
    <col min="2" max="2" width="13" style="842" customWidth="1"/>
    <col min="3" max="5" width="15" style="561" customWidth="1"/>
    <col min="6" max="6" width="15" style="813" customWidth="1"/>
    <col min="7" max="9" width="15" style="561" customWidth="1"/>
    <col min="10" max="10" width="15" style="813" customWidth="1"/>
    <col min="11" max="18" width="15" style="561" customWidth="1"/>
    <col min="19" max="19" width="12" style="561" customWidth="1"/>
    <col min="20" max="20" width="15" style="561" customWidth="1"/>
    <col min="21" max="21" width="11.26953125" style="561" customWidth="1"/>
    <col min="22" max="22" width="10.26953125" style="561" customWidth="1"/>
    <col min="23" max="23" width="12" style="561" customWidth="1"/>
    <col min="24" max="24" width="15" style="561" customWidth="1"/>
    <col min="25" max="25" width="11.26953125" style="561" customWidth="1"/>
    <col min="26" max="26" width="10.26953125" style="561" customWidth="1"/>
    <col min="27" max="27" width="12" style="561" customWidth="1"/>
    <col min="28" max="28" width="15" style="561" customWidth="1"/>
    <col min="29" max="29" width="11.26953125" style="561" customWidth="1"/>
    <col min="30" max="30" width="11.453125" style="561" customWidth="1"/>
    <col min="31" max="31" width="15.54296875" style="561" customWidth="1"/>
    <col min="32" max="32" width="16.1796875" style="561" customWidth="1"/>
    <col min="33" max="33" width="14.81640625" style="561" customWidth="1"/>
    <col min="34" max="34" width="17.7265625" style="561" customWidth="1"/>
    <col min="35" max="38" width="15.26953125" style="561" customWidth="1"/>
    <col min="39" max="39" width="12.453125" style="561" bestFit="1" customWidth="1"/>
    <col min="40" max="43" width="15.26953125" style="561" customWidth="1"/>
    <col min="44" max="44" width="15" style="561" customWidth="1"/>
    <col min="45" max="45" width="11.26953125" style="561" bestFit="1" customWidth="1"/>
    <col min="46" max="46" width="10.26953125" style="561" bestFit="1" customWidth="1"/>
    <col min="47" max="70" width="0" style="561" hidden="1" customWidth="1"/>
    <col min="71" max="71" width="12.453125" style="561" bestFit="1" customWidth="1"/>
    <col min="72" max="72" width="15" style="561" customWidth="1"/>
    <col min="73" max="74" width="9.1796875" style="561"/>
    <col min="75" max="75" width="14" style="561" bestFit="1" customWidth="1"/>
    <col min="76" max="76" width="15" style="561" customWidth="1"/>
    <col min="77" max="77" width="11.26953125" style="561" bestFit="1" customWidth="1"/>
    <col min="78" max="78" width="10.26953125" style="561" bestFit="1" customWidth="1"/>
    <col min="79" max="79" width="12.81640625" style="561" bestFit="1" customWidth="1"/>
    <col min="80" max="80" width="15" style="561" customWidth="1"/>
    <col min="81" max="81" width="10.26953125" style="561" bestFit="1" customWidth="1"/>
    <col min="82" max="82" width="9.1796875" style="561"/>
    <col min="83" max="83" width="12.453125" style="561" bestFit="1" customWidth="1"/>
    <col min="84" max="84" width="15" style="561" customWidth="1"/>
    <col min="85" max="86" width="9.1796875" style="561"/>
    <col min="87" max="87" width="12.453125" style="561" bestFit="1" customWidth="1"/>
    <col min="88" max="88" width="15" style="561" customWidth="1"/>
    <col min="89" max="90" width="9.1796875" style="561"/>
    <col min="91" max="91" width="14" style="561" bestFit="1" customWidth="1"/>
    <col min="92" max="93" width="11.26953125" style="561" bestFit="1" customWidth="1"/>
    <col min="94" max="94" width="12.81640625" style="561" bestFit="1" customWidth="1"/>
    <col min="95" max="95" width="14" style="561" bestFit="1" customWidth="1"/>
    <col min="96" max="96" width="12.81640625" style="561" customWidth="1"/>
    <col min="97" max="97" width="11.81640625" style="561" bestFit="1" customWidth="1"/>
    <col min="98" max="98" width="12.81640625" style="561" bestFit="1" customWidth="1"/>
    <col min="99" max="99" width="13.7265625" style="561" customWidth="1"/>
    <col min="100" max="100" width="11.81640625" style="561" customWidth="1"/>
    <col min="101" max="101" width="12.26953125" style="561" customWidth="1"/>
    <col min="102" max="141" width="13.1796875" style="561" customWidth="1"/>
    <col min="142" max="146" width="13.81640625" style="561" customWidth="1"/>
    <col min="147" max="147" width="12.7265625" style="561" bestFit="1" customWidth="1"/>
    <col min="148" max="148" width="17.81640625" style="561" bestFit="1" customWidth="1"/>
    <col min="149" max="149" width="15.1796875" style="561" bestFit="1" customWidth="1"/>
    <col min="150" max="150" width="11.26953125" style="561" bestFit="1" customWidth="1"/>
    <col min="151" max="151" width="9.1796875" style="561"/>
    <col min="152" max="152" width="12" style="561" bestFit="1" customWidth="1"/>
    <col min="153" max="153" width="15" style="561" customWidth="1"/>
    <col min="154" max="154" width="11.26953125" style="561" bestFit="1" customWidth="1"/>
    <col min="155" max="155" width="10.26953125" style="561" bestFit="1" customWidth="1"/>
    <col min="156" max="156" width="12" style="561" bestFit="1" customWidth="1"/>
    <col min="157" max="157" width="15" style="561" customWidth="1"/>
    <col min="158" max="158" width="11.26953125" style="561" bestFit="1" customWidth="1"/>
    <col min="159" max="159" width="10.26953125" style="561" customWidth="1"/>
    <col min="160" max="160" width="12" style="561" bestFit="1" customWidth="1"/>
    <col min="161" max="161" width="15.453125" style="561" customWidth="1"/>
    <col min="162" max="162" width="11.26953125" style="561" bestFit="1" customWidth="1"/>
    <col min="163" max="163" width="10.26953125" style="561" bestFit="1" customWidth="1"/>
    <col min="164" max="164" width="10.26953125" style="561" customWidth="1"/>
    <col min="165" max="165" width="15" style="561" customWidth="1"/>
    <col min="166" max="167" width="10.26953125" style="561" customWidth="1"/>
    <col min="168" max="168" width="12" style="561" bestFit="1" customWidth="1"/>
    <col min="169" max="169" width="16.7265625" style="561" customWidth="1"/>
    <col min="170" max="170" width="11.26953125" style="561" bestFit="1" customWidth="1"/>
    <col min="171" max="171" width="10.26953125" style="561" bestFit="1" customWidth="1"/>
    <col min="172" max="172" width="12" style="561" bestFit="1" customWidth="1"/>
    <col min="173" max="173" width="16" style="561" customWidth="1"/>
    <col min="174" max="175" width="11.26953125" style="561" bestFit="1" customWidth="1"/>
    <col min="176" max="176" width="13.7265625" style="561" customWidth="1"/>
    <col min="177" max="177" width="13.81640625" style="561" customWidth="1"/>
    <col min="178" max="178" width="13.54296875" style="561" customWidth="1"/>
    <col min="179" max="179" width="14.7265625" style="561" customWidth="1"/>
    <col min="180" max="180" width="13.7265625" style="561" customWidth="1"/>
    <col min="181" max="181" width="15.453125" style="561" customWidth="1"/>
    <col min="182" max="182" width="12.7265625" style="561" customWidth="1"/>
    <col min="183" max="183" width="14.81640625" style="561" customWidth="1"/>
    <col min="184" max="184" width="13.1796875" style="561" customWidth="1"/>
    <col min="185" max="185" width="14" style="561" customWidth="1"/>
    <col min="186" max="186" width="14.1796875" style="561" customWidth="1"/>
    <col min="187" max="187" width="12.81640625" style="561" customWidth="1"/>
    <col min="188" max="188" width="13.453125" style="561" customWidth="1"/>
    <col min="189" max="189" width="13" style="561" customWidth="1"/>
    <col min="190" max="190" width="13.453125" style="561" customWidth="1"/>
    <col min="191" max="196" width="12.54296875" style="561" customWidth="1"/>
    <col min="197" max="197" width="13.81640625" style="561" customWidth="1"/>
    <col min="198" max="200" width="12.54296875" style="561" customWidth="1"/>
    <col min="201" max="201" width="14.81640625" style="561" customWidth="1"/>
    <col min="202" max="215" width="12.54296875" style="561" customWidth="1"/>
    <col min="216" max="216" width="15.26953125" style="561" bestFit="1" customWidth="1"/>
    <col min="217" max="217" width="10.7265625" style="561" customWidth="1"/>
    <col min="218" max="218" width="15" style="561" customWidth="1"/>
    <col min="219" max="219" width="9.1796875" style="561"/>
    <col min="220" max="220" width="15.81640625" style="561" customWidth="1"/>
    <col min="221" max="221" width="12.1796875" style="561" customWidth="1"/>
    <col min="222" max="222" width="15" style="561" customWidth="1"/>
    <col min="223" max="223" width="12" style="561" customWidth="1"/>
    <col min="224" max="224" width="10.453125" style="561" bestFit="1" customWidth="1"/>
    <col min="225" max="225" width="12.1796875" style="561" customWidth="1"/>
    <col min="226" max="226" width="15.54296875" style="561" customWidth="1"/>
    <col min="227" max="228" width="12.1796875" style="561" customWidth="1"/>
    <col min="229" max="16384" width="9.1796875" style="561"/>
  </cols>
  <sheetData>
    <row r="1" spans="1:177" ht="18" customHeight="1">
      <c r="A1" s="1514" t="str">
        <f>+'ATT H-2A'!A4</f>
        <v>Baltimore Gas and Electric Company</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1514"/>
      <c r="AO1" s="1514"/>
      <c r="AP1" s="1514"/>
      <c r="AQ1" s="1514"/>
    </row>
    <row r="3" spans="1:177" ht="15.5">
      <c r="A3" s="1516" t="s">
        <v>49</v>
      </c>
      <c r="B3" s="1516"/>
      <c r="C3" s="1516"/>
      <c r="D3" s="1516"/>
      <c r="E3" s="1516"/>
      <c r="F3" s="1516"/>
      <c r="G3" s="1516"/>
      <c r="H3" s="1516"/>
      <c r="I3" s="1516"/>
      <c r="J3" s="1516"/>
      <c r="K3" s="1516"/>
      <c r="L3" s="1516"/>
      <c r="M3" s="1516"/>
      <c r="N3" s="1516"/>
      <c r="O3" s="1516"/>
      <c r="P3" s="1516"/>
      <c r="Q3" s="1516"/>
      <c r="R3" s="1516"/>
      <c r="S3" s="1516"/>
      <c r="T3" s="1516"/>
      <c r="U3" s="1516"/>
      <c r="V3" s="1516"/>
      <c r="W3" s="1516"/>
      <c r="X3" s="1516"/>
      <c r="Y3" s="1516"/>
      <c r="Z3" s="1516"/>
      <c r="AA3" s="1516"/>
      <c r="AB3" s="1516"/>
      <c r="AC3" s="1516"/>
      <c r="AD3" s="1516"/>
      <c r="AE3" s="1516"/>
      <c r="AF3" s="1516"/>
      <c r="AG3" s="1516"/>
      <c r="AH3" s="1516"/>
      <c r="AI3" s="1516"/>
      <c r="AJ3" s="1516"/>
      <c r="AK3" s="1516"/>
      <c r="AL3" s="1516"/>
      <c r="AM3" s="1516"/>
      <c r="AN3" s="1516"/>
      <c r="AO3" s="1516"/>
      <c r="AP3" s="1516"/>
      <c r="AQ3" s="1516"/>
    </row>
    <row r="5" spans="1:177">
      <c r="FU5" s="924"/>
    </row>
    <row r="6" spans="1:177">
      <c r="FU6" s="924"/>
    </row>
    <row r="7" spans="1:177">
      <c r="A7" s="561" t="s">
        <v>464</v>
      </c>
      <c r="FU7" s="924"/>
    </row>
    <row r="8" spans="1:177">
      <c r="FU8" s="924"/>
    </row>
    <row r="9" spans="1:177" ht="13">
      <c r="A9" s="170" t="s">
        <v>432</v>
      </c>
      <c r="FU9" s="924"/>
    </row>
    <row r="10" spans="1:177" ht="13">
      <c r="A10" s="170"/>
      <c r="B10" s="842" t="s">
        <v>462</v>
      </c>
      <c r="FU10" s="924"/>
    </row>
    <row r="11" spans="1:177">
      <c r="A11" s="842" t="s">
        <v>168</v>
      </c>
      <c r="B11" s="587">
        <v>159</v>
      </c>
      <c r="C11" s="814" t="str">
        <f>+'ATT H-2A'!C286</f>
        <v>Net Plant Carrying Charge without Depreciation</v>
      </c>
      <c r="F11" s="588"/>
      <c r="L11" s="873">
        <f>+'ATT H-2A'!H286</f>
        <v>0.11507451597067067</v>
      </c>
      <c r="FU11" s="924"/>
    </row>
    <row r="12" spans="1:177">
      <c r="A12" s="842" t="s">
        <v>323</v>
      </c>
      <c r="B12" s="587">
        <v>166</v>
      </c>
      <c r="C12" s="814" t="str">
        <f>+'ATT H-2A'!C296</f>
        <v>Net Plant Carrying Charge per 100 basis point increase in ROE without Depreciation</v>
      </c>
      <c r="F12" s="588"/>
      <c r="L12" s="873">
        <f>+'ATT H-2A'!H296</f>
        <v>0.12117762140727878</v>
      </c>
      <c r="FU12" s="924"/>
    </row>
    <row r="13" spans="1:177">
      <c r="A13" s="842" t="s">
        <v>142</v>
      </c>
      <c r="C13" s="561" t="s">
        <v>434</v>
      </c>
      <c r="F13" s="588"/>
      <c r="L13" s="873">
        <f>+L12-L11</f>
        <v>6.1031054366081083E-3</v>
      </c>
      <c r="FU13" s="924"/>
    </row>
    <row r="14" spans="1:177">
      <c r="F14" s="588"/>
      <c r="L14" s="873"/>
      <c r="FU14" s="924"/>
    </row>
    <row r="15" spans="1:177" ht="13">
      <c r="A15" s="170" t="s">
        <v>431</v>
      </c>
      <c r="F15" s="588"/>
      <c r="L15" s="873"/>
      <c r="FU15" s="924"/>
    </row>
    <row r="16" spans="1:177" ht="13">
      <c r="A16" s="170"/>
      <c r="F16" s="588"/>
      <c r="L16" s="873"/>
    </row>
    <row r="17" spans="1:228">
      <c r="A17" s="842" t="s">
        <v>169</v>
      </c>
      <c r="B17" s="587">
        <v>160</v>
      </c>
      <c r="C17" s="814" t="str">
        <f>+'ATT H-2A'!C287</f>
        <v>Net Plant Carrying Charge without Depreciation, Return, nor Income Taxes</v>
      </c>
      <c r="F17" s="588"/>
      <c r="L17" s="873">
        <f>+'ATT H-2A'!H287</f>
        <v>4.5760782429532652E-2</v>
      </c>
    </row>
    <row r="19" spans="1:228" ht="13">
      <c r="A19" s="148" t="s">
        <v>58</v>
      </c>
      <c r="B19" s="906"/>
    </row>
    <row r="20" spans="1:228" ht="13">
      <c r="A20" s="148" t="s">
        <v>601</v>
      </c>
      <c r="B20" s="906"/>
    </row>
    <row r="21" spans="1:228" ht="12.75" customHeight="1">
      <c r="A21" s="148" t="s">
        <v>879</v>
      </c>
      <c r="B21" s="576"/>
      <c r="C21" s="576"/>
      <c r="D21" s="576"/>
      <c r="E21" s="576"/>
      <c r="F21" s="576"/>
      <c r="G21" s="576"/>
      <c r="H21" s="576"/>
      <c r="I21" s="576"/>
      <c r="J21" s="576"/>
      <c r="K21" s="576"/>
      <c r="L21" s="576"/>
      <c r="M21" s="576"/>
      <c r="N21" s="576"/>
      <c r="O21" s="576"/>
      <c r="P21" s="576"/>
      <c r="Q21" s="576"/>
      <c r="R21" s="576"/>
      <c r="U21" s="576"/>
      <c r="V21" s="576"/>
      <c r="W21" s="576"/>
      <c r="X21" s="576"/>
      <c r="Y21" s="576"/>
      <c r="Z21" s="576"/>
      <c r="AA21" s="576"/>
      <c r="AB21" s="576"/>
      <c r="AC21" s="576"/>
      <c r="AD21" s="576"/>
      <c r="AE21" s="576"/>
      <c r="AF21" s="576"/>
      <c r="AG21" s="576"/>
      <c r="EA21" s="676"/>
    </row>
    <row r="22" spans="1:228" ht="13.75" customHeight="1" thickBot="1">
      <c r="A22" s="148" t="s">
        <v>880</v>
      </c>
      <c r="B22" s="576"/>
      <c r="C22" s="576"/>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row>
    <row r="23" spans="1:228" ht="25.5" customHeight="1">
      <c r="A23" s="638" t="s">
        <v>425</v>
      </c>
      <c r="B23" s="728"/>
      <c r="C23" s="1617" t="s">
        <v>1248</v>
      </c>
      <c r="D23" s="1547"/>
      <c r="E23" s="1547"/>
      <c r="F23" s="1618"/>
      <c r="G23" s="1605" t="s">
        <v>1244</v>
      </c>
      <c r="H23" s="1606"/>
      <c r="I23" s="1606"/>
      <c r="J23" s="1607"/>
      <c r="K23" s="1605" t="s">
        <v>841</v>
      </c>
      <c r="L23" s="1606"/>
      <c r="M23" s="1606"/>
      <c r="N23" s="1607"/>
      <c r="O23" s="1605" t="s">
        <v>842</v>
      </c>
      <c r="P23" s="1606" t="str">
        <f>+O23</f>
        <v>Northwest to Finksburg 2009</v>
      </c>
      <c r="Q23" s="1606" t="str">
        <f>+P23</f>
        <v>Northwest to Finksburg 2009</v>
      </c>
      <c r="R23" s="1607" t="str">
        <f>+Q23</f>
        <v>Northwest to Finksburg 2009</v>
      </c>
      <c r="S23" s="1608" t="s">
        <v>843</v>
      </c>
      <c r="T23" s="1609"/>
      <c r="U23" s="1609"/>
      <c r="V23" s="1610"/>
      <c r="W23" s="1608" t="s">
        <v>1249</v>
      </c>
      <c r="X23" s="1609"/>
      <c r="Y23" s="1609"/>
      <c r="Z23" s="1610"/>
      <c r="AA23" s="1608" t="s">
        <v>1245</v>
      </c>
      <c r="AB23" s="1609"/>
      <c r="AC23" s="1609"/>
      <c r="AD23" s="1610"/>
      <c r="AE23" s="1608" t="s">
        <v>844</v>
      </c>
      <c r="AF23" s="1609"/>
      <c r="AG23" s="1609"/>
      <c r="AH23" s="1610"/>
      <c r="AI23" s="1608" t="s">
        <v>1246</v>
      </c>
      <c r="AJ23" s="1609"/>
      <c r="AK23" s="1609"/>
      <c r="AL23" s="1610"/>
      <c r="AM23" s="1619" t="s">
        <v>1247</v>
      </c>
      <c r="AN23" s="1620"/>
      <c r="AO23" s="1620"/>
      <c r="AP23" s="1621"/>
      <c r="AQ23" s="1608" t="s">
        <v>845</v>
      </c>
      <c r="AR23" s="1609"/>
      <c r="AS23" s="1609"/>
      <c r="AT23" s="1610"/>
      <c r="AU23" s="727" t="s">
        <v>452</v>
      </c>
      <c r="AV23" s="639" t="str">
        <f>+AU23</f>
        <v>Project D</v>
      </c>
      <c r="AW23" s="639" t="str">
        <f>+AV23</f>
        <v>Project D</v>
      </c>
      <c r="AX23" s="640" t="str">
        <f>+AW23</f>
        <v>Project D</v>
      </c>
      <c r="AY23" s="727" t="s">
        <v>453</v>
      </c>
      <c r="AZ23" s="639" t="str">
        <f>+AY23</f>
        <v>Project E</v>
      </c>
      <c r="BA23" s="639" t="str">
        <f>+AZ23</f>
        <v>Project E</v>
      </c>
      <c r="BB23" s="640" t="str">
        <f>+BA23</f>
        <v>Project E</v>
      </c>
      <c r="BC23" s="727" t="s">
        <v>454</v>
      </c>
      <c r="BD23" s="639" t="str">
        <f>+BC23</f>
        <v>Project F</v>
      </c>
      <c r="BE23" s="639" t="str">
        <f>+BD23</f>
        <v>Project F</v>
      </c>
      <c r="BF23" s="640" t="str">
        <f>+BE23</f>
        <v>Project F</v>
      </c>
      <c r="BG23" s="727" t="s">
        <v>455</v>
      </c>
      <c r="BH23" s="639" t="str">
        <f>+BG23</f>
        <v>Project G</v>
      </c>
      <c r="BI23" s="639" t="str">
        <f>+BH23</f>
        <v>Project G</v>
      </c>
      <c r="BJ23" s="640" t="str">
        <f>+BI23</f>
        <v>Project G</v>
      </c>
      <c r="BK23" s="727" t="s">
        <v>456</v>
      </c>
      <c r="BL23" s="639" t="str">
        <f>+BK23</f>
        <v>Project H</v>
      </c>
      <c r="BM23" s="639" t="str">
        <f>+BL23</f>
        <v>Project H</v>
      </c>
      <c r="BN23" s="640" t="str">
        <f>+BM23</f>
        <v>Project H</v>
      </c>
      <c r="BO23" s="727" t="s">
        <v>457</v>
      </c>
      <c r="BP23" s="639" t="str">
        <f>+BO23</f>
        <v>Project I</v>
      </c>
      <c r="BQ23" s="639" t="str">
        <f>+BP23</f>
        <v>Project I</v>
      </c>
      <c r="BR23" s="640" t="str">
        <f>+BQ23</f>
        <v>Project I</v>
      </c>
      <c r="BS23" s="1605" t="s">
        <v>846</v>
      </c>
      <c r="BT23" s="1606" t="str">
        <f>+BS23</f>
        <v>Northwest to Finksburg 2010</v>
      </c>
      <c r="BU23" s="1606" t="str">
        <f>+BT23</f>
        <v>Northwest to Finksburg 2010</v>
      </c>
      <c r="BV23" s="1607" t="str">
        <f>+BU23</f>
        <v>Northwest to Finksburg 2010</v>
      </c>
      <c r="BW23" s="1605" t="s">
        <v>1242</v>
      </c>
      <c r="BX23" s="1606" t="str">
        <f>+BW23</f>
        <v>b0477 - Waugh Chapel 500/230 kV Transformer 2011</v>
      </c>
      <c r="BY23" s="1606" t="str">
        <f>+BX23</f>
        <v>b0477 - Waugh Chapel 500/230 kV Transformer 2011</v>
      </c>
      <c r="BZ23" s="1607" t="str">
        <f>+BY23</f>
        <v>b0477 - Waugh Chapel 500/230 kV Transformer 2011</v>
      </c>
      <c r="CA23" s="1608" t="s">
        <v>1243</v>
      </c>
      <c r="CB23" s="1609"/>
      <c r="CC23" s="1609"/>
      <c r="CD23" s="1610"/>
      <c r="CE23" s="1605" t="s">
        <v>847</v>
      </c>
      <c r="CF23" s="1606" t="str">
        <f>+CE23</f>
        <v>Northwest to Finksburg 2011</v>
      </c>
      <c r="CG23" s="1606" t="str">
        <f>+CF23</f>
        <v>Northwest to Finksburg 2011</v>
      </c>
      <c r="CH23" s="1607" t="str">
        <f>+CG23</f>
        <v>Northwest to Finksburg 2011</v>
      </c>
      <c r="CI23" s="1605" t="s">
        <v>1241</v>
      </c>
      <c r="CJ23" s="1606" t="str">
        <f>+CI23</f>
        <v>b0477 - Waugh Chapel 500/230 kV Transformer 2012</v>
      </c>
      <c r="CK23" s="1606" t="str">
        <f>+CJ23</f>
        <v>b0477 - Waugh Chapel 500/230 kV Transformer 2012</v>
      </c>
      <c r="CL23" s="1607" t="str">
        <f>+CK23</f>
        <v>b0477 - Waugh Chapel 500/230 kV Transformer 2012</v>
      </c>
      <c r="CM23" s="1605" t="s">
        <v>1240</v>
      </c>
      <c r="CN23" s="1606" t="str">
        <f>+CM23</f>
        <v>b0497 - Second Conastone-Graceton 230kV Circuit 2016</v>
      </c>
      <c r="CO23" s="1606" t="str">
        <f>+CN23</f>
        <v>b0497 - Second Conastone-Graceton 230kV Circuit 2016</v>
      </c>
      <c r="CP23" s="1607" t="str">
        <f>+CO23</f>
        <v>b0497 - Second Conastone-Graceton 230kV Circuit 2016</v>
      </c>
      <c r="CQ23" s="1605" t="s">
        <v>1237</v>
      </c>
      <c r="CR23" s="1606" t="str">
        <f>+CQ23</f>
        <v>b1016 - Rebuild Graceton-Bagley 230kV 2016</v>
      </c>
      <c r="CS23" s="1606" t="str">
        <f>+CR23</f>
        <v>b1016 - Rebuild Graceton-Bagley 230kV 2016</v>
      </c>
      <c r="CT23" s="1607" t="str">
        <f>+CS23</f>
        <v>b1016 - Rebuild Graceton-Bagley 230kV 2016</v>
      </c>
      <c r="CU23" s="1605" t="s">
        <v>1232</v>
      </c>
      <c r="CV23" s="1606" t="str">
        <f>+CU23</f>
        <v>b1251.1 - Rebuild Raphael-Bagley 230 kV 2016</v>
      </c>
      <c r="CW23" s="1606" t="str">
        <f>+CV23</f>
        <v>b1251.1 - Rebuild Raphael-Bagley 230 kV 2016</v>
      </c>
      <c r="CX23" s="1607" t="str">
        <f>+CW23</f>
        <v>b1251.1 - Rebuild Raphael-Bagley 230 kV 2016</v>
      </c>
      <c r="CY23" s="1605" t="s">
        <v>1239</v>
      </c>
      <c r="CZ23" s="1606" t="str">
        <f>+CY23</f>
        <v>b0497 - Second Conastone-Graceton 230kV Circuit 2017</v>
      </c>
      <c r="DA23" s="1606" t="str">
        <f>+CZ23</f>
        <v>b0497 - Second Conastone-Graceton 230kV Circuit 2017</v>
      </c>
      <c r="DB23" s="1607" t="str">
        <f>+DA23</f>
        <v>b0497 - Second Conastone-Graceton 230kV Circuit 2017</v>
      </c>
      <c r="DC23" s="1605" t="s">
        <v>1236</v>
      </c>
      <c r="DD23" s="1606" t="str">
        <f>+DC23</f>
        <v>b1016 - Rebuild Graceton-Bagley 230kV 2017</v>
      </c>
      <c r="DE23" s="1606" t="str">
        <f>+DD23</f>
        <v>b1016 - Rebuild Graceton-Bagley 230kV 2017</v>
      </c>
      <c r="DF23" s="1607" t="str">
        <f>+DE23</f>
        <v>b1016 - Rebuild Graceton-Bagley 230kV 2017</v>
      </c>
      <c r="DG23" s="1605" t="s">
        <v>1232</v>
      </c>
      <c r="DH23" s="1606" t="str">
        <f>+DG23</f>
        <v>b1251.1 - Rebuild Raphael-Bagley 230 kV 2016</v>
      </c>
      <c r="DI23" s="1606" t="str">
        <f>+DH23</f>
        <v>b1251.1 - Rebuild Raphael-Bagley 230 kV 2016</v>
      </c>
      <c r="DJ23" s="1607" t="str">
        <f>+DI23</f>
        <v>b1251.1 - Rebuild Raphael-Bagley 230 kV 2016</v>
      </c>
      <c r="DK23" s="1605" t="s">
        <v>1233</v>
      </c>
      <c r="DL23" s="1606" t="str">
        <f>+DK23</f>
        <v>b1251 - Second Raphael-Bagley 230kv Circuit 2018</v>
      </c>
      <c r="DM23" s="1606" t="str">
        <f>+DL23</f>
        <v>b1251 - Second Raphael-Bagley 230kv Circuit 2018</v>
      </c>
      <c r="DN23" s="1607" t="str">
        <f>+DM23</f>
        <v>b1251 - Second Raphael-Bagley 230kv Circuit 2018</v>
      </c>
      <c r="DO23" s="1605" t="s">
        <v>1238</v>
      </c>
      <c r="DP23" s="1606" t="str">
        <f>+DO23</f>
        <v>b0497 - Second Conastone-Graceton 230kV Circuit 2018</v>
      </c>
      <c r="DQ23" s="1606" t="str">
        <f>+DP23</f>
        <v>b0497 - Second Conastone-Graceton 230kV Circuit 2018</v>
      </c>
      <c r="DR23" s="1607" t="str">
        <f>+DQ23</f>
        <v>b0497 - Second Conastone-Graceton 230kV Circuit 2018</v>
      </c>
      <c r="DS23" s="1605" t="s">
        <v>1235</v>
      </c>
      <c r="DT23" s="1606" t="str">
        <f>+DS23</f>
        <v>b1016 - Rebuild Graceton-Bagley 230kV 2018</v>
      </c>
      <c r="DU23" s="1606" t="str">
        <f>+DT23</f>
        <v>b1016 - Rebuild Graceton-Bagley 230kV 2018</v>
      </c>
      <c r="DV23" s="1607" t="str">
        <f>+DU23</f>
        <v>b1016 - Rebuild Graceton-Bagley 230kV 2018</v>
      </c>
      <c r="DW23" s="1605" t="s">
        <v>1233</v>
      </c>
      <c r="DX23" s="1606" t="str">
        <f>+DW23</f>
        <v>b1251 - Second Raphael-Bagley 230kv Circuit 2018</v>
      </c>
      <c r="DY23" s="1606" t="str">
        <f>+DX23</f>
        <v>b1251 - Second Raphael-Bagley 230kv Circuit 2018</v>
      </c>
      <c r="DZ23" s="1607" t="str">
        <f>+DY23</f>
        <v>b1251 - Second Raphael-Bagley 230kv Circuit 2018</v>
      </c>
      <c r="EA23" s="1605" t="s">
        <v>1234</v>
      </c>
      <c r="EB23" s="1606" t="str">
        <f>+EA23</f>
        <v>b1251.1 - Rebuild Raphael-Bagley 230 kV 2018</v>
      </c>
      <c r="EC23" s="1606" t="str">
        <f>+EB23</f>
        <v>b1251.1 - Rebuild Raphael-Bagley 230 kV 2018</v>
      </c>
      <c r="ED23" s="1607" t="str">
        <f>+EC23</f>
        <v>b1251.1 - Rebuild Raphael-Bagley 230 kV 2018</v>
      </c>
      <c r="EE23" s="1605" t="s">
        <v>1270</v>
      </c>
      <c r="EF23" s="1606" t="str">
        <f>+EE23</f>
        <v>b2766.1 - Rebuild Conastone 500 kV Substation Equip 2021</v>
      </c>
      <c r="EG23" s="1606" t="str">
        <f>+EF23</f>
        <v>b2766.1 - Rebuild Conastone 500 kV Substation Equip 2021</v>
      </c>
      <c r="EH23" s="1607" t="str">
        <f>+EG23</f>
        <v>b2766.1 - Rebuild Conastone 500 kV Substation Equip 2021</v>
      </c>
      <c r="EI23" s="1605" t="s">
        <v>1271</v>
      </c>
      <c r="EJ23" s="1606" t="str">
        <f>+EI23</f>
        <v>b2992.3 - Rebuild Windy Edge-Glenarm 115 kV Circuit 2021</v>
      </c>
      <c r="EK23" s="1606" t="str">
        <f>+EJ23</f>
        <v>b2992.3 - Rebuild Windy Edge-Glenarm 115 kV Circuit 2021</v>
      </c>
      <c r="EL23" s="1607" t="str">
        <f>+EK23</f>
        <v>b2992.3 - Rebuild Windy Edge-Glenarm 115 kV Circuit 2021</v>
      </c>
      <c r="EM23" s="1605" t="s">
        <v>1272</v>
      </c>
      <c r="EN23" s="1606" t="str">
        <f>+EM23</f>
        <v>b2992.4 - Rebuild Raphael-Northeast 230 kV Circuit 2021</v>
      </c>
      <c r="EO23" s="1606" t="str">
        <f>+EN23</f>
        <v>b2992.4 - Rebuild Raphael-Northeast 230 kV Circuit 2021</v>
      </c>
      <c r="EP23" s="1607" t="str">
        <f>+EO23</f>
        <v>b2992.4 - Rebuild Raphael-Northeast 230 kV Circuit 2021</v>
      </c>
      <c r="EQ23" s="641"/>
      <c r="EV23" s="1608" t="s">
        <v>848</v>
      </c>
      <c r="EW23" s="1611"/>
      <c r="EX23" s="1611"/>
      <c r="EY23" s="1612"/>
      <c r="EZ23" s="1608" t="s">
        <v>848</v>
      </c>
      <c r="FA23" s="1611"/>
      <c r="FB23" s="1611"/>
      <c r="FC23" s="1612"/>
      <c r="FD23" s="1608" t="s">
        <v>848</v>
      </c>
      <c r="FE23" s="1611"/>
      <c r="FF23" s="1611"/>
      <c r="FG23" s="1612"/>
      <c r="FH23" s="1608" t="s">
        <v>848</v>
      </c>
      <c r="FI23" s="1611"/>
      <c r="FJ23" s="1611"/>
      <c r="FK23" s="1612"/>
      <c r="FL23" s="1608" t="s">
        <v>854</v>
      </c>
      <c r="FM23" s="1611"/>
      <c r="FN23" s="1611"/>
      <c r="FO23" s="1612"/>
      <c r="FP23" s="1608" t="s">
        <v>854</v>
      </c>
      <c r="FQ23" s="1611"/>
      <c r="FR23" s="1611"/>
      <c r="FS23" s="1612"/>
      <c r="FT23" s="1608" t="s">
        <v>854</v>
      </c>
      <c r="FU23" s="1611"/>
      <c r="FV23" s="1611"/>
      <c r="FW23" s="1612"/>
      <c r="FX23" s="1608" t="s">
        <v>854</v>
      </c>
      <c r="FY23" s="1611"/>
      <c r="FZ23" s="1611"/>
      <c r="GA23" s="1612"/>
      <c r="GB23" s="1608" t="s">
        <v>854</v>
      </c>
      <c r="GC23" s="1611"/>
      <c r="GD23" s="1611"/>
      <c r="GE23" s="1612"/>
      <c r="GF23" s="1608" t="s">
        <v>854</v>
      </c>
      <c r="GG23" s="1611"/>
      <c r="GH23" s="1611"/>
      <c r="GI23" s="1612"/>
      <c r="GJ23" s="1608" t="s">
        <v>883</v>
      </c>
      <c r="GK23" s="1611"/>
      <c r="GL23" s="1611"/>
      <c r="GM23" s="1612"/>
      <c r="GN23" s="1608" t="s">
        <v>890</v>
      </c>
      <c r="GO23" s="1611"/>
      <c r="GP23" s="1611"/>
      <c r="GQ23" s="1612"/>
      <c r="GR23" s="1608" t="s">
        <v>901</v>
      </c>
      <c r="GS23" s="1611"/>
      <c r="GT23" s="1611"/>
      <c r="GU23" s="1612"/>
      <c r="GV23" s="1605" t="s">
        <v>1231</v>
      </c>
      <c r="GW23" s="1613"/>
      <c r="GX23" s="1613"/>
      <c r="GY23" s="1614"/>
      <c r="GZ23" s="1605" t="s">
        <v>1231</v>
      </c>
      <c r="HA23" s="1613"/>
      <c r="HB23" s="1613"/>
      <c r="HC23" s="1614"/>
      <c r="HD23" s="1605" t="s">
        <v>1269</v>
      </c>
      <c r="HE23" s="1613"/>
      <c r="HF23" s="1613"/>
      <c r="HG23" s="1614"/>
      <c r="HI23" s="1608" t="s">
        <v>730</v>
      </c>
      <c r="HJ23" s="1609"/>
      <c r="HK23" s="1609"/>
      <c r="HL23" s="1610"/>
      <c r="HM23" s="1608" t="s">
        <v>860</v>
      </c>
      <c r="HN23" s="1609"/>
      <c r="HO23" s="1609"/>
      <c r="HP23" s="1610"/>
      <c r="HQ23" s="1608" t="s">
        <v>892</v>
      </c>
      <c r="HR23" s="1609"/>
      <c r="HS23" s="1609"/>
      <c r="HT23" s="1610"/>
    </row>
    <row r="24" spans="1:228" ht="13">
      <c r="A24" s="601" t="s">
        <v>232</v>
      </c>
      <c r="B24" s="642" t="s">
        <v>648</v>
      </c>
      <c r="C24" s="643" t="s">
        <v>429</v>
      </c>
      <c r="D24" s="642"/>
      <c r="E24" s="642"/>
      <c r="F24" s="644"/>
      <c r="G24" s="643" t="s">
        <v>429</v>
      </c>
      <c r="H24" s="642"/>
      <c r="I24" s="642"/>
      <c r="J24" s="644"/>
      <c r="K24" s="643" t="s">
        <v>428</v>
      </c>
      <c r="L24" s="642"/>
      <c r="M24" s="642"/>
      <c r="N24" s="644"/>
      <c r="O24" s="643" t="s">
        <v>428</v>
      </c>
      <c r="P24" s="642"/>
      <c r="Q24" s="642"/>
      <c r="R24" s="644"/>
      <c r="S24" s="724" t="s">
        <v>428</v>
      </c>
      <c r="T24" s="725"/>
      <c r="U24" s="725"/>
      <c r="V24" s="726"/>
      <c r="W24" s="724" t="s">
        <v>429</v>
      </c>
      <c r="X24" s="725"/>
      <c r="Y24" s="725"/>
      <c r="Z24" s="726"/>
      <c r="AA24" s="724" t="s">
        <v>429</v>
      </c>
      <c r="AB24" s="725"/>
      <c r="AC24" s="725"/>
      <c r="AD24" s="726"/>
      <c r="AE24" s="724" t="s">
        <v>428</v>
      </c>
      <c r="AF24" s="725"/>
      <c r="AG24" s="725"/>
      <c r="AH24" s="726"/>
      <c r="AI24" s="724" t="s">
        <v>429</v>
      </c>
      <c r="AJ24" s="725"/>
      <c r="AK24" s="725"/>
      <c r="AL24" s="726"/>
      <c r="AM24" s="724" t="s">
        <v>429</v>
      </c>
      <c r="AN24" s="725"/>
      <c r="AO24" s="725"/>
      <c r="AP24" s="726"/>
      <c r="AQ24" s="724" t="s">
        <v>428</v>
      </c>
      <c r="AR24" s="725"/>
      <c r="AS24" s="725"/>
      <c r="AT24" s="726"/>
      <c r="AU24" s="645"/>
      <c r="AV24" s="646"/>
      <c r="AW24" s="646"/>
      <c r="AX24" s="647"/>
      <c r="AY24" s="645"/>
      <c r="AZ24" s="646"/>
      <c r="BA24" s="646"/>
      <c r="BB24" s="647"/>
      <c r="BC24" s="645"/>
      <c r="BD24" s="646"/>
      <c r="BE24" s="646"/>
      <c r="BF24" s="647"/>
      <c r="BG24" s="645"/>
      <c r="BH24" s="646"/>
      <c r="BI24" s="646"/>
      <c r="BJ24" s="647"/>
      <c r="BK24" s="645"/>
      <c r="BL24" s="646"/>
      <c r="BM24" s="646"/>
      <c r="BN24" s="647"/>
      <c r="BO24" s="645"/>
      <c r="BP24" s="646"/>
      <c r="BQ24" s="646"/>
      <c r="BR24" s="647"/>
      <c r="BS24" s="724" t="s">
        <v>428</v>
      </c>
      <c r="BT24" s="725"/>
      <c r="BU24" s="725"/>
      <c r="BV24" s="726"/>
      <c r="BW24" s="724" t="s">
        <v>429</v>
      </c>
      <c r="BX24" s="725"/>
      <c r="BY24" s="725"/>
      <c r="BZ24" s="726"/>
      <c r="CA24" s="724" t="s">
        <v>429</v>
      </c>
      <c r="CB24" s="725"/>
      <c r="CC24" s="725"/>
      <c r="CD24" s="726"/>
      <c r="CE24" s="724" t="s">
        <v>428</v>
      </c>
      <c r="CF24" s="725"/>
      <c r="CG24" s="725"/>
      <c r="CH24" s="726"/>
      <c r="CI24" s="724" t="s">
        <v>429</v>
      </c>
      <c r="CJ24" s="725"/>
      <c r="CK24" s="725"/>
      <c r="CL24" s="726"/>
      <c r="CM24" s="921" t="s">
        <v>429</v>
      </c>
      <c r="CN24" s="919"/>
      <c r="CO24" s="919"/>
      <c r="CP24" s="922"/>
      <c r="CQ24" s="921" t="s">
        <v>429</v>
      </c>
      <c r="CR24" s="919"/>
      <c r="CS24" s="919"/>
      <c r="CT24" s="922"/>
      <c r="CU24" s="921" t="s">
        <v>429</v>
      </c>
      <c r="CV24" s="919"/>
      <c r="CW24" s="919"/>
      <c r="CX24" s="922"/>
      <c r="CY24" s="933" t="s">
        <v>429</v>
      </c>
      <c r="CZ24" s="932"/>
      <c r="DA24" s="932"/>
      <c r="DB24" s="934"/>
      <c r="DC24" s="933" t="s">
        <v>429</v>
      </c>
      <c r="DD24" s="932"/>
      <c r="DE24" s="932"/>
      <c r="DF24" s="934"/>
      <c r="DG24" s="933" t="s">
        <v>429</v>
      </c>
      <c r="DH24" s="932"/>
      <c r="DI24" s="932"/>
      <c r="DJ24" s="934"/>
      <c r="DK24" s="933" t="s">
        <v>429</v>
      </c>
      <c r="DL24" s="932"/>
      <c r="DM24" s="932"/>
      <c r="DN24" s="934"/>
      <c r="DO24" s="954" t="s">
        <v>428</v>
      </c>
      <c r="DP24" s="953"/>
      <c r="DQ24" s="953"/>
      <c r="DR24" s="955"/>
      <c r="DS24" s="954" t="s">
        <v>428</v>
      </c>
      <c r="DT24" s="953"/>
      <c r="DU24" s="953"/>
      <c r="DV24" s="955"/>
      <c r="DW24" s="954" t="s">
        <v>428</v>
      </c>
      <c r="DX24" s="953"/>
      <c r="DY24" s="953"/>
      <c r="DZ24" s="955"/>
      <c r="EA24" s="954" t="s">
        <v>428</v>
      </c>
      <c r="EB24" s="953"/>
      <c r="EC24" s="953"/>
      <c r="ED24" s="955"/>
      <c r="EE24" s="1409" t="s">
        <v>428</v>
      </c>
      <c r="EF24" s="1408"/>
      <c r="EG24" s="1408"/>
      <c r="EH24" s="1410"/>
      <c r="EI24" s="1409" t="s">
        <v>428</v>
      </c>
      <c r="EJ24" s="1408"/>
      <c r="EK24" s="1408"/>
      <c r="EL24" s="1410"/>
      <c r="EM24" s="1409" t="s">
        <v>428</v>
      </c>
      <c r="EN24" s="1408"/>
      <c r="EO24" s="1408"/>
      <c r="EP24" s="1410"/>
      <c r="EQ24" s="648"/>
      <c r="EV24" s="724" t="s">
        <v>428</v>
      </c>
      <c r="EW24" s="725"/>
      <c r="EX24" s="725"/>
      <c r="EY24" s="726"/>
      <c r="EZ24" s="724" t="s">
        <v>428</v>
      </c>
      <c r="FA24" s="725"/>
      <c r="FB24" s="725"/>
      <c r="FC24" s="726"/>
      <c r="FD24" s="724" t="s">
        <v>428</v>
      </c>
      <c r="FE24" s="725"/>
      <c r="FF24" s="725"/>
      <c r="FG24" s="726"/>
      <c r="FH24" s="724" t="s">
        <v>428</v>
      </c>
      <c r="FI24" s="725"/>
      <c r="FJ24" s="725"/>
      <c r="FK24" s="726"/>
      <c r="FL24" s="724" t="s">
        <v>428</v>
      </c>
      <c r="FM24" s="725"/>
      <c r="FN24" s="725"/>
      <c r="FO24" s="726"/>
      <c r="FP24" s="724" t="s">
        <v>428</v>
      </c>
      <c r="FQ24" s="725"/>
      <c r="FR24" s="725"/>
      <c r="FS24" s="726"/>
      <c r="FT24" s="897" t="s">
        <v>428</v>
      </c>
      <c r="FU24" s="895"/>
      <c r="FV24" s="895"/>
      <c r="FW24" s="898"/>
      <c r="FX24" s="897" t="s">
        <v>428</v>
      </c>
      <c r="FY24" s="895"/>
      <c r="FZ24" s="895"/>
      <c r="GA24" s="898"/>
      <c r="GB24" s="897" t="s">
        <v>428</v>
      </c>
      <c r="GC24" s="895"/>
      <c r="GD24" s="895"/>
      <c r="GE24" s="898"/>
      <c r="GF24" s="897" t="s">
        <v>428</v>
      </c>
      <c r="GG24" s="895"/>
      <c r="GH24" s="895"/>
      <c r="GI24" s="898"/>
      <c r="GJ24" s="916" t="s">
        <v>428</v>
      </c>
      <c r="GK24" s="914"/>
      <c r="GL24" s="914"/>
      <c r="GM24" s="913"/>
      <c r="GN24" s="930" t="s">
        <v>428</v>
      </c>
      <c r="GO24" s="928"/>
      <c r="GP24" s="928"/>
      <c r="GQ24" s="931"/>
      <c r="GR24" s="949" t="s">
        <v>428</v>
      </c>
      <c r="GS24" s="947"/>
      <c r="GT24" s="947"/>
      <c r="GU24" s="950"/>
      <c r="GV24" s="651" t="s">
        <v>428</v>
      </c>
      <c r="GW24" s="1346"/>
      <c r="GX24" s="1346"/>
      <c r="GY24" s="644"/>
      <c r="GZ24" s="651" t="s">
        <v>428</v>
      </c>
      <c r="HA24" s="1346"/>
      <c r="HB24" s="1346"/>
      <c r="HC24" s="644"/>
      <c r="HD24" s="651" t="s">
        <v>428</v>
      </c>
      <c r="HE24" s="1413"/>
      <c r="HF24" s="1413"/>
      <c r="HG24" s="644"/>
      <c r="HI24" s="1615"/>
      <c r="HJ24" s="1602"/>
      <c r="HK24" s="1602"/>
      <c r="HL24" s="1616"/>
      <c r="HM24" s="1615"/>
      <c r="HN24" s="1602"/>
      <c r="HO24" s="1602"/>
      <c r="HP24" s="1616"/>
      <c r="HQ24" s="1615"/>
      <c r="HR24" s="1602"/>
      <c r="HS24" s="1602"/>
      <c r="HT24" s="1616"/>
    </row>
    <row r="25" spans="1:228">
      <c r="A25" s="649" t="s">
        <v>423</v>
      </c>
      <c r="B25" s="642"/>
      <c r="C25" s="643">
        <v>44</v>
      </c>
      <c r="D25" s="642"/>
      <c r="E25" s="642"/>
      <c r="F25" s="650"/>
      <c r="G25" s="643">
        <v>44</v>
      </c>
      <c r="H25" s="642"/>
      <c r="I25" s="642"/>
      <c r="J25" s="650"/>
      <c r="K25" s="643">
        <v>44</v>
      </c>
      <c r="L25" s="642"/>
      <c r="M25" s="642"/>
      <c r="N25" s="650"/>
      <c r="O25" s="643">
        <v>44</v>
      </c>
      <c r="P25" s="642"/>
      <c r="Q25" s="642"/>
      <c r="R25" s="650"/>
      <c r="S25" s="724">
        <v>44</v>
      </c>
      <c r="T25" s="725"/>
      <c r="U25" s="725"/>
      <c r="V25" s="604"/>
      <c r="W25" s="724">
        <v>44</v>
      </c>
      <c r="X25" s="725"/>
      <c r="Y25" s="725"/>
      <c r="Z25" s="604"/>
      <c r="AA25" s="724">
        <v>44</v>
      </c>
      <c r="AB25" s="725"/>
      <c r="AC25" s="725"/>
      <c r="AD25" s="604"/>
      <c r="AE25" s="724">
        <v>44</v>
      </c>
      <c r="AF25" s="725"/>
      <c r="AG25" s="725"/>
      <c r="AH25" s="604"/>
      <c r="AI25" s="724">
        <v>44</v>
      </c>
      <c r="AJ25" s="725"/>
      <c r="AK25" s="725"/>
      <c r="AL25" s="604"/>
      <c r="AM25" s="724">
        <v>44</v>
      </c>
      <c r="AN25" s="725"/>
      <c r="AO25" s="725"/>
      <c r="AP25" s="604"/>
      <c r="AQ25" s="724">
        <v>44</v>
      </c>
      <c r="AR25" s="725"/>
      <c r="AS25" s="725"/>
      <c r="AT25" s="604"/>
      <c r="AU25" s="651">
        <v>40</v>
      </c>
      <c r="AV25" s="642"/>
      <c r="AW25" s="642"/>
      <c r="AX25" s="644"/>
      <c r="AY25" s="651">
        <v>40</v>
      </c>
      <c r="AZ25" s="642"/>
      <c r="BA25" s="642"/>
      <c r="BB25" s="644"/>
      <c r="BC25" s="651">
        <v>40</v>
      </c>
      <c r="BD25" s="642"/>
      <c r="BE25" s="642"/>
      <c r="BF25" s="644"/>
      <c r="BG25" s="651">
        <v>35</v>
      </c>
      <c r="BH25" s="642"/>
      <c r="BI25" s="642"/>
      <c r="BJ25" s="644"/>
      <c r="BK25" s="651">
        <v>25</v>
      </c>
      <c r="BL25" s="642"/>
      <c r="BM25" s="642"/>
      <c r="BN25" s="644"/>
      <c r="BO25" s="651">
        <v>30</v>
      </c>
      <c r="BP25" s="642"/>
      <c r="BQ25" s="642"/>
      <c r="BR25" s="644"/>
      <c r="BS25" s="724">
        <v>44</v>
      </c>
      <c r="BT25" s="725"/>
      <c r="BU25" s="725"/>
      <c r="BV25" s="604"/>
      <c r="BW25" s="724">
        <v>44</v>
      </c>
      <c r="BX25" s="725"/>
      <c r="BY25" s="725"/>
      <c r="BZ25" s="604"/>
      <c r="CA25" s="724">
        <v>44</v>
      </c>
      <c r="CB25" s="725"/>
      <c r="CC25" s="725"/>
      <c r="CD25" s="604"/>
      <c r="CE25" s="724">
        <v>44</v>
      </c>
      <c r="CF25" s="725"/>
      <c r="CG25" s="725"/>
      <c r="CH25" s="604"/>
      <c r="CI25" s="724">
        <v>44</v>
      </c>
      <c r="CJ25" s="725"/>
      <c r="CK25" s="725"/>
      <c r="CL25" s="604"/>
      <c r="CM25" s="921">
        <v>44</v>
      </c>
      <c r="CN25" s="919"/>
      <c r="CO25" s="919"/>
      <c r="CP25" s="604"/>
      <c r="CQ25" s="921">
        <v>44</v>
      </c>
      <c r="CR25" s="919"/>
      <c r="CS25" s="919"/>
      <c r="CT25" s="604"/>
      <c r="CU25" s="921">
        <v>44</v>
      </c>
      <c r="CV25" s="919"/>
      <c r="CW25" s="919"/>
      <c r="CX25" s="604"/>
      <c r="CY25" s="933">
        <v>44</v>
      </c>
      <c r="CZ25" s="932"/>
      <c r="DA25" s="932"/>
      <c r="DB25" s="604"/>
      <c r="DC25" s="933">
        <v>44</v>
      </c>
      <c r="DD25" s="932"/>
      <c r="DE25" s="932"/>
      <c r="DF25" s="604"/>
      <c r="DG25" s="933">
        <v>44</v>
      </c>
      <c r="DH25" s="932"/>
      <c r="DI25" s="932"/>
      <c r="DJ25" s="604"/>
      <c r="DK25" s="933">
        <v>44</v>
      </c>
      <c r="DL25" s="932"/>
      <c r="DM25" s="932"/>
      <c r="DN25" s="604"/>
      <c r="DO25" s="954">
        <v>44</v>
      </c>
      <c r="DP25" s="953"/>
      <c r="DQ25" s="953"/>
      <c r="DR25" s="604"/>
      <c r="DS25" s="954">
        <v>44</v>
      </c>
      <c r="DT25" s="953"/>
      <c r="DU25" s="953"/>
      <c r="DV25" s="604"/>
      <c r="DW25" s="954">
        <v>44</v>
      </c>
      <c r="DX25" s="953"/>
      <c r="DY25" s="953"/>
      <c r="DZ25" s="604"/>
      <c r="EA25" s="954">
        <v>44</v>
      </c>
      <c r="EB25" s="953"/>
      <c r="EC25" s="953"/>
      <c r="ED25" s="604"/>
      <c r="EE25" s="1409">
        <v>44</v>
      </c>
      <c r="EF25" s="1408"/>
      <c r="EG25" s="1408"/>
      <c r="EH25" s="604"/>
      <c r="EI25" s="1409">
        <v>44</v>
      </c>
      <c r="EJ25" s="1408"/>
      <c r="EK25" s="1408"/>
      <c r="EL25" s="604"/>
      <c r="EM25" s="1409">
        <v>44</v>
      </c>
      <c r="EN25" s="1408"/>
      <c r="EO25" s="1408"/>
      <c r="EP25" s="604"/>
      <c r="EQ25" s="648"/>
      <c r="EV25" s="724">
        <v>10</v>
      </c>
      <c r="EW25" s="725"/>
      <c r="EX25" s="725"/>
      <c r="EY25" s="604"/>
      <c r="EZ25" s="724">
        <v>10</v>
      </c>
      <c r="FA25" s="725"/>
      <c r="FB25" s="725"/>
      <c r="FC25" s="604"/>
      <c r="FD25" s="724">
        <v>10</v>
      </c>
      <c r="FE25" s="725"/>
      <c r="FF25" s="725"/>
      <c r="FG25" s="604"/>
      <c r="FH25" s="724">
        <v>10</v>
      </c>
      <c r="FI25" s="725"/>
      <c r="FJ25" s="725"/>
      <c r="FK25" s="604"/>
      <c r="FL25" s="724">
        <v>10</v>
      </c>
      <c r="FM25" s="725"/>
      <c r="FN25" s="725"/>
      <c r="FO25" s="604"/>
      <c r="FP25" s="724">
        <v>10</v>
      </c>
      <c r="FQ25" s="725"/>
      <c r="FR25" s="725"/>
      <c r="FS25" s="604"/>
      <c r="FT25" s="897">
        <v>10</v>
      </c>
      <c r="FU25" s="895"/>
      <c r="FV25" s="895"/>
      <c r="FW25" s="604"/>
      <c r="FX25" s="897">
        <v>10</v>
      </c>
      <c r="FY25" s="895"/>
      <c r="FZ25" s="895"/>
      <c r="GA25" s="604"/>
      <c r="GB25" s="897">
        <v>10</v>
      </c>
      <c r="GC25" s="895"/>
      <c r="GD25" s="895"/>
      <c r="GE25" s="604"/>
      <c r="GF25" s="897">
        <v>10</v>
      </c>
      <c r="GG25" s="895"/>
      <c r="GH25" s="895"/>
      <c r="GI25" s="604"/>
      <c r="GJ25" s="916">
        <v>10</v>
      </c>
      <c r="GK25" s="914"/>
      <c r="GL25" s="914"/>
      <c r="GM25" s="604"/>
      <c r="GN25" s="930">
        <v>10</v>
      </c>
      <c r="GO25" s="928"/>
      <c r="GP25" s="928"/>
      <c r="GQ25" s="604"/>
      <c r="GR25" s="949">
        <v>10</v>
      </c>
      <c r="GS25" s="947"/>
      <c r="GT25" s="947"/>
      <c r="GU25" s="604"/>
      <c r="GV25" s="651">
        <v>10</v>
      </c>
      <c r="GW25" s="1346"/>
      <c r="GX25" s="1346"/>
      <c r="GY25" s="1364"/>
      <c r="GZ25" s="651">
        <v>10</v>
      </c>
      <c r="HA25" s="1346"/>
      <c r="HB25" s="1346"/>
      <c r="HC25" s="1364"/>
      <c r="HD25" s="651">
        <v>10</v>
      </c>
      <c r="HE25" s="1413"/>
      <c r="HF25" s="1413"/>
      <c r="HG25" s="1364"/>
      <c r="HI25" s="724"/>
      <c r="HJ25" s="725"/>
      <c r="HK25" s="725"/>
      <c r="HL25" s="604"/>
      <c r="HM25" s="724">
        <v>1</v>
      </c>
      <c r="HN25" s="725"/>
      <c r="HO25" s="725"/>
      <c r="HP25" s="604"/>
      <c r="HQ25" s="930">
        <v>1</v>
      </c>
      <c r="HR25" s="928"/>
      <c r="HS25" s="928"/>
      <c r="HT25" s="604"/>
    </row>
    <row r="26" spans="1:228">
      <c r="A26" s="649" t="s">
        <v>424</v>
      </c>
      <c r="B26" s="642" t="s">
        <v>648</v>
      </c>
      <c r="C26" s="643" t="s">
        <v>428</v>
      </c>
      <c r="D26" s="642"/>
      <c r="E26" s="642"/>
      <c r="F26" s="650"/>
      <c r="G26" s="643" t="s">
        <v>428</v>
      </c>
      <c r="H26" s="642"/>
      <c r="I26" s="642"/>
      <c r="J26" s="650"/>
      <c r="K26" s="643" t="s">
        <v>428</v>
      </c>
      <c r="L26" s="642"/>
      <c r="M26" s="642"/>
      <c r="N26" s="650"/>
      <c r="O26" s="643" t="s">
        <v>428</v>
      </c>
      <c r="P26" s="642"/>
      <c r="Q26" s="642"/>
      <c r="R26" s="650"/>
      <c r="S26" s="724" t="s">
        <v>428</v>
      </c>
      <c r="T26" s="725"/>
      <c r="U26" s="725"/>
      <c r="V26" s="604"/>
      <c r="W26" s="724" t="s">
        <v>428</v>
      </c>
      <c r="X26" s="725"/>
      <c r="Y26" s="725"/>
      <c r="Z26" s="604"/>
      <c r="AA26" s="724" t="s">
        <v>428</v>
      </c>
      <c r="AB26" s="725"/>
      <c r="AC26" s="725"/>
      <c r="AD26" s="604"/>
      <c r="AE26" s="724" t="s">
        <v>428</v>
      </c>
      <c r="AF26" s="725"/>
      <c r="AG26" s="725"/>
      <c r="AH26" s="604"/>
      <c r="AI26" s="724" t="s">
        <v>428</v>
      </c>
      <c r="AJ26" s="725"/>
      <c r="AK26" s="725"/>
      <c r="AL26" s="604"/>
      <c r="AM26" s="724" t="s">
        <v>428</v>
      </c>
      <c r="AN26" s="725"/>
      <c r="AO26" s="725"/>
      <c r="AP26" s="604"/>
      <c r="AQ26" s="724" t="s">
        <v>428</v>
      </c>
      <c r="AR26" s="725"/>
      <c r="AS26" s="725"/>
      <c r="AT26" s="604"/>
      <c r="AU26" s="651" t="s">
        <v>428</v>
      </c>
      <c r="AV26" s="642"/>
      <c r="AW26" s="642"/>
      <c r="AX26" s="644"/>
      <c r="AY26" s="651" t="s">
        <v>428</v>
      </c>
      <c r="AZ26" s="642"/>
      <c r="BA26" s="642"/>
      <c r="BB26" s="644"/>
      <c r="BC26" s="651" t="s">
        <v>428</v>
      </c>
      <c r="BD26" s="642"/>
      <c r="BE26" s="642"/>
      <c r="BF26" s="644"/>
      <c r="BG26" s="651" t="s">
        <v>429</v>
      </c>
      <c r="BH26" s="642"/>
      <c r="BI26" s="642"/>
      <c r="BJ26" s="644"/>
      <c r="BK26" s="651" t="s">
        <v>429</v>
      </c>
      <c r="BL26" s="642"/>
      <c r="BM26" s="642"/>
      <c r="BN26" s="644"/>
      <c r="BO26" s="651" t="s">
        <v>428</v>
      </c>
      <c r="BP26" s="642"/>
      <c r="BQ26" s="642"/>
      <c r="BR26" s="644"/>
      <c r="BS26" s="724" t="s">
        <v>428</v>
      </c>
      <c r="BT26" s="725"/>
      <c r="BU26" s="725"/>
      <c r="BV26" s="604"/>
      <c r="BW26" s="724" t="s">
        <v>428</v>
      </c>
      <c r="BX26" s="725"/>
      <c r="BY26" s="725"/>
      <c r="BZ26" s="604"/>
      <c r="CA26" s="724" t="s">
        <v>428</v>
      </c>
      <c r="CB26" s="725"/>
      <c r="CC26" s="725"/>
      <c r="CD26" s="604"/>
      <c r="CE26" s="724" t="s">
        <v>428</v>
      </c>
      <c r="CF26" s="725"/>
      <c r="CG26" s="725"/>
      <c r="CH26" s="604"/>
      <c r="CI26" s="724" t="s">
        <v>428</v>
      </c>
      <c r="CJ26" s="725"/>
      <c r="CK26" s="725"/>
      <c r="CL26" s="604"/>
      <c r="CM26" s="921" t="s">
        <v>428</v>
      </c>
      <c r="CN26" s="919"/>
      <c r="CO26" s="919"/>
      <c r="CP26" s="604"/>
      <c r="CQ26" s="921" t="s">
        <v>428</v>
      </c>
      <c r="CR26" s="919"/>
      <c r="CS26" s="919"/>
      <c r="CT26" s="604"/>
      <c r="CU26" s="921" t="s">
        <v>428</v>
      </c>
      <c r="CV26" s="919"/>
      <c r="CW26" s="919"/>
      <c r="CX26" s="604"/>
      <c r="CY26" s="933" t="s">
        <v>428</v>
      </c>
      <c r="CZ26" s="932"/>
      <c r="DA26" s="932"/>
      <c r="DB26" s="604"/>
      <c r="DC26" s="933" t="s">
        <v>428</v>
      </c>
      <c r="DD26" s="932"/>
      <c r="DE26" s="932"/>
      <c r="DF26" s="604"/>
      <c r="DG26" s="933" t="s">
        <v>428</v>
      </c>
      <c r="DH26" s="932"/>
      <c r="DI26" s="932"/>
      <c r="DJ26" s="604"/>
      <c r="DK26" s="933" t="s">
        <v>428</v>
      </c>
      <c r="DL26" s="932"/>
      <c r="DM26" s="932"/>
      <c r="DN26" s="604"/>
      <c r="DO26" s="954" t="s">
        <v>428</v>
      </c>
      <c r="DP26" s="953"/>
      <c r="DQ26" s="953"/>
      <c r="DR26" s="604"/>
      <c r="DS26" s="954" t="s">
        <v>428</v>
      </c>
      <c r="DT26" s="953"/>
      <c r="DU26" s="953"/>
      <c r="DV26" s="604"/>
      <c r="DW26" s="954" t="s">
        <v>428</v>
      </c>
      <c r="DX26" s="953"/>
      <c r="DY26" s="953"/>
      <c r="DZ26" s="604"/>
      <c r="EA26" s="954" t="s">
        <v>428</v>
      </c>
      <c r="EB26" s="953"/>
      <c r="EC26" s="953"/>
      <c r="ED26" s="604"/>
      <c r="EE26" s="1409" t="s">
        <v>428</v>
      </c>
      <c r="EF26" s="1408"/>
      <c r="EG26" s="1408"/>
      <c r="EH26" s="604"/>
      <c r="EI26" s="1409" t="s">
        <v>428</v>
      </c>
      <c r="EJ26" s="1408"/>
      <c r="EK26" s="1408"/>
      <c r="EL26" s="604"/>
      <c r="EM26" s="1409" t="s">
        <v>428</v>
      </c>
      <c r="EN26" s="1408"/>
      <c r="EO26" s="1408"/>
      <c r="EP26" s="604"/>
      <c r="EQ26" s="648"/>
      <c r="EV26" s="724" t="s">
        <v>428</v>
      </c>
      <c r="EW26" s="725"/>
      <c r="EX26" s="725"/>
      <c r="EY26" s="604"/>
      <c r="EZ26" s="724" t="s">
        <v>428</v>
      </c>
      <c r="FA26" s="725"/>
      <c r="FB26" s="725"/>
      <c r="FC26" s="604"/>
      <c r="FD26" s="724" t="s">
        <v>428</v>
      </c>
      <c r="FE26" s="725"/>
      <c r="FF26" s="725"/>
      <c r="FG26" s="604"/>
      <c r="FH26" s="724" t="s">
        <v>428</v>
      </c>
      <c r="FI26" s="725"/>
      <c r="FJ26" s="725"/>
      <c r="FK26" s="604"/>
      <c r="FL26" s="724" t="s">
        <v>428</v>
      </c>
      <c r="FM26" s="725"/>
      <c r="FN26" s="725"/>
      <c r="FO26" s="604"/>
      <c r="FP26" s="724" t="s">
        <v>428</v>
      </c>
      <c r="FQ26" s="725"/>
      <c r="FR26" s="725"/>
      <c r="FS26" s="604"/>
      <c r="FT26" s="897" t="s">
        <v>428</v>
      </c>
      <c r="FU26" s="895"/>
      <c r="FV26" s="895"/>
      <c r="FW26" s="604"/>
      <c r="FX26" s="897" t="s">
        <v>428</v>
      </c>
      <c r="FY26" s="895"/>
      <c r="FZ26" s="895"/>
      <c r="GA26" s="604"/>
      <c r="GB26" s="897" t="s">
        <v>428</v>
      </c>
      <c r="GC26" s="895"/>
      <c r="GD26" s="895"/>
      <c r="GE26" s="604"/>
      <c r="GF26" s="897" t="s">
        <v>428</v>
      </c>
      <c r="GG26" s="895"/>
      <c r="GH26" s="895"/>
      <c r="GI26" s="604"/>
      <c r="GJ26" s="916" t="s">
        <v>428</v>
      </c>
      <c r="GK26" s="914"/>
      <c r="GL26" s="914"/>
      <c r="GM26" s="604"/>
      <c r="GN26" s="930" t="s">
        <v>428</v>
      </c>
      <c r="GO26" s="928"/>
      <c r="GP26" s="928"/>
      <c r="GQ26" s="604"/>
      <c r="GR26" s="949" t="s">
        <v>428</v>
      </c>
      <c r="GS26" s="947"/>
      <c r="GT26" s="947"/>
      <c r="GU26" s="604"/>
      <c r="GV26" s="651" t="s">
        <v>428</v>
      </c>
      <c r="GW26" s="1346"/>
      <c r="GX26" s="1346"/>
      <c r="GY26" s="1364"/>
      <c r="GZ26" s="651" t="s">
        <v>428</v>
      </c>
      <c r="HA26" s="1346"/>
      <c r="HB26" s="1346"/>
      <c r="HC26" s="1364"/>
      <c r="HD26" s="651" t="s">
        <v>428</v>
      </c>
      <c r="HE26" s="1413"/>
      <c r="HF26" s="1413"/>
      <c r="HG26" s="1364"/>
      <c r="HI26" s="724" t="s">
        <v>428</v>
      </c>
      <c r="HJ26" s="725"/>
      <c r="HK26" s="725"/>
      <c r="HL26" s="604"/>
      <c r="HM26" s="724" t="s">
        <v>428</v>
      </c>
      <c r="HN26" s="725"/>
      <c r="HO26" s="725"/>
      <c r="HP26" s="604"/>
      <c r="HQ26" s="930" t="s">
        <v>428</v>
      </c>
      <c r="HR26" s="928"/>
      <c r="HS26" s="928"/>
      <c r="HT26" s="604"/>
    </row>
    <row r="27" spans="1:228">
      <c r="A27" s="649" t="s">
        <v>63</v>
      </c>
      <c r="B27" s="642"/>
      <c r="C27" s="643">
        <v>100</v>
      </c>
      <c r="D27" s="642"/>
      <c r="E27" s="642"/>
      <c r="F27" s="650"/>
      <c r="G27" s="643">
        <v>100</v>
      </c>
      <c r="H27" s="642"/>
      <c r="I27" s="642"/>
      <c r="J27" s="650"/>
      <c r="K27" s="643">
        <v>100</v>
      </c>
      <c r="L27" s="642"/>
      <c r="M27" s="642"/>
      <c r="N27" s="650"/>
      <c r="O27" s="643">
        <v>100</v>
      </c>
      <c r="P27" s="642"/>
      <c r="Q27" s="642"/>
      <c r="R27" s="650"/>
      <c r="S27" s="724">
        <v>100</v>
      </c>
      <c r="T27" s="725"/>
      <c r="U27" s="725"/>
      <c r="V27" s="604"/>
      <c r="W27" s="724">
        <v>100</v>
      </c>
      <c r="X27" s="725"/>
      <c r="Y27" s="725"/>
      <c r="Z27" s="604"/>
      <c r="AA27" s="724">
        <v>100</v>
      </c>
      <c r="AB27" s="725"/>
      <c r="AC27" s="725"/>
      <c r="AD27" s="604"/>
      <c r="AE27" s="724">
        <v>100</v>
      </c>
      <c r="AF27" s="725"/>
      <c r="AG27" s="725"/>
      <c r="AH27" s="604"/>
      <c r="AI27" s="724">
        <v>100</v>
      </c>
      <c r="AJ27" s="725"/>
      <c r="AK27" s="725"/>
      <c r="AL27" s="604"/>
      <c r="AM27" s="724">
        <v>100</v>
      </c>
      <c r="AN27" s="725"/>
      <c r="AO27" s="725"/>
      <c r="AP27" s="604"/>
      <c r="AQ27" s="724">
        <v>100</v>
      </c>
      <c r="AR27" s="725"/>
      <c r="AS27" s="725"/>
      <c r="AT27" s="604"/>
      <c r="AU27" s="651">
        <v>150</v>
      </c>
      <c r="AV27" s="642"/>
      <c r="AW27" s="642"/>
      <c r="AX27" s="644"/>
      <c r="AY27" s="651">
        <v>100</v>
      </c>
      <c r="AZ27" s="642"/>
      <c r="BA27" s="642"/>
      <c r="BB27" s="644"/>
      <c r="BC27" s="651">
        <v>50</v>
      </c>
      <c r="BD27" s="642"/>
      <c r="BE27" s="642"/>
      <c r="BF27" s="644"/>
      <c r="BG27" s="651">
        <v>100</v>
      </c>
      <c r="BH27" s="642"/>
      <c r="BI27" s="642"/>
      <c r="BJ27" s="644"/>
      <c r="BK27" s="651">
        <v>150</v>
      </c>
      <c r="BL27" s="642"/>
      <c r="BM27" s="642"/>
      <c r="BN27" s="644"/>
      <c r="BO27" s="651">
        <v>50</v>
      </c>
      <c r="BP27" s="642"/>
      <c r="BQ27" s="642"/>
      <c r="BR27" s="644"/>
      <c r="BS27" s="724">
        <v>100</v>
      </c>
      <c r="BT27" s="725"/>
      <c r="BU27" s="725"/>
      <c r="BV27" s="604"/>
      <c r="BW27" s="724">
        <v>0</v>
      </c>
      <c r="BX27" s="725"/>
      <c r="BY27" s="725"/>
      <c r="BZ27" s="604"/>
      <c r="CA27" s="724">
        <v>100</v>
      </c>
      <c r="CB27" s="725"/>
      <c r="CC27" s="725"/>
      <c r="CD27" s="604"/>
      <c r="CE27" s="724">
        <v>100</v>
      </c>
      <c r="CF27" s="725"/>
      <c r="CG27" s="725"/>
      <c r="CH27" s="604"/>
      <c r="CI27" s="724">
        <v>0</v>
      </c>
      <c r="CJ27" s="725"/>
      <c r="CK27" s="725"/>
      <c r="CL27" s="604"/>
      <c r="CM27" s="921">
        <v>0</v>
      </c>
      <c r="CN27" s="919"/>
      <c r="CO27" s="919"/>
      <c r="CP27" s="604"/>
      <c r="CQ27" s="921">
        <v>0</v>
      </c>
      <c r="CR27" s="919"/>
      <c r="CS27" s="919"/>
      <c r="CT27" s="604"/>
      <c r="CU27" s="921">
        <v>0</v>
      </c>
      <c r="CV27" s="919"/>
      <c r="CW27" s="919"/>
      <c r="CX27" s="604"/>
      <c r="CY27" s="933">
        <v>0</v>
      </c>
      <c r="CZ27" s="932"/>
      <c r="DA27" s="932"/>
      <c r="DB27" s="604"/>
      <c r="DC27" s="933">
        <v>0</v>
      </c>
      <c r="DD27" s="932"/>
      <c r="DE27" s="932"/>
      <c r="DF27" s="604"/>
      <c r="DG27" s="933">
        <v>0</v>
      </c>
      <c r="DH27" s="932"/>
      <c r="DI27" s="932"/>
      <c r="DJ27" s="604"/>
      <c r="DK27" s="933">
        <v>0</v>
      </c>
      <c r="DL27" s="937"/>
      <c r="DM27" s="932"/>
      <c r="DN27" s="604"/>
      <c r="DO27" s="954"/>
      <c r="DP27" s="953"/>
      <c r="DQ27" s="953"/>
      <c r="DR27" s="604"/>
      <c r="DS27" s="954"/>
      <c r="DT27" s="953"/>
      <c r="DU27" s="953"/>
      <c r="DV27" s="604"/>
      <c r="DW27" s="954"/>
      <c r="DX27" s="953"/>
      <c r="DY27" s="953"/>
      <c r="DZ27" s="604"/>
      <c r="EA27" s="954"/>
      <c r="EB27" s="953"/>
      <c r="EC27" s="953"/>
      <c r="ED27" s="604"/>
      <c r="EE27" s="1409"/>
      <c r="EF27" s="1408"/>
      <c r="EG27" s="1408"/>
      <c r="EH27" s="604"/>
      <c r="EI27" s="1409"/>
      <c r="EJ27" s="1408"/>
      <c r="EK27" s="1408"/>
      <c r="EL27" s="604"/>
      <c r="EM27" s="1409"/>
      <c r="EN27" s="1408"/>
      <c r="EO27" s="1408"/>
      <c r="EP27" s="604"/>
      <c r="EQ27" s="648"/>
      <c r="EV27" s="724"/>
      <c r="EW27" s="725"/>
      <c r="EX27" s="725"/>
      <c r="EY27" s="604"/>
      <c r="EZ27" s="724"/>
      <c r="FA27" s="725"/>
      <c r="FB27" s="725"/>
      <c r="FC27" s="604"/>
      <c r="FD27" s="724"/>
      <c r="FE27" s="725"/>
      <c r="FF27" s="725"/>
      <c r="FG27" s="604"/>
      <c r="FH27" s="724"/>
      <c r="FI27" s="725"/>
      <c r="FJ27" s="725"/>
      <c r="FK27" s="604"/>
      <c r="FL27" s="724"/>
      <c r="FM27" s="725"/>
      <c r="FN27" s="725"/>
      <c r="FO27" s="604"/>
      <c r="FP27" s="724"/>
      <c r="FQ27" s="725"/>
      <c r="FR27" s="725"/>
      <c r="FS27" s="604"/>
      <c r="FT27" s="897"/>
      <c r="FU27" s="895"/>
      <c r="FV27" s="895"/>
      <c r="FW27" s="604"/>
      <c r="FX27" s="897"/>
      <c r="FY27" s="895"/>
      <c r="FZ27" s="895"/>
      <c r="GA27" s="604"/>
      <c r="GB27" s="897"/>
      <c r="GC27" s="895"/>
      <c r="GD27" s="895"/>
      <c r="GE27" s="604"/>
      <c r="GF27" s="897"/>
      <c r="GG27" s="895"/>
      <c r="GH27" s="895"/>
      <c r="GI27" s="604"/>
      <c r="GJ27" s="916"/>
      <c r="GK27" s="914"/>
      <c r="GL27" s="914"/>
      <c r="GM27" s="604"/>
      <c r="GN27" s="930"/>
      <c r="GO27" s="928"/>
      <c r="GP27" s="928"/>
      <c r="GQ27" s="604"/>
      <c r="GR27" s="949"/>
      <c r="GS27" s="947"/>
      <c r="GT27" s="947"/>
      <c r="GU27" s="604"/>
      <c r="GV27" s="651"/>
      <c r="GW27" s="1346"/>
      <c r="GX27" s="1346"/>
      <c r="GY27" s="1364"/>
      <c r="GZ27" s="651"/>
      <c r="HA27" s="1346"/>
      <c r="HB27" s="1346"/>
      <c r="HC27" s="1364"/>
      <c r="HD27" s="651"/>
      <c r="HE27" s="1413"/>
      <c r="HF27" s="1413"/>
      <c r="HG27" s="1364"/>
      <c r="HI27" s="724"/>
      <c r="HJ27" s="725"/>
      <c r="HK27" s="725"/>
      <c r="HL27" s="604"/>
      <c r="HM27" s="724"/>
      <c r="HN27" s="725"/>
      <c r="HO27" s="725"/>
      <c r="HP27" s="604"/>
      <c r="HQ27" s="930"/>
      <c r="HR27" s="928"/>
      <c r="HS27" s="928"/>
      <c r="HT27" s="604"/>
    </row>
    <row r="28" spans="1:228" ht="13">
      <c r="A28" s="649" t="s">
        <v>445</v>
      </c>
      <c r="B28" s="642"/>
      <c r="C28" s="697">
        <f>+L11</f>
        <v>0.11507451597067067</v>
      </c>
      <c r="D28" s="652"/>
      <c r="E28" s="652"/>
      <c r="F28" s="653"/>
      <c r="G28" s="649">
        <f>+C28</f>
        <v>0.11507451597067067</v>
      </c>
      <c r="H28" s="652"/>
      <c r="I28" s="652"/>
      <c r="J28" s="653"/>
      <c r="K28" s="649">
        <f>+G28</f>
        <v>0.11507451597067067</v>
      </c>
      <c r="L28" s="652"/>
      <c r="M28" s="652"/>
      <c r="N28" s="653"/>
      <c r="O28" s="649">
        <f>+K28</f>
        <v>0.11507451597067067</v>
      </c>
      <c r="P28" s="652"/>
      <c r="Q28" s="652"/>
      <c r="R28" s="653"/>
      <c r="S28" s="649">
        <f>+O28</f>
        <v>0.11507451597067067</v>
      </c>
      <c r="T28" s="565"/>
      <c r="U28" s="565"/>
      <c r="V28" s="590"/>
      <c r="W28" s="601">
        <f>+S28</f>
        <v>0.11507451597067067</v>
      </c>
      <c r="X28" s="565"/>
      <c r="Y28" s="565"/>
      <c r="Z28" s="590"/>
      <c r="AA28" s="601">
        <f>+W28</f>
        <v>0.11507451597067067</v>
      </c>
      <c r="AB28" s="565"/>
      <c r="AC28" s="565"/>
      <c r="AD28" s="590"/>
      <c r="AE28" s="601">
        <f>+AA28</f>
        <v>0.11507451597067067</v>
      </c>
      <c r="AF28" s="565"/>
      <c r="AG28" s="565"/>
      <c r="AH28" s="590"/>
      <c r="AI28" s="601">
        <f>+AE28</f>
        <v>0.11507451597067067</v>
      </c>
      <c r="AJ28" s="565"/>
      <c r="AK28" s="565"/>
      <c r="AL28" s="590"/>
      <c r="AM28" s="601">
        <f>+AI28</f>
        <v>0.11507451597067067</v>
      </c>
      <c r="AN28" s="565"/>
      <c r="AO28" s="565"/>
      <c r="AP28" s="590"/>
      <c r="AQ28" s="601">
        <f>+AM28</f>
        <v>0.11507451597067067</v>
      </c>
      <c r="AR28" s="565"/>
      <c r="AS28" s="565"/>
      <c r="AT28" s="590"/>
      <c r="AU28" s="649">
        <f>+$I11</f>
        <v>0</v>
      </c>
      <c r="AV28" s="652"/>
      <c r="AW28" s="652"/>
      <c r="AX28" s="648"/>
      <c r="AY28" s="649">
        <f>+$I11</f>
        <v>0</v>
      </c>
      <c r="AZ28" s="652"/>
      <c r="BA28" s="652"/>
      <c r="BB28" s="648"/>
      <c r="BC28" s="649">
        <f>+$I11</f>
        <v>0</v>
      </c>
      <c r="BD28" s="652"/>
      <c r="BE28" s="652"/>
      <c r="BF28" s="648"/>
      <c r="BG28" s="651">
        <f>$I17</f>
        <v>0</v>
      </c>
      <c r="BH28" s="642"/>
      <c r="BI28" s="642"/>
      <c r="BJ28" s="644"/>
      <c r="BK28" s="651">
        <f>$I17</f>
        <v>0</v>
      </c>
      <c r="BL28" s="642"/>
      <c r="BM28" s="642"/>
      <c r="BN28" s="644"/>
      <c r="BO28" s="649">
        <f>+$I11</f>
        <v>0</v>
      </c>
      <c r="BP28" s="652"/>
      <c r="BQ28" s="652"/>
      <c r="BR28" s="648"/>
      <c r="BS28" s="601">
        <f>+AQ28</f>
        <v>0.11507451597067067</v>
      </c>
      <c r="BT28" s="565"/>
      <c r="BU28" s="565"/>
      <c r="BV28" s="590"/>
      <c r="BW28" s="654">
        <f>+BS28</f>
        <v>0.11507451597067067</v>
      </c>
      <c r="BX28" s="565"/>
      <c r="BY28" s="565"/>
      <c r="BZ28" s="590"/>
      <c r="CA28" s="654">
        <f>+BW28</f>
        <v>0.11507451597067067</v>
      </c>
      <c r="CB28" s="565"/>
      <c r="CC28" s="565"/>
      <c r="CD28" s="590"/>
      <c r="CE28" s="654">
        <f>+CA28</f>
        <v>0.11507451597067067</v>
      </c>
      <c r="CF28" s="565"/>
      <c r="CG28" s="565"/>
      <c r="CH28" s="590"/>
      <c r="CI28" s="654">
        <f>++CE28</f>
        <v>0.11507451597067067</v>
      </c>
      <c r="CJ28" s="565"/>
      <c r="CK28" s="565"/>
      <c r="CL28" s="590"/>
      <c r="CM28" s="654">
        <f>++CI28</f>
        <v>0.11507451597067067</v>
      </c>
      <c r="CN28" s="565"/>
      <c r="CO28" s="565"/>
      <c r="CP28" s="590"/>
      <c r="CQ28" s="654">
        <f>++CM28</f>
        <v>0.11507451597067067</v>
      </c>
      <c r="CR28" s="565"/>
      <c r="CS28" s="565"/>
      <c r="CT28" s="590"/>
      <c r="CU28" s="654">
        <f>++CQ28</f>
        <v>0.11507451597067067</v>
      </c>
      <c r="CV28" s="565"/>
      <c r="CW28" s="565"/>
      <c r="CX28" s="590"/>
      <c r="CY28" s="654">
        <f>++CU28</f>
        <v>0.11507451597067067</v>
      </c>
      <c r="CZ28" s="565"/>
      <c r="DA28" s="565"/>
      <c r="DB28" s="590"/>
      <c r="DC28" s="654">
        <f>++CY28</f>
        <v>0.11507451597067067</v>
      </c>
      <c r="DD28" s="565"/>
      <c r="DE28" s="565"/>
      <c r="DF28" s="590"/>
      <c r="DG28" s="654">
        <f>++DC28</f>
        <v>0.11507451597067067</v>
      </c>
      <c r="DH28" s="565"/>
      <c r="DI28" s="565"/>
      <c r="DJ28" s="590"/>
      <c r="DK28" s="654">
        <f>++DG28</f>
        <v>0.11507451597067067</v>
      </c>
      <c r="DL28" s="565"/>
      <c r="DM28" s="565"/>
      <c r="DN28" s="590"/>
      <c r="DO28" s="654">
        <f>+DK28</f>
        <v>0.11507451597067067</v>
      </c>
      <c r="DP28" s="565"/>
      <c r="DQ28" s="565"/>
      <c r="DR28" s="590"/>
      <c r="DS28" s="654">
        <f>+DO28</f>
        <v>0.11507451597067067</v>
      </c>
      <c r="DT28" s="565"/>
      <c r="DU28" s="565"/>
      <c r="DV28" s="590"/>
      <c r="DW28" s="654">
        <f>+DS28</f>
        <v>0.11507451597067067</v>
      </c>
      <c r="DX28" s="565"/>
      <c r="DY28" s="565"/>
      <c r="DZ28" s="590"/>
      <c r="EA28" s="654">
        <f>+DW28</f>
        <v>0.11507451597067067</v>
      </c>
      <c r="EB28" s="565"/>
      <c r="EC28" s="565"/>
      <c r="ED28" s="590"/>
      <c r="EE28" s="654">
        <f>+EA28</f>
        <v>0.11507451597067067</v>
      </c>
      <c r="EF28" s="565"/>
      <c r="EG28" s="565"/>
      <c r="EH28" s="590"/>
      <c r="EI28" s="654">
        <f>+EE28</f>
        <v>0.11507451597067067</v>
      </c>
      <c r="EJ28" s="565"/>
      <c r="EK28" s="565"/>
      <c r="EL28" s="590"/>
      <c r="EM28" s="654">
        <f>+EI28</f>
        <v>0.11507451597067067</v>
      </c>
      <c r="EN28" s="565"/>
      <c r="EO28" s="565"/>
      <c r="EP28" s="590"/>
      <c r="EQ28" s="648"/>
      <c r="EV28" s="936">
        <v>0.14132374737385603</v>
      </c>
      <c r="EW28" s="565"/>
      <c r="EX28" s="565"/>
      <c r="EY28" s="590"/>
      <c r="EZ28" s="654">
        <f>+EV28</f>
        <v>0.14132374737385603</v>
      </c>
      <c r="FA28" s="565"/>
      <c r="FB28" s="565"/>
      <c r="FC28" s="590"/>
      <c r="FD28" s="654">
        <f>+EV28</f>
        <v>0.14132374737385603</v>
      </c>
      <c r="FE28" s="565"/>
      <c r="FF28" s="565"/>
      <c r="FG28" s="590"/>
      <c r="FH28" s="654">
        <f>+FD28</f>
        <v>0.14132374737385603</v>
      </c>
      <c r="FI28" s="565"/>
      <c r="FJ28" s="565"/>
      <c r="FK28" s="590"/>
      <c r="FL28" s="654">
        <f>+EV28</f>
        <v>0.14132374737385603</v>
      </c>
      <c r="FM28" s="565"/>
      <c r="FN28" s="565"/>
      <c r="FO28" s="590"/>
      <c r="FP28" s="654">
        <f>+EV28</f>
        <v>0.14132374737385603</v>
      </c>
      <c r="FQ28" s="565"/>
      <c r="FR28" s="565"/>
      <c r="FS28" s="590"/>
      <c r="FT28" s="654">
        <f>+FP28</f>
        <v>0.14132374737385603</v>
      </c>
      <c r="FU28" s="565"/>
      <c r="FV28" s="565"/>
      <c r="FW28" s="590"/>
      <c r="FX28" s="654">
        <f>+FT28</f>
        <v>0.14132374737385603</v>
      </c>
      <c r="FY28" s="565"/>
      <c r="FZ28" s="565"/>
      <c r="GA28" s="590"/>
      <c r="GB28" s="654">
        <f>+FX28</f>
        <v>0.14132374737385603</v>
      </c>
      <c r="GC28" s="565"/>
      <c r="GD28" s="565"/>
      <c r="GE28" s="590"/>
      <c r="GF28" s="654">
        <f>+GB28</f>
        <v>0.14132374737385603</v>
      </c>
      <c r="GG28" s="565"/>
      <c r="GH28" s="565"/>
      <c r="GI28" s="590"/>
      <c r="GJ28" s="654">
        <f>+GF28</f>
        <v>0.14132374737385603</v>
      </c>
      <c r="GK28" s="565"/>
      <c r="GL28" s="565"/>
      <c r="GM28" s="590"/>
      <c r="GN28" s="654">
        <f>+GJ28</f>
        <v>0.14132374737385603</v>
      </c>
      <c r="GO28" s="565"/>
      <c r="GP28" s="565"/>
      <c r="GQ28" s="590"/>
      <c r="GR28" s="654">
        <f>+GN28</f>
        <v>0.14132374737385603</v>
      </c>
      <c r="GS28" s="565"/>
      <c r="GT28" s="565"/>
      <c r="GU28" s="590"/>
      <c r="GV28" s="1365">
        <f>+GR28</f>
        <v>0.14132374737385603</v>
      </c>
      <c r="GY28" s="1366"/>
      <c r="GZ28" s="1365">
        <f>+GV28</f>
        <v>0.14132374737385603</v>
      </c>
      <c r="HC28" s="1366"/>
      <c r="HD28" s="1365">
        <f>+GZ28</f>
        <v>0.14132374737385603</v>
      </c>
      <c r="HG28" s="1366"/>
      <c r="HI28" s="724">
        <f>+$I12</f>
        <v>0</v>
      </c>
      <c r="HJ28" s="412" t="s">
        <v>738</v>
      </c>
      <c r="HK28" s="565"/>
      <c r="HL28" s="590"/>
      <c r="HM28" s="724">
        <f>+'5 - Cost Support'!G199</f>
        <v>8.3338711803175078E-2</v>
      </c>
      <c r="HN28" s="412" t="s">
        <v>738</v>
      </c>
      <c r="HO28" s="565"/>
      <c r="HP28" s="590"/>
      <c r="HQ28" s="930">
        <f>+'5 - Cost Support'!K199</f>
        <v>0</v>
      </c>
      <c r="HR28" s="412" t="s">
        <v>738</v>
      </c>
      <c r="HS28" s="565"/>
      <c r="HT28" s="590"/>
    </row>
    <row r="29" spans="1:228" ht="13">
      <c r="A29" s="649" t="s">
        <v>433</v>
      </c>
      <c r="B29" s="642"/>
      <c r="C29" s="655">
        <f>+L12</f>
        <v>0.12117762140727878</v>
      </c>
      <c r="D29" s="656"/>
      <c r="E29" s="652"/>
      <c r="F29" s="653"/>
      <c r="G29" s="655">
        <f>+C29</f>
        <v>0.12117762140727878</v>
      </c>
      <c r="H29" s="652"/>
      <c r="I29" s="652"/>
      <c r="J29" s="653"/>
      <c r="K29" s="649">
        <f>+G29</f>
        <v>0.12117762140727878</v>
      </c>
      <c r="L29" s="652"/>
      <c r="M29" s="652"/>
      <c r="N29" s="653"/>
      <c r="O29" s="649">
        <f>+K29</f>
        <v>0.12117762140727878</v>
      </c>
      <c r="P29" s="652"/>
      <c r="Q29" s="652"/>
      <c r="R29" s="653"/>
      <c r="S29" s="655">
        <f>+O29</f>
        <v>0.12117762140727878</v>
      </c>
      <c r="T29" s="565"/>
      <c r="U29" s="565"/>
      <c r="V29" s="590"/>
      <c r="W29" s="693">
        <f>+S29</f>
        <v>0.12117762140727878</v>
      </c>
      <c r="X29" s="565"/>
      <c r="Y29" s="565"/>
      <c r="Z29" s="590"/>
      <c r="AA29" s="693">
        <f>+W29</f>
        <v>0.12117762140727878</v>
      </c>
      <c r="AB29" s="565"/>
      <c r="AC29" s="565"/>
      <c r="AD29" s="590"/>
      <c r="AE29" s="693">
        <f>+AA29</f>
        <v>0.12117762140727878</v>
      </c>
      <c r="AF29" s="565"/>
      <c r="AG29" s="565"/>
      <c r="AH29" s="590"/>
      <c r="AI29" s="693">
        <f>+AE29</f>
        <v>0.12117762140727878</v>
      </c>
      <c r="AJ29" s="565"/>
      <c r="AK29" s="565"/>
      <c r="AL29" s="590"/>
      <c r="AM29" s="693">
        <f>+AI29</f>
        <v>0.12117762140727878</v>
      </c>
      <c r="AN29" s="565"/>
      <c r="AO29" s="565"/>
      <c r="AP29" s="590"/>
      <c r="AQ29" s="693">
        <f>+AM29</f>
        <v>0.12117762140727878</v>
      </c>
      <c r="AR29" s="565"/>
      <c r="AS29" s="565"/>
      <c r="AT29" s="590"/>
      <c r="AU29" s="649">
        <f>($I11+$I13/100*AU27)</f>
        <v>0</v>
      </c>
      <c r="AV29" s="652"/>
      <c r="AW29" s="652"/>
      <c r="AX29" s="648"/>
      <c r="AY29" s="649">
        <f>($I11+$I13/100*AY27)</f>
        <v>0</v>
      </c>
      <c r="AZ29" s="652"/>
      <c r="BA29" s="652"/>
      <c r="BB29" s="648"/>
      <c r="BC29" s="649">
        <f>($I11+$I13/100*BC27)</f>
        <v>0</v>
      </c>
      <c r="BD29" s="652"/>
      <c r="BE29" s="652"/>
      <c r="BF29" s="648"/>
      <c r="BG29" s="649">
        <f>+I17</f>
        <v>0</v>
      </c>
      <c r="BH29" s="652"/>
      <c r="BI29" s="652"/>
      <c r="BJ29" s="648"/>
      <c r="BK29" s="649">
        <f>+I17</f>
        <v>0</v>
      </c>
      <c r="BL29" s="652"/>
      <c r="BM29" s="652"/>
      <c r="BN29" s="648"/>
      <c r="BO29" s="649">
        <f>($I11+$I13/100*BO27)</f>
        <v>0</v>
      </c>
      <c r="BP29" s="652"/>
      <c r="BQ29" s="652"/>
      <c r="BR29" s="648"/>
      <c r="BS29" s="693">
        <f>+AQ29</f>
        <v>0.12117762140727878</v>
      </c>
      <c r="BT29" s="565"/>
      <c r="BU29" s="565"/>
      <c r="BV29" s="590"/>
      <c r="BW29" s="694">
        <f>+BW28</f>
        <v>0.11507451597067067</v>
      </c>
      <c r="BX29" s="565"/>
      <c r="BY29" s="565"/>
      <c r="BZ29" s="590"/>
      <c r="CA29" s="694">
        <f>+BS29</f>
        <v>0.12117762140727878</v>
      </c>
      <c r="CB29" s="565"/>
      <c r="CC29" s="565"/>
      <c r="CD29" s="590"/>
      <c r="CE29" s="694">
        <f>+BS29</f>
        <v>0.12117762140727878</v>
      </c>
      <c r="CF29" s="565"/>
      <c r="CG29" s="565"/>
      <c r="CH29" s="590"/>
      <c r="CI29" s="694">
        <f>+CI28</f>
        <v>0.11507451597067067</v>
      </c>
      <c r="CJ29" s="565"/>
      <c r="CK29" s="565"/>
      <c r="CL29" s="590"/>
      <c r="CM29" s="694">
        <f>+CM28</f>
        <v>0.11507451597067067</v>
      </c>
      <c r="CN29" s="565"/>
      <c r="CO29" s="565"/>
      <c r="CP29" s="590"/>
      <c r="CQ29" s="694">
        <f>+CQ28</f>
        <v>0.11507451597067067</v>
      </c>
      <c r="CR29" s="565"/>
      <c r="CS29" s="565"/>
      <c r="CT29" s="590"/>
      <c r="CU29" s="694">
        <f>+CU28</f>
        <v>0.11507451597067067</v>
      </c>
      <c r="CV29" s="565"/>
      <c r="CW29" s="565"/>
      <c r="CX29" s="590"/>
      <c r="CY29" s="694">
        <f>+CY28</f>
        <v>0.11507451597067067</v>
      </c>
      <c r="CZ29" s="565"/>
      <c r="DA29" s="565"/>
      <c r="DB29" s="590"/>
      <c r="DC29" s="694">
        <f>+DC28</f>
        <v>0.11507451597067067</v>
      </c>
      <c r="DD29" s="565"/>
      <c r="DE29" s="565"/>
      <c r="DF29" s="590"/>
      <c r="DG29" s="694">
        <f>+DG28</f>
        <v>0.11507451597067067</v>
      </c>
      <c r="DH29" s="565"/>
      <c r="DI29" s="565"/>
      <c r="DJ29" s="590"/>
      <c r="DK29" s="694">
        <f>+DK28</f>
        <v>0.11507451597067067</v>
      </c>
      <c r="DL29" s="565"/>
      <c r="DM29" s="565"/>
      <c r="DN29" s="590"/>
      <c r="DO29" s="654">
        <f>+DO28</f>
        <v>0.11507451597067067</v>
      </c>
      <c r="DP29" s="565"/>
      <c r="DQ29" s="565"/>
      <c r="DR29" s="590"/>
      <c r="DS29" s="654">
        <f>+DS28</f>
        <v>0.11507451597067067</v>
      </c>
      <c r="DT29" s="565"/>
      <c r="DU29" s="565"/>
      <c r="DV29" s="590"/>
      <c r="DW29" s="654">
        <f>+DW28</f>
        <v>0.11507451597067067</v>
      </c>
      <c r="DX29" s="565"/>
      <c r="DY29" s="565"/>
      <c r="DZ29" s="590"/>
      <c r="EA29" s="654">
        <f>+EA28</f>
        <v>0.11507451597067067</v>
      </c>
      <c r="EB29" s="565"/>
      <c r="EC29" s="565"/>
      <c r="ED29" s="590"/>
      <c r="EE29" s="654">
        <f>+EE28</f>
        <v>0.11507451597067067</v>
      </c>
      <c r="EF29" s="565"/>
      <c r="EG29" s="565"/>
      <c r="EH29" s="590"/>
      <c r="EI29" s="654">
        <f>+EI28</f>
        <v>0.11507451597067067</v>
      </c>
      <c r="EJ29" s="565"/>
      <c r="EK29" s="565"/>
      <c r="EL29" s="590"/>
      <c r="EM29" s="654">
        <f>+EM28</f>
        <v>0.11507451597067067</v>
      </c>
      <c r="EN29" s="565"/>
      <c r="EO29" s="565"/>
      <c r="EP29" s="590"/>
      <c r="EQ29" s="648"/>
      <c r="EV29" s="654">
        <f>+EV28</f>
        <v>0.14132374737385603</v>
      </c>
      <c r="EW29" s="565"/>
      <c r="EX29" s="565"/>
      <c r="EY29" s="590"/>
      <c r="EZ29" s="654">
        <f>+EZ28</f>
        <v>0.14132374737385603</v>
      </c>
      <c r="FA29" s="565"/>
      <c r="FB29" s="565"/>
      <c r="FC29" s="590"/>
      <c r="FD29" s="654">
        <f>+FD28</f>
        <v>0.14132374737385603</v>
      </c>
      <c r="FE29" s="565"/>
      <c r="FF29" s="565"/>
      <c r="FG29" s="590"/>
      <c r="FH29" s="654">
        <f>+FH28</f>
        <v>0.14132374737385603</v>
      </c>
      <c r="FI29" s="565"/>
      <c r="FJ29" s="565"/>
      <c r="FK29" s="590"/>
      <c r="FL29" s="654">
        <f>+FL28</f>
        <v>0.14132374737385603</v>
      </c>
      <c r="FM29" s="565"/>
      <c r="FN29" s="565"/>
      <c r="FO29" s="590"/>
      <c r="FP29" s="654">
        <f>+FP28</f>
        <v>0.14132374737385603</v>
      </c>
      <c r="FQ29" s="565"/>
      <c r="FR29" s="565"/>
      <c r="FS29" s="590"/>
      <c r="FT29" s="654">
        <f>+FT28</f>
        <v>0.14132374737385603</v>
      </c>
      <c r="FU29" s="565"/>
      <c r="FV29" s="565"/>
      <c r="FW29" s="590"/>
      <c r="FX29" s="654">
        <f>+FX28</f>
        <v>0.14132374737385603</v>
      </c>
      <c r="FY29" s="565"/>
      <c r="FZ29" s="565"/>
      <c r="GA29" s="590"/>
      <c r="GB29" s="654">
        <f>+GB28</f>
        <v>0.14132374737385603</v>
      </c>
      <c r="GC29" s="565"/>
      <c r="GD29" s="565"/>
      <c r="GE29" s="590"/>
      <c r="GF29" s="654">
        <f>+GF28</f>
        <v>0.14132374737385603</v>
      </c>
      <c r="GG29" s="565"/>
      <c r="GH29" s="565"/>
      <c r="GI29" s="590"/>
      <c r="GJ29" s="654">
        <f>+GJ28</f>
        <v>0.14132374737385603</v>
      </c>
      <c r="GK29" s="565"/>
      <c r="GL29" s="565"/>
      <c r="GM29" s="590"/>
      <c r="GN29" s="654">
        <f>+GN28</f>
        <v>0.14132374737385603</v>
      </c>
      <c r="GO29" s="565"/>
      <c r="GP29" s="565"/>
      <c r="GQ29" s="590"/>
      <c r="GR29" s="654">
        <f>+GR28</f>
        <v>0.14132374737385603</v>
      </c>
      <c r="GS29" s="565"/>
      <c r="GT29" s="565"/>
      <c r="GU29" s="590"/>
      <c r="GV29" s="1365">
        <f>+GV28</f>
        <v>0.14132374737385603</v>
      </c>
      <c r="GY29" s="1366"/>
      <c r="GZ29" s="1365">
        <f>+GZ28</f>
        <v>0.14132374737385603</v>
      </c>
      <c r="HC29" s="1366"/>
      <c r="HD29" s="1365">
        <f>+HD28</f>
        <v>0.14132374737385603</v>
      </c>
      <c r="HG29" s="1366"/>
      <c r="HI29" s="724">
        <f>($I12+$I14/100*HI27)</f>
        <v>0</v>
      </c>
      <c r="HJ29" s="412" t="s">
        <v>738</v>
      </c>
      <c r="HK29" s="565"/>
      <c r="HL29" s="590"/>
      <c r="HM29" s="724">
        <f>+HM28</f>
        <v>8.3338711803175078E-2</v>
      </c>
      <c r="HN29" s="412" t="s">
        <v>738</v>
      </c>
      <c r="HO29" s="565"/>
      <c r="HP29" s="590"/>
      <c r="HQ29" s="930">
        <f>+HQ28</f>
        <v>0</v>
      </c>
      <c r="HR29" s="412" t="s">
        <v>738</v>
      </c>
      <c r="HS29" s="565"/>
      <c r="HT29" s="590"/>
    </row>
    <row r="30" spans="1:228">
      <c r="A30" s="649" t="s">
        <v>435</v>
      </c>
      <c r="B30" s="642"/>
      <c r="C30" s="657">
        <v>19614847.300000001</v>
      </c>
      <c r="D30" s="658" t="s">
        <v>238</v>
      </c>
      <c r="E30" s="658"/>
      <c r="F30" s="653"/>
      <c r="G30" s="657">
        <v>5096992.9800000004</v>
      </c>
      <c r="H30" s="658"/>
      <c r="I30" s="658"/>
      <c r="J30" s="653"/>
      <c r="K30" s="657">
        <f>15481830-206959.94-1836400.57</f>
        <v>13438469.49</v>
      </c>
      <c r="L30" s="658" t="s">
        <v>238</v>
      </c>
      <c r="M30" s="658"/>
      <c r="N30" s="653"/>
      <c r="O30" s="657">
        <f>5293756-43838</f>
        <v>5249918</v>
      </c>
      <c r="P30" s="658" t="s">
        <v>238</v>
      </c>
      <c r="Q30" s="658"/>
      <c r="R30" s="653"/>
      <c r="S30" s="605">
        <f>2337635.32+213225.61+15030.11</f>
        <v>2565891.0399999996</v>
      </c>
      <c r="T30" s="606" t="s">
        <v>238</v>
      </c>
      <c r="U30" s="606"/>
      <c r="V30" s="590"/>
      <c r="W30" s="605">
        <v>30504919</v>
      </c>
      <c r="X30" s="606" t="s">
        <v>238</v>
      </c>
      <c r="Y30" s="606"/>
      <c r="Z30" s="590"/>
      <c r="AA30" s="605">
        <v>19836665</v>
      </c>
      <c r="AB30" s="606" t="s">
        <v>238</v>
      </c>
      <c r="AC30" s="606"/>
      <c r="AD30" s="590"/>
      <c r="AE30" s="605">
        <f>197869+4438</f>
        <v>202307</v>
      </c>
      <c r="AF30" s="606" t="s">
        <v>238</v>
      </c>
      <c r="AG30" s="606"/>
      <c r="AH30" s="590"/>
      <c r="AI30" s="605">
        <v>13004087</v>
      </c>
      <c r="AJ30" s="606" t="s">
        <v>238</v>
      </c>
      <c r="AK30" s="606"/>
      <c r="AL30" s="590"/>
      <c r="AM30" s="605">
        <v>4878144.29</v>
      </c>
      <c r="AN30" s="606" t="s">
        <v>238</v>
      </c>
      <c r="AO30" s="606"/>
      <c r="AP30" s="590"/>
      <c r="AQ30" s="605">
        <f>17568587.89+1253986.64+61355.08+27016015.83-6082927</f>
        <v>39817018.439999998</v>
      </c>
      <c r="AR30" s="606" t="s">
        <v>238</v>
      </c>
      <c r="AS30" s="606"/>
      <c r="AT30" s="590"/>
      <c r="AU30" s="637">
        <v>30000000</v>
      </c>
      <c r="AV30" s="658"/>
      <c r="AW30" s="658"/>
      <c r="AX30" s="653"/>
      <c r="AY30" s="637">
        <v>20000000</v>
      </c>
      <c r="AZ30" s="658"/>
      <c r="BA30" s="658"/>
      <c r="BB30" s="653"/>
      <c r="BC30" s="637">
        <v>30000000</v>
      </c>
      <c r="BD30" s="658"/>
      <c r="BE30" s="658"/>
      <c r="BF30" s="653"/>
      <c r="BG30" s="637">
        <v>20000000</v>
      </c>
      <c r="BH30" s="658"/>
      <c r="BI30" s="658"/>
      <c r="BJ30" s="653"/>
      <c r="BK30" s="637">
        <v>30000000</v>
      </c>
      <c r="BL30" s="658"/>
      <c r="BM30" s="658"/>
      <c r="BN30" s="653"/>
      <c r="BO30" s="637">
        <v>20000000</v>
      </c>
      <c r="BP30" s="658"/>
      <c r="BQ30" s="658"/>
      <c r="BR30" s="653"/>
      <c r="BS30" s="605">
        <v>365679</v>
      </c>
      <c r="BT30" s="606" t="s">
        <v>238</v>
      </c>
      <c r="BU30" s="606"/>
      <c r="BV30" s="590"/>
      <c r="BW30" s="659">
        <v>25381014</v>
      </c>
      <c r="BX30" s="606" t="s">
        <v>238</v>
      </c>
      <c r="BY30" s="606"/>
      <c r="BZ30" s="590"/>
      <c r="CA30" s="659">
        <v>2395092.48</v>
      </c>
      <c r="CB30" s="606" t="s">
        <v>238</v>
      </c>
      <c r="CC30" s="606"/>
      <c r="CD30" s="590"/>
      <c r="CE30" s="874">
        <v>207901.28</v>
      </c>
      <c r="CF30" s="606" t="s">
        <v>238</v>
      </c>
      <c r="CG30" s="606"/>
      <c r="CH30" s="590"/>
      <c r="CI30" s="659">
        <v>543960</v>
      </c>
      <c r="CJ30" s="606" t="s">
        <v>238</v>
      </c>
      <c r="CK30" s="606"/>
      <c r="CL30" s="590"/>
      <c r="CM30" s="813">
        <f>14427496.55+6854936</f>
        <v>21282432.550000001</v>
      </c>
      <c r="CN30" s="606" t="s">
        <v>238</v>
      </c>
      <c r="CO30" s="606"/>
      <c r="CP30" s="590"/>
      <c r="CQ30" s="813">
        <f>56618128.87+32162253.56</f>
        <v>88780382.429999992</v>
      </c>
      <c r="CR30" s="606" t="s">
        <v>238</v>
      </c>
      <c r="CS30" s="606"/>
      <c r="CT30" s="590"/>
      <c r="CU30" s="813">
        <v>29752596.390000001</v>
      </c>
      <c r="CV30" s="606" t="s">
        <v>238</v>
      </c>
      <c r="CW30" s="606"/>
      <c r="CX30" s="590"/>
      <c r="CY30" s="813">
        <v>32283.850000000057</v>
      </c>
      <c r="CZ30" s="606" t="s">
        <v>238</v>
      </c>
      <c r="DA30" s="606"/>
      <c r="DB30" s="590"/>
      <c r="DC30" s="813">
        <v>1959349.5999999999</v>
      </c>
      <c r="DD30" s="606" t="s">
        <v>238</v>
      </c>
      <c r="DE30" s="606"/>
      <c r="DF30" s="590"/>
      <c r="DG30" s="813">
        <v>1084136.8699999999</v>
      </c>
      <c r="DH30" s="606" t="s">
        <v>238</v>
      </c>
      <c r="DI30" s="606"/>
      <c r="DJ30" s="590"/>
      <c r="DK30" s="813">
        <v>24184987.59</v>
      </c>
      <c r="DL30" s="606" t="s">
        <v>238</v>
      </c>
      <c r="DM30" s="606"/>
      <c r="DN30" s="590"/>
      <c r="DO30" s="605">
        <v>862078.96999999951</v>
      </c>
      <c r="DP30" s="606" t="s">
        <v>238</v>
      </c>
      <c r="DQ30" s="606"/>
      <c r="DR30" s="590"/>
      <c r="DS30" s="605">
        <v>365013.11999999866</v>
      </c>
      <c r="DT30" s="606" t="s">
        <v>238</v>
      </c>
      <c r="DU30" s="606"/>
      <c r="DV30" s="590"/>
      <c r="DW30" s="605">
        <f>53507.77+249.82</f>
        <v>53757.59</v>
      </c>
      <c r="DX30" s="606" t="s">
        <v>238</v>
      </c>
      <c r="DY30" s="606"/>
      <c r="DZ30" s="590"/>
      <c r="EA30" s="605">
        <f>-313293.270000002</f>
        <v>-313293.270000002</v>
      </c>
      <c r="EB30" s="606" t="s">
        <v>238</v>
      </c>
      <c r="EC30" s="606"/>
      <c r="ED30" s="590"/>
      <c r="EE30" s="605">
        <v>8452784.6400000006</v>
      </c>
      <c r="EF30" s="606" t="s">
        <v>238</v>
      </c>
      <c r="EG30" s="606"/>
      <c r="EH30" s="590"/>
      <c r="EI30" s="605">
        <v>337475.76999999996</v>
      </c>
      <c r="EJ30" s="606" t="s">
        <v>238</v>
      </c>
      <c r="EK30" s="606"/>
      <c r="EL30" s="590"/>
      <c r="EM30" s="605">
        <v>11466731.9</v>
      </c>
      <c r="EN30" s="606" t="s">
        <v>238</v>
      </c>
      <c r="EO30" s="606"/>
      <c r="EP30" s="590"/>
      <c r="EQ30" s="648"/>
      <c r="EV30" s="605">
        <v>12707126</v>
      </c>
      <c r="EW30" s="606" t="s">
        <v>238</v>
      </c>
      <c r="EX30" s="606"/>
      <c r="EY30" s="590"/>
      <c r="EZ30" s="605">
        <v>8944044</v>
      </c>
      <c r="FA30" s="606" t="s">
        <v>238</v>
      </c>
      <c r="FB30" s="606"/>
      <c r="FC30" s="590"/>
      <c r="FD30" s="605">
        <v>1404585.91</v>
      </c>
      <c r="FE30" s="606" t="s">
        <v>238</v>
      </c>
      <c r="FF30" s="606"/>
      <c r="FG30" s="590"/>
      <c r="FH30" s="605">
        <v>169603</v>
      </c>
      <c r="FI30" s="606" t="s">
        <v>238</v>
      </c>
      <c r="FJ30" s="606"/>
      <c r="FK30" s="590"/>
      <c r="FL30" s="605">
        <v>12537.86</v>
      </c>
      <c r="FM30" s="606" t="s">
        <v>238</v>
      </c>
      <c r="FN30" s="606"/>
      <c r="FO30" s="590"/>
      <c r="FP30" s="605">
        <v>40332599.799999997</v>
      </c>
      <c r="FQ30" s="606" t="s">
        <v>238</v>
      </c>
      <c r="FR30" s="606"/>
      <c r="FS30" s="590"/>
      <c r="FT30" s="605">
        <v>530533.42000000004</v>
      </c>
      <c r="FU30" s="606" t="s">
        <v>238</v>
      </c>
      <c r="FV30" s="606"/>
      <c r="FW30" s="590"/>
      <c r="FX30" s="605">
        <v>-539066.93999999971</v>
      </c>
      <c r="FY30" s="606" t="s">
        <v>238</v>
      </c>
      <c r="FZ30" s="606"/>
      <c r="GA30" s="590"/>
      <c r="GB30" s="605">
        <v>33275227.509999998</v>
      </c>
      <c r="GC30" s="606" t="s">
        <v>238</v>
      </c>
      <c r="GD30" s="606"/>
      <c r="GE30" s="590"/>
      <c r="GF30" s="605">
        <v>497855.79</v>
      </c>
      <c r="GG30" s="606" t="s">
        <v>238</v>
      </c>
      <c r="GH30" s="606"/>
      <c r="GI30" s="590"/>
      <c r="GJ30" s="605">
        <v>1756061.9100000001</v>
      </c>
      <c r="GK30" s="606" t="s">
        <v>238</v>
      </c>
      <c r="GL30" s="606"/>
      <c r="GM30" s="590"/>
      <c r="GN30" s="605">
        <v>36868090.68999999</v>
      </c>
      <c r="GO30" s="606" t="s">
        <v>238</v>
      </c>
      <c r="GP30" s="606"/>
      <c r="GQ30" s="590"/>
      <c r="GR30" s="605">
        <v>80280476.510000005</v>
      </c>
      <c r="GS30" s="606" t="s">
        <v>238</v>
      </c>
      <c r="GT30" s="606"/>
      <c r="GU30" s="590"/>
      <c r="GV30" s="1367">
        <v>-531831</v>
      </c>
      <c r="GW30" s="1355" t="s">
        <v>238</v>
      </c>
      <c r="GX30" s="1355"/>
      <c r="GY30" s="1366"/>
      <c r="GZ30" s="1367">
        <v>1297564</v>
      </c>
      <c r="HA30" s="1355" t="s">
        <v>238</v>
      </c>
      <c r="HB30" s="1355"/>
      <c r="HC30" s="1366"/>
      <c r="HD30" s="1367">
        <v>4400963</v>
      </c>
      <c r="HE30" s="1355" t="s">
        <v>238</v>
      </c>
      <c r="HF30" s="1355"/>
      <c r="HG30" s="1366"/>
      <c r="HI30" s="605">
        <v>0</v>
      </c>
      <c r="HJ30" s="606"/>
      <c r="HK30" s="606"/>
      <c r="HL30" s="590"/>
      <c r="HM30" s="605">
        <v>1159350</v>
      </c>
      <c r="HN30" s="606"/>
      <c r="HO30" s="606"/>
      <c r="HP30" s="590"/>
      <c r="HQ30" s="605">
        <f>+'5 - Cost Support'!K192</f>
        <v>0</v>
      </c>
      <c r="HR30" s="606"/>
      <c r="HS30" s="606"/>
      <c r="HT30" s="590"/>
    </row>
    <row r="31" spans="1:228">
      <c r="A31" s="649" t="s">
        <v>436</v>
      </c>
      <c r="B31" s="642"/>
      <c r="C31" s="637">
        <f>IF(C30=0,0,C30/C25)</f>
        <v>445791.98409090913</v>
      </c>
      <c r="D31" s="658"/>
      <c r="E31" s="658"/>
      <c r="F31" s="653"/>
      <c r="G31" s="637">
        <f>IF(G30=0,0,G30/G25)</f>
        <v>115840.74954545456</v>
      </c>
      <c r="H31" s="658"/>
      <c r="I31" s="658"/>
      <c r="J31" s="653"/>
      <c r="K31" s="637">
        <f>IF(K30=0,0,K30/K25)</f>
        <v>305419.76113636367</v>
      </c>
      <c r="L31" s="658"/>
      <c r="M31" s="658"/>
      <c r="N31" s="653"/>
      <c r="O31" s="637">
        <f>IF(O30=0,0,O30/O25)</f>
        <v>119316.31818181818</v>
      </c>
      <c r="P31" s="658"/>
      <c r="Q31" s="658"/>
      <c r="R31" s="653"/>
      <c r="S31" s="605">
        <f>IF(S30=0,0,S30/S25)</f>
        <v>58315.705454545445</v>
      </c>
      <c r="T31" s="606"/>
      <c r="U31" s="606"/>
      <c r="V31" s="590"/>
      <c r="W31" s="605">
        <f>IF(W30=0,0,W30/W25)</f>
        <v>693293.61363636365</v>
      </c>
      <c r="X31" s="606"/>
      <c r="Y31" s="606"/>
      <c r="Z31" s="590"/>
      <c r="AA31" s="605">
        <f>IF(AA30=0,0,AA30/AA25)</f>
        <v>450833.29545454547</v>
      </c>
      <c r="AB31" s="606"/>
      <c r="AC31" s="606"/>
      <c r="AD31" s="590"/>
      <c r="AE31" s="605">
        <f>IF(AE30=0,0,AE30/AE25)</f>
        <v>4597.886363636364</v>
      </c>
      <c r="AF31" s="606"/>
      <c r="AG31" s="606"/>
      <c r="AH31" s="590"/>
      <c r="AI31" s="605">
        <f>IF(AI30=0,0,AI30/AI25)</f>
        <v>295547.43181818182</v>
      </c>
      <c r="AJ31" s="606"/>
      <c r="AK31" s="606"/>
      <c r="AL31" s="590"/>
      <c r="AM31" s="605">
        <f>IF(AM30=0,0,AM30/AM25)</f>
        <v>110866.91568181818</v>
      </c>
      <c r="AN31" s="606"/>
      <c r="AO31" s="606"/>
      <c r="AP31" s="590"/>
      <c r="AQ31" s="605">
        <f>IF(AQ30=0,0,AQ30/AQ25)</f>
        <v>904932.23727272719</v>
      </c>
      <c r="AR31" s="606"/>
      <c r="AS31" s="606"/>
      <c r="AT31" s="590"/>
      <c r="AU31" s="637">
        <f>+AU30/AU25</f>
        <v>750000</v>
      </c>
      <c r="AV31" s="658"/>
      <c r="AW31" s="658"/>
      <c r="AX31" s="653"/>
      <c r="AY31" s="637">
        <f>+AY30/AY25</f>
        <v>500000</v>
      </c>
      <c r="AZ31" s="658"/>
      <c r="BA31" s="658"/>
      <c r="BB31" s="653"/>
      <c r="BC31" s="637">
        <f>+BC30/BC25</f>
        <v>750000</v>
      </c>
      <c r="BD31" s="658"/>
      <c r="BE31" s="658"/>
      <c r="BF31" s="653"/>
      <c r="BG31" s="637">
        <f>+BG30/BG25</f>
        <v>571428.57142857148</v>
      </c>
      <c r="BH31" s="658"/>
      <c r="BI31" s="658"/>
      <c r="BJ31" s="653"/>
      <c r="BK31" s="637">
        <f>+BK30/BK25</f>
        <v>1200000</v>
      </c>
      <c r="BL31" s="658"/>
      <c r="BM31" s="658"/>
      <c r="BN31" s="653"/>
      <c r="BO31" s="637">
        <f>+BO30/BO25</f>
        <v>666666.66666666663</v>
      </c>
      <c r="BP31" s="658"/>
      <c r="BQ31" s="658"/>
      <c r="BR31" s="653"/>
      <c r="BS31" s="605">
        <f>IF(BS30=0,0,BS30/BS25)</f>
        <v>8310.886363636364</v>
      </c>
      <c r="BT31" s="606"/>
      <c r="BU31" s="606"/>
      <c r="BV31" s="590"/>
      <c r="BW31" s="605">
        <f>IF(BW30=0,0,BW30/BW25)</f>
        <v>576841.22727272729</v>
      </c>
      <c r="BX31" s="606"/>
      <c r="BY31" s="606"/>
      <c r="BZ31" s="590"/>
      <c r="CA31" s="605">
        <f>IF(CA30=0,0,CA30/CA25)</f>
        <v>54433.919999999998</v>
      </c>
      <c r="CB31" s="606"/>
      <c r="CC31" s="606"/>
      <c r="CD31" s="590"/>
      <c r="CE31" s="605">
        <f>IF(CE30=0,0,CE30/CE25)</f>
        <v>4725.0290909090909</v>
      </c>
      <c r="CF31" s="606"/>
      <c r="CG31" s="606"/>
      <c r="CH31" s="590"/>
      <c r="CI31" s="605">
        <f>IF(CI30=0,0,CI30/CI25)</f>
        <v>12362.727272727272</v>
      </c>
      <c r="CJ31" s="606"/>
      <c r="CK31" s="606"/>
      <c r="CL31" s="590"/>
      <c r="CM31" s="605">
        <f>IF(CM30=0,0,CM30/CM25)</f>
        <v>483691.64886363636</v>
      </c>
      <c r="CN31" s="606"/>
      <c r="CO31" s="606"/>
      <c r="CP31" s="590"/>
      <c r="CQ31" s="605">
        <f>IF(CQ30=0,0,CQ30/CQ25)</f>
        <v>2017735.9643181816</v>
      </c>
      <c r="CR31" s="606"/>
      <c r="CS31" s="606"/>
      <c r="CT31" s="590"/>
      <c r="CU31" s="605">
        <f>IF(CU30=0,0,CU30/CU25)</f>
        <v>676195.37250000006</v>
      </c>
      <c r="CV31" s="606"/>
      <c r="CW31" s="606"/>
      <c r="CX31" s="590"/>
      <c r="CY31" s="605">
        <f>IF(CY30=0,0,CY30/CY25)</f>
        <v>733.72386363636497</v>
      </c>
      <c r="CZ31" s="606"/>
      <c r="DA31" s="606"/>
      <c r="DB31" s="590"/>
      <c r="DC31" s="605">
        <f>IF(DC30=0,0,DC30/DC25)</f>
        <v>44530.672727272722</v>
      </c>
      <c r="DD31" s="606"/>
      <c r="DE31" s="606"/>
      <c r="DF31" s="590"/>
      <c r="DG31" s="605">
        <f>IF(DG30=0,0,DG30/DG25)</f>
        <v>24639.474318181816</v>
      </c>
      <c r="DH31" s="606"/>
      <c r="DI31" s="606"/>
      <c r="DJ31" s="590"/>
      <c r="DK31" s="605">
        <f>IF(DK30=0,0,DK30/DK25)</f>
        <v>549658.80886363634</v>
      </c>
      <c r="DL31" s="606"/>
      <c r="DM31" s="606"/>
      <c r="DN31" s="590"/>
      <c r="DO31" s="605">
        <f>IF(DO30=0,0,DO30/DO25)</f>
        <v>19592.703863636354</v>
      </c>
      <c r="DP31" s="606"/>
      <c r="DQ31" s="606"/>
      <c r="DR31" s="590"/>
      <c r="DS31" s="605">
        <f>IF(DS30=0,0,DS30/DS25)</f>
        <v>8295.7527272726966</v>
      </c>
      <c r="DT31" s="606"/>
      <c r="DU31" s="606"/>
      <c r="DV31" s="590"/>
      <c r="DW31" s="605">
        <f>IF(DW30=0,0,DW30/DW25)</f>
        <v>1221.7634090909089</v>
      </c>
      <c r="DX31" s="606"/>
      <c r="DY31" s="606"/>
      <c r="DZ31" s="590"/>
      <c r="EA31" s="605">
        <f>IF(EA30=0,0,EA30/EA25)</f>
        <v>-7120.3015909091364</v>
      </c>
      <c r="EB31" s="606"/>
      <c r="EC31" s="606"/>
      <c r="ED31" s="590"/>
      <c r="EE31" s="605">
        <f>IF(EE30=0,0,EE30/EE25)</f>
        <v>192108.74181818182</v>
      </c>
      <c r="EF31" s="606"/>
      <c r="EG31" s="606"/>
      <c r="EH31" s="590"/>
      <c r="EI31" s="605">
        <f>IF(EI30=0,0,EI30/EI25)</f>
        <v>7669.903863636363</v>
      </c>
      <c r="EJ31" s="606"/>
      <c r="EK31" s="606"/>
      <c r="EL31" s="590"/>
      <c r="EM31" s="605">
        <f>IF(EM30=0,0,EM30/EM25)</f>
        <v>260607.54318181818</v>
      </c>
      <c r="EN31" s="606"/>
      <c r="EO31" s="606"/>
      <c r="EP31" s="590"/>
      <c r="EQ31" s="648"/>
      <c r="EV31" s="605">
        <f>IF(EV30=0,0,EV30/EV25)</f>
        <v>1270712.6000000001</v>
      </c>
      <c r="EW31" s="606"/>
      <c r="EX31" s="606"/>
      <c r="EY31" s="590"/>
      <c r="EZ31" s="605">
        <f>IF(EZ30=0,0,EZ30/EZ25)</f>
        <v>894404.4</v>
      </c>
      <c r="FA31" s="606"/>
      <c r="FB31" s="606"/>
      <c r="FC31" s="590"/>
      <c r="FD31" s="605">
        <f>IF(FD30=0,0,FD30/FD25)</f>
        <v>140458.59099999999</v>
      </c>
      <c r="FE31" s="606"/>
      <c r="FF31" s="606"/>
      <c r="FG31" s="590"/>
      <c r="FH31" s="605">
        <f>IF(FH30=0,0,FH30/FH25)</f>
        <v>16960.3</v>
      </c>
      <c r="FI31" s="606"/>
      <c r="FJ31" s="606"/>
      <c r="FK31" s="590"/>
      <c r="FL31" s="605">
        <f>IF(FL30=0,0,FL30/FL25)</f>
        <v>1253.7860000000001</v>
      </c>
      <c r="FM31" s="606"/>
      <c r="FN31" s="606"/>
      <c r="FO31" s="590"/>
      <c r="FP31" s="605">
        <f>IF(FP30=0,0,FP30/FP25)</f>
        <v>4033259.9799999995</v>
      </c>
      <c r="FQ31" s="606"/>
      <c r="FR31" s="606"/>
      <c r="FS31" s="590"/>
      <c r="FT31" s="605">
        <f>IF(FT30=0,0,FT30/FT25)</f>
        <v>53053.342000000004</v>
      </c>
      <c r="FU31" s="606"/>
      <c r="FV31" s="606"/>
      <c r="FW31" s="590"/>
      <c r="FX31" s="605">
        <f>IF(FX30=0,0,FX30/FX25)</f>
        <v>-53906.693999999974</v>
      </c>
      <c r="FY31" s="606"/>
      <c r="FZ31" s="606"/>
      <c r="GA31" s="590"/>
      <c r="GB31" s="605">
        <f>IF(GB30=0,0,GB30/GB25)</f>
        <v>3327522.7509999997</v>
      </c>
      <c r="GC31" s="606"/>
      <c r="GD31" s="606"/>
      <c r="GE31" s="590"/>
      <c r="GF31" s="605">
        <f>IF(GF30=0,0,GF30/GF25)</f>
        <v>49785.578999999998</v>
      </c>
      <c r="GG31" s="606"/>
      <c r="GH31" s="606"/>
      <c r="GI31" s="590"/>
      <c r="GJ31" s="605">
        <f>IF(GJ30=0,0,GJ30/GJ25)</f>
        <v>175606.19100000002</v>
      </c>
      <c r="GK31" s="606"/>
      <c r="GL31" s="606"/>
      <c r="GM31" s="590"/>
      <c r="GN31" s="605">
        <f>IF(GN30=0,0,GN30/GN25)</f>
        <v>3686809.0689999992</v>
      </c>
      <c r="GO31" s="606"/>
      <c r="GP31" s="606"/>
      <c r="GQ31" s="590"/>
      <c r="GR31" s="605">
        <f>IF(GR30=0,0,GR30/GR25)</f>
        <v>8028047.6510000005</v>
      </c>
      <c r="GS31" s="606"/>
      <c r="GT31" s="606"/>
      <c r="GU31" s="590"/>
      <c r="GV31" s="1367">
        <f>IF(GV30=0,0,GV30/GV25)</f>
        <v>-53183.1</v>
      </c>
      <c r="GW31" s="1355"/>
      <c r="GX31" s="1355"/>
      <c r="GY31" s="1366"/>
      <c r="GZ31" s="1367">
        <f>IF(GZ30=0,0,GZ30/GZ25)</f>
        <v>129756.4</v>
      </c>
      <c r="HA31" s="1355"/>
      <c r="HB31" s="1355"/>
      <c r="HC31" s="1366"/>
      <c r="HD31" s="1367">
        <f>IF(HD30=0,0,HD30/HD25)</f>
        <v>440096.3</v>
      </c>
      <c r="HE31" s="1355"/>
      <c r="HF31" s="1355"/>
      <c r="HG31" s="1366"/>
      <c r="HI31" s="605">
        <f>IF(HI30=0,0,HI30/HI25)</f>
        <v>0</v>
      </c>
      <c r="HJ31" s="606"/>
      <c r="HK31" s="606"/>
      <c r="HL31" s="590"/>
      <c r="HM31" s="605">
        <f>IF(HM30=0,0,HM30/HM25)</f>
        <v>1159350</v>
      </c>
      <c r="HN31" s="606"/>
      <c r="HO31" s="606"/>
      <c r="HP31" s="590"/>
      <c r="HQ31" s="605">
        <f>IF(HQ30=0,0,HQ30/HQ25)</f>
        <v>0</v>
      </c>
      <c r="HR31" s="606"/>
      <c r="HS31" s="606"/>
      <c r="HT31" s="590"/>
    </row>
    <row r="32" spans="1:228" s="575" customFormat="1">
      <c r="A32" s="601" t="s">
        <v>540</v>
      </c>
      <c r="B32" s="725"/>
      <c r="C32" s="657">
        <v>9</v>
      </c>
      <c r="D32" s="658" t="s">
        <v>238</v>
      </c>
      <c r="E32" s="606"/>
      <c r="F32" s="590"/>
      <c r="G32" s="657">
        <v>6</v>
      </c>
      <c r="H32" s="606"/>
      <c r="I32" s="606"/>
      <c r="J32" s="590"/>
      <c r="K32" s="657">
        <v>9</v>
      </c>
      <c r="L32" s="658" t="s">
        <v>238</v>
      </c>
      <c r="M32" s="606"/>
      <c r="N32" s="590"/>
      <c r="O32" s="657">
        <v>10</v>
      </c>
      <c r="P32" s="658" t="s">
        <v>238</v>
      </c>
      <c r="Q32" s="606"/>
      <c r="R32" s="590"/>
      <c r="S32" s="605">
        <v>2</v>
      </c>
      <c r="T32" s="606" t="s">
        <v>238</v>
      </c>
      <c r="U32" s="606"/>
      <c r="V32" s="590"/>
      <c r="W32" s="605">
        <v>10</v>
      </c>
      <c r="X32" s="606" t="s">
        <v>238</v>
      </c>
      <c r="Y32" s="606"/>
      <c r="Z32" s="590"/>
      <c r="AA32" s="605">
        <v>11</v>
      </c>
      <c r="AB32" s="606" t="s">
        <v>238</v>
      </c>
      <c r="AC32" s="606"/>
      <c r="AD32" s="590"/>
      <c r="AE32" s="605">
        <v>6</v>
      </c>
      <c r="AF32" s="606" t="s">
        <v>238</v>
      </c>
      <c r="AG32" s="606"/>
      <c r="AH32" s="590"/>
      <c r="AI32" s="605">
        <v>10</v>
      </c>
      <c r="AJ32" s="606" t="s">
        <v>238</v>
      </c>
      <c r="AK32" s="606"/>
      <c r="AL32" s="590"/>
      <c r="AM32" s="605">
        <v>6</v>
      </c>
      <c r="AN32" s="606" t="s">
        <v>238</v>
      </c>
      <c r="AO32" s="606"/>
      <c r="AP32" s="590"/>
      <c r="AQ32" s="605">
        <v>9</v>
      </c>
      <c r="AR32" s="606" t="s">
        <v>238</v>
      </c>
      <c r="AS32" s="606"/>
      <c r="AT32" s="590"/>
      <c r="AU32" s="605">
        <v>10</v>
      </c>
      <c r="AV32" s="606"/>
      <c r="AW32" s="606"/>
      <c r="AX32" s="590"/>
      <c r="AY32" s="605">
        <v>2</v>
      </c>
      <c r="AZ32" s="606"/>
      <c r="BA32" s="606"/>
      <c r="BB32" s="590"/>
      <c r="BC32" s="605">
        <v>4</v>
      </c>
      <c r="BD32" s="606"/>
      <c r="BE32" s="606"/>
      <c r="BF32" s="590"/>
      <c r="BG32" s="605">
        <v>11</v>
      </c>
      <c r="BH32" s="606"/>
      <c r="BI32" s="606"/>
      <c r="BJ32" s="590"/>
      <c r="BK32" s="605">
        <v>8</v>
      </c>
      <c r="BL32" s="606"/>
      <c r="BM32" s="606"/>
      <c r="BN32" s="590"/>
      <c r="BO32" s="605">
        <v>9</v>
      </c>
      <c r="BP32" s="606"/>
      <c r="BQ32" s="606"/>
      <c r="BR32" s="590"/>
      <c r="BS32" s="605">
        <v>12</v>
      </c>
      <c r="BT32" s="606" t="s">
        <v>238</v>
      </c>
      <c r="BU32" s="606"/>
      <c r="BV32" s="590"/>
      <c r="BW32" s="605">
        <v>6</v>
      </c>
      <c r="BX32" s="606" t="s">
        <v>238</v>
      </c>
      <c r="BY32" s="606"/>
      <c r="BZ32" s="590"/>
      <c r="CA32" s="605">
        <v>7</v>
      </c>
      <c r="CB32" s="606" t="s">
        <v>238</v>
      </c>
      <c r="CC32" s="606"/>
      <c r="CD32" s="590"/>
      <c r="CE32" s="605">
        <v>3</v>
      </c>
      <c r="CF32" s="606" t="s">
        <v>238</v>
      </c>
      <c r="CG32" s="606"/>
      <c r="CH32" s="590"/>
      <c r="CI32" s="605">
        <v>2</v>
      </c>
      <c r="CJ32" s="606" t="s">
        <v>238</v>
      </c>
      <c r="CK32" s="606"/>
      <c r="CL32" s="590"/>
      <c r="CM32" s="605">
        <v>9</v>
      </c>
      <c r="CN32" s="606" t="s">
        <v>238</v>
      </c>
      <c r="CO32" s="606"/>
      <c r="CP32" s="590"/>
      <c r="CQ32" s="605">
        <v>9</v>
      </c>
      <c r="CR32" s="606" t="s">
        <v>238</v>
      </c>
      <c r="CS32" s="606"/>
      <c r="CT32" s="590"/>
      <c r="CU32" s="605">
        <v>12</v>
      </c>
      <c r="CV32" s="606" t="s">
        <v>238</v>
      </c>
      <c r="CW32" s="606"/>
      <c r="CX32" s="590"/>
      <c r="CY32" s="605">
        <v>6</v>
      </c>
      <c r="CZ32" s="606" t="s">
        <v>238</v>
      </c>
      <c r="DA32" s="606"/>
      <c r="DB32" s="590"/>
      <c r="DC32" s="605">
        <v>3</v>
      </c>
      <c r="DD32" s="606" t="s">
        <v>238</v>
      </c>
      <c r="DE32" s="606"/>
      <c r="DF32" s="590"/>
      <c r="DG32" s="605">
        <v>6</v>
      </c>
      <c r="DH32" s="606" t="s">
        <v>238</v>
      </c>
      <c r="DI32" s="606"/>
      <c r="DJ32" s="590"/>
      <c r="DK32" s="605">
        <v>2</v>
      </c>
      <c r="DL32" s="606" t="s">
        <v>238</v>
      </c>
      <c r="DM32" s="606"/>
      <c r="DN32" s="590"/>
      <c r="DO32" s="605">
        <v>2</v>
      </c>
      <c r="DP32" s="606" t="s">
        <v>238</v>
      </c>
      <c r="DQ32" s="606"/>
      <c r="DR32" s="590"/>
      <c r="DS32" s="605">
        <v>6</v>
      </c>
      <c r="DT32" s="606" t="s">
        <v>238</v>
      </c>
      <c r="DU32" s="606"/>
      <c r="DV32" s="590"/>
      <c r="DW32" s="605">
        <v>3</v>
      </c>
      <c r="DX32" s="606" t="s">
        <v>238</v>
      </c>
      <c r="DY32" s="606"/>
      <c r="DZ32" s="590"/>
      <c r="EA32" s="605">
        <v>11</v>
      </c>
      <c r="EB32" s="606" t="s">
        <v>238</v>
      </c>
      <c r="EC32" s="606"/>
      <c r="ED32" s="590"/>
      <c r="EE32" s="605">
        <v>5</v>
      </c>
      <c r="EF32" s="606" t="s">
        <v>238</v>
      </c>
      <c r="EG32" s="606"/>
      <c r="EH32" s="590"/>
      <c r="EI32" s="605">
        <v>10</v>
      </c>
      <c r="EJ32" s="606" t="s">
        <v>238</v>
      </c>
      <c r="EK32" s="606"/>
      <c r="EL32" s="590"/>
      <c r="EM32" s="605">
        <v>12</v>
      </c>
      <c r="EN32" s="606" t="s">
        <v>238</v>
      </c>
      <c r="EO32" s="606"/>
      <c r="EP32" s="590"/>
      <c r="EQ32" s="660"/>
      <c r="EV32" s="605">
        <v>2</v>
      </c>
      <c r="EW32" s="606" t="s">
        <v>238</v>
      </c>
      <c r="EX32" s="606"/>
      <c r="EY32" s="590"/>
      <c r="EZ32" s="605">
        <v>12</v>
      </c>
      <c r="FA32" s="606" t="s">
        <v>238</v>
      </c>
      <c r="FB32" s="606"/>
      <c r="FC32" s="590"/>
      <c r="FD32" s="605">
        <v>11</v>
      </c>
      <c r="FE32" s="606" t="s">
        <v>238</v>
      </c>
      <c r="FF32" s="606"/>
      <c r="FG32" s="590"/>
      <c r="FH32" s="605">
        <v>12</v>
      </c>
      <c r="FI32" s="606" t="s">
        <v>238</v>
      </c>
      <c r="FJ32" s="606"/>
      <c r="FK32" s="590"/>
      <c r="FL32" s="605">
        <v>2</v>
      </c>
      <c r="FM32" s="606" t="s">
        <v>238</v>
      </c>
      <c r="FN32" s="606"/>
      <c r="FO32" s="590"/>
      <c r="FP32" s="605">
        <v>3</v>
      </c>
      <c r="FQ32" s="606" t="s">
        <v>238</v>
      </c>
      <c r="FR32" s="606"/>
      <c r="FS32" s="590"/>
      <c r="FT32" s="605">
        <v>7</v>
      </c>
      <c r="FU32" s="606" t="s">
        <v>238</v>
      </c>
      <c r="FV32" s="606"/>
      <c r="FW32" s="590"/>
      <c r="FX32" s="605">
        <v>7</v>
      </c>
      <c r="FY32" s="606" t="s">
        <v>238</v>
      </c>
      <c r="FZ32" s="606"/>
      <c r="GA32" s="590"/>
      <c r="GB32" s="605">
        <v>10</v>
      </c>
      <c r="GC32" s="606" t="s">
        <v>238</v>
      </c>
      <c r="GD32" s="606"/>
      <c r="GE32" s="590"/>
      <c r="GF32" s="605">
        <v>11</v>
      </c>
      <c r="GG32" s="606" t="s">
        <v>238</v>
      </c>
      <c r="GH32" s="606"/>
      <c r="GI32" s="590"/>
      <c r="GJ32" s="605">
        <v>6</v>
      </c>
      <c r="GK32" s="606" t="s">
        <v>238</v>
      </c>
      <c r="GL32" s="606"/>
      <c r="GM32" s="590"/>
      <c r="GN32" s="605">
        <v>5</v>
      </c>
      <c r="GO32" s="606" t="s">
        <v>238</v>
      </c>
      <c r="GP32" s="606"/>
      <c r="GQ32" s="590"/>
      <c r="GR32" s="605">
        <v>8</v>
      </c>
      <c r="GS32" s="606" t="s">
        <v>238</v>
      </c>
      <c r="GT32" s="606"/>
      <c r="GU32" s="590"/>
      <c r="GV32" s="1367">
        <v>1</v>
      </c>
      <c r="GW32" s="1355" t="s">
        <v>238</v>
      </c>
      <c r="GX32" s="1355"/>
      <c r="GY32" s="1366"/>
      <c r="GZ32" s="1367">
        <v>4</v>
      </c>
      <c r="HA32" s="1355" t="s">
        <v>238</v>
      </c>
      <c r="HB32" s="1355"/>
      <c r="HC32" s="1366"/>
      <c r="HD32" s="1367">
        <v>1</v>
      </c>
      <c r="HE32" s="1355" t="s">
        <v>238</v>
      </c>
      <c r="HF32" s="1355"/>
      <c r="HG32" s="1366"/>
      <c r="HI32" s="605"/>
      <c r="HJ32" s="606"/>
      <c r="HK32" s="606"/>
      <c r="HL32" s="590"/>
      <c r="HM32" s="605">
        <v>0</v>
      </c>
      <c r="HN32" s="606"/>
      <c r="HO32" s="606"/>
      <c r="HP32" s="590"/>
      <c r="HQ32" s="605">
        <v>0</v>
      </c>
      <c r="HR32" s="606"/>
      <c r="HS32" s="606"/>
      <c r="HT32" s="590"/>
    </row>
    <row r="33" spans="1:228" ht="13" thickBot="1">
      <c r="A33" s="661"/>
      <c r="B33" s="662"/>
      <c r="C33" s="663"/>
      <c r="D33" s="664"/>
      <c r="E33" s="664"/>
      <c r="F33" s="665"/>
      <c r="G33" s="663"/>
      <c r="H33" s="664"/>
      <c r="I33" s="664"/>
      <c r="J33" s="665"/>
      <c r="K33" s="663"/>
      <c r="L33" s="664"/>
      <c r="M33" s="664"/>
      <c r="N33" s="665"/>
      <c r="O33" s="663"/>
      <c r="P33" s="664"/>
      <c r="Q33" s="664"/>
      <c r="R33" s="665"/>
      <c r="S33" s="607"/>
      <c r="T33" s="608"/>
      <c r="U33" s="608"/>
      <c r="V33" s="609"/>
      <c r="W33" s="607"/>
      <c r="X33" s="608"/>
      <c r="Y33" s="608"/>
      <c r="Z33" s="609"/>
      <c r="AA33" s="607"/>
      <c r="AB33" s="608"/>
      <c r="AC33" s="608"/>
      <c r="AD33" s="609"/>
      <c r="AE33" s="607"/>
      <c r="AF33" s="608"/>
      <c r="AG33" s="608"/>
      <c r="AH33" s="609"/>
      <c r="AI33" s="607"/>
      <c r="AJ33" s="608"/>
      <c r="AK33" s="608"/>
      <c r="AL33" s="609"/>
      <c r="AM33" s="607"/>
      <c r="AN33" s="608"/>
      <c r="AO33" s="608"/>
      <c r="AP33" s="609"/>
      <c r="AQ33" s="607"/>
      <c r="AR33" s="608"/>
      <c r="AS33" s="608"/>
      <c r="AT33" s="609"/>
      <c r="AU33" s="663"/>
      <c r="AV33" s="664"/>
      <c r="AW33" s="664"/>
      <c r="AX33" s="665"/>
      <c r="AY33" s="663"/>
      <c r="AZ33" s="664"/>
      <c r="BA33" s="664"/>
      <c r="BB33" s="665"/>
      <c r="BC33" s="663"/>
      <c r="BD33" s="664"/>
      <c r="BE33" s="664"/>
      <c r="BF33" s="665"/>
      <c r="BG33" s="663"/>
      <c r="BH33" s="664"/>
      <c r="BI33" s="664"/>
      <c r="BJ33" s="665"/>
      <c r="BK33" s="663"/>
      <c r="BL33" s="664"/>
      <c r="BM33" s="664"/>
      <c r="BN33" s="665"/>
      <c r="BO33" s="663"/>
      <c r="BP33" s="664"/>
      <c r="BQ33" s="664"/>
      <c r="BR33" s="665"/>
      <c r="BS33" s="607"/>
      <c r="BT33" s="608"/>
      <c r="BU33" s="608"/>
      <c r="BV33" s="609"/>
      <c r="BW33" s="607"/>
      <c r="BX33" s="608"/>
      <c r="BY33" s="608"/>
      <c r="BZ33" s="609"/>
      <c r="CA33" s="607"/>
      <c r="CB33" s="608"/>
      <c r="CC33" s="608"/>
      <c r="CD33" s="609"/>
      <c r="CE33" s="607"/>
      <c r="CF33" s="608"/>
      <c r="CG33" s="608"/>
      <c r="CH33" s="609"/>
      <c r="CI33" s="607"/>
      <c r="CJ33" s="608"/>
      <c r="CK33" s="608"/>
      <c r="CL33" s="609"/>
      <c r="CM33" s="607"/>
      <c r="CN33" s="608"/>
      <c r="CO33" s="608"/>
      <c r="CP33" s="609"/>
      <c r="CQ33" s="607"/>
      <c r="CR33" s="608"/>
      <c r="CS33" s="608"/>
      <c r="CT33" s="609"/>
      <c r="CU33" s="607"/>
      <c r="CV33" s="608"/>
      <c r="CW33" s="608"/>
      <c r="CX33" s="609"/>
      <c r="CY33" s="607"/>
      <c r="CZ33" s="608"/>
      <c r="DA33" s="608"/>
      <c r="DB33" s="609"/>
      <c r="DC33" s="607"/>
      <c r="DD33" s="608"/>
      <c r="DE33" s="608"/>
      <c r="DF33" s="609"/>
      <c r="DG33" s="607"/>
      <c r="DH33" s="608"/>
      <c r="DI33" s="608"/>
      <c r="DJ33" s="609"/>
      <c r="DK33" s="607"/>
      <c r="DL33" s="608"/>
      <c r="DM33" s="608"/>
      <c r="DN33" s="609"/>
      <c r="DO33" s="607"/>
      <c r="DP33" s="608"/>
      <c r="DQ33" s="608"/>
      <c r="DR33" s="609"/>
      <c r="DS33" s="607"/>
      <c r="DT33" s="608"/>
      <c r="DU33" s="608"/>
      <c r="DV33" s="609"/>
      <c r="DW33" s="607"/>
      <c r="DX33" s="608"/>
      <c r="DY33" s="608"/>
      <c r="DZ33" s="609"/>
      <c r="EA33" s="607"/>
      <c r="EB33" s="608"/>
      <c r="EC33" s="608"/>
      <c r="ED33" s="609"/>
      <c r="EE33" s="607"/>
      <c r="EF33" s="608"/>
      <c r="EG33" s="608"/>
      <c r="EH33" s="609"/>
      <c r="EI33" s="607"/>
      <c r="EJ33" s="608"/>
      <c r="EK33" s="608"/>
      <c r="EL33" s="609"/>
      <c r="EM33" s="607"/>
      <c r="EN33" s="608"/>
      <c r="EO33" s="608"/>
      <c r="EP33" s="609"/>
      <c r="EQ33" s="666"/>
      <c r="EV33" s="607"/>
      <c r="EW33" s="608"/>
      <c r="EX33" s="608"/>
      <c r="EY33" s="609"/>
      <c r="EZ33" s="607"/>
      <c r="FA33" s="608"/>
      <c r="FB33" s="608"/>
      <c r="FC33" s="609"/>
      <c r="FD33" s="607"/>
      <c r="FE33" s="608"/>
      <c r="FF33" s="608"/>
      <c r="FG33" s="609"/>
      <c r="FH33" s="607"/>
      <c r="FI33" s="608"/>
      <c r="FJ33" s="608"/>
      <c r="FK33" s="609"/>
      <c r="FL33" s="607"/>
      <c r="FM33" s="608"/>
      <c r="FN33" s="608"/>
      <c r="FO33" s="609"/>
      <c r="FP33" s="607"/>
      <c r="FQ33" s="608"/>
      <c r="FR33" s="608"/>
      <c r="FS33" s="609"/>
      <c r="FT33" s="607"/>
      <c r="FU33" s="608"/>
      <c r="FV33" s="608"/>
      <c r="FW33" s="609"/>
      <c r="FX33" s="607"/>
      <c r="FY33" s="608"/>
      <c r="FZ33" s="608"/>
      <c r="GA33" s="609"/>
      <c r="GB33" s="607"/>
      <c r="GC33" s="608"/>
      <c r="GD33" s="608"/>
      <c r="GE33" s="609"/>
      <c r="GF33" s="607"/>
      <c r="GG33" s="608"/>
      <c r="GH33" s="608"/>
      <c r="GI33" s="609"/>
      <c r="GJ33" s="607"/>
      <c r="GK33" s="608"/>
      <c r="GL33" s="608"/>
      <c r="GM33" s="609"/>
      <c r="GN33" s="607"/>
      <c r="GO33" s="608"/>
      <c r="GP33" s="608"/>
      <c r="GQ33" s="609"/>
      <c r="GR33" s="607"/>
      <c r="GS33" s="608"/>
      <c r="GT33" s="608"/>
      <c r="GU33" s="609"/>
      <c r="GV33" s="1368"/>
      <c r="GW33" s="1369"/>
      <c r="GX33" s="1369"/>
      <c r="GY33" s="1370"/>
      <c r="GZ33" s="1368"/>
      <c r="HA33" s="1369"/>
      <c r="HB33" s="1369"/>
      <c r="HC33" s="1370"/>
      <c r="HD33" s="1368"/>
      <c r="HE33" s="1369"/>
      <c r="HF33" s="1369"/>
      <c r="HG33" s="1370"/>
      <c r="HI33" s="607"/>
      <c r="HJ33" s="608"/>
      <c r="HK33" s="608"/>
      <c r="HL33" s="609"/>
      <c r="HM33" s="607"/>
      <c r="HN33" s="608"/>
      <c r="HO33" s="608"/>
      <c r="HP33" s="609"/>
      <c r="HQ33" s="607"/>
      <c r="HR33" s="608"/>
      <c r="HS33" s="608"/>
      <c r="HT33" s="609"/>
    </row>
    <row r="34" spans="1:228" ht="13">
      <c r="A34" s="638"/>
      <c r="B34" s="667" t="s">
        <v>426</v>
      </c>
      <c r="C34" s="639" t="s">
        <v>447</v>
      </c>
      <c r="D34" s="639" t="s">
        <v>861</v>
      </c>
      <c r="E34" s="639" t="s">
        <v>449</v>
      </c>
      <c r="F34" s="668" t="s">
        <v>446</v>
      </c>
      <c r="G34" s="639" t="s">
        <v>447</v>
      </c>
      <c r="H34" s="639" t="s">
        <v>861</v>
      </c>
      <c r="I34" s="639" t="s">
        <v>449</v>
      </c>
      <c r="J34" s="640" t="s">
        <v>446</v>
      </c>
      <c r="K34" s="639" t="s">
        <v>447</v>
      </c>
      <c r="L34" s="639" t="s">
        <v>861</v>
      </c>
      <c r="M34" s="639" t="s">
        <v>449</v>
      </c>
      <c r="N34" s="640" t="s">
        <v>446</v>
      </c>
      <c r="O34" s="727" t="s">
        <v>447</v>
      </c>
      <c r="P34" s="639" t="s">
        <v>861</v>
      </c>
      <c r="Q34" s="639" t="s">
        <v>449</v>
      </c>
      <c r="R34" s="640" t="s">
        <v>446</v>
      </c>
      <c r="S34" s="729" t="s">
        <v>447</v>
      </c>
      <c r="T34" s="639" t="s">
        <v>861</v>
      </c>
      <c r="U34" s="603" t="s">
        <v>449</v>
      </c>
      <c r="V34" s="610" t="s">
        <v>446</v>
      </c>
      <c r="W34" s="729" t="s">
        <v>447</v>
      </c>
      <c r="X34" s="639" t="s">
        <v>861</v>
      </c>
      <c r="Y34" s="603" t="s">
        <v>449</v>
      </c>
      <c r="Z34" s="610" t="s">
        <v>446</v>
      </c>
      <c r="AA34" s="729" t="s">
        <v>447</v>
      </c>
      <c r="AB34" s="639" t="s">
        <v>861</v>
      </c>
      <c r="AC34" s="603" t="s">
        <v>449</v>
      </c>
      <c r="AD34" s="610" t="s">
        <v>446</v>
      </c>
      <c r="AE34" s="729" t="s">
        <v>447</v>
      </c>
      <c r="AF34" s="639" t="s">
        <v>861</v>
      </c>
      <c r="AG34" s="603" t="s">
        <v>449</v>
      </c>
      <c r="AH34" s="610" t="s">
        <v>446</v>
      </c>
      <c r="AI34" s="729" t="s">
        <v>447</v>
      </c>
      <c r="AJ34" s="639" t="s">
        <v>861</v>
      </c>
      <c r="AK34" s="603" t="s">
        <v>449</v>
      </c>
      <c r="AL34" s="610" t="s">
        <v>446</v>
      </c>
      <c r="AM34" s="729" t="s">
        <v>447</v>
      </c>
      <c r="AN34" s="639" t="s">
        <v>861</v>
      </c>
      <c r="AO34" s="603" t="s">
        <v>449</v>
      </c>
      <c r="AP34" s="610" t="s">
        <v>446</v>
      </c>
      <c r="AQ34" s="729" t="s">
        <v>447</v>
      </c>
      <c r="AR34" s="639" t="s">
        <v>861</v>
      </c>
      <c r="AS34" s="603" t="s">
        <v>449</v>
      </c>
      <c r="AT34" s="610" t="s">
        <v>446</v>
      </c>
      <c r="AU34" s="727" t="s">
        <v>447</v>
      </c>
      <c r="AV34" s="639" t="s">
        <v>448</v>
      </c>
      <c r="AW34" s="639" t="s">
        <v>449</v>
      </c>
      <c r="AX34" s="640" t="s">
        <v>446</v>
      </c>
      <c r="AY34" s="727" t="s">
        <v>447</v>
      </c>
      <c r="AZ34" s="639" t="s">
        <v>448</v>
      </c>
      <c r="BA34" s="639" t="s">
        <v>449</v>
      </c>
      <c r="BB34" s="640" t="s">
        <v>446</v>
      </c>
      <c r="BC34" s="727" t="s">
        <v>447</v>
      </c>
      <c r="BD34" s="639" t="s">
        <v>448</v>
      </c>
      <c r="BE34" s="639" t="s">
        <v>449</v>
      </c>
      <c r="BF34" s="640" t="s">
        <v>446</v>
      </c>
      <c r="BG34" s="727" t="s">
        <v>447</v>
      </c>
      <c r="BH34" s="639" t="s">
        <v>448</v>
      </c>
      <c r="BI34" s="639" t="s">
        <v>449</v>
      </c>
      <c r="BJ34" s="640" t="s">
        <v>446</v>
      </c>
      <c r="BK34" s="727" t="s">
        <v>447</v>
      </c>
      <c r="BL34" s="639" t="s">
        <v>448</v>
      </c>
      <c r="BM34" s="639" t="s">
        <v>449</v>
      </c>
      <c r="BN34" s="640" t="s">
        <v>446</v>
      </c>
      <c r="BO34" s="727" t="s">
        <v>447</v>
      </c>
      <c r="BP34" s="639" t="s">
        <v>448</v>
      </c>
      <c r="BQ34" s="639" t="s">
        <v>449</v>
      </c>
      <c r="BR34" s="640" t="s">
        <v>446</v>
      </c>
      <c r="BS34" s="729" t="s">
        <v>447</v>
      </c>
      <c r="BT34" s="639" t="s">
        <v>861</v>
      </c>
      <c r="BU34" s="603" t="s">
        <v>449</v>
      </c>
      <c r="BV34" s="610" t="s">
        <v>446</v>
      </c>
      <c r="BW34" s="729" t="s">
        <v>447</v>
      </c>
      <c r="BX34" s="639" t="s">
        <v>861</v>
      </c>
      <c r="BY34" s="603" t="s">
        <v>449</v>
      </c>
      <c r="BZ34" s="610" t="s">
        <v>446</v>
      </c>
      <c r="CA34" s="729" t="s">
        <v>447</v>
      </c>
      <c r="CB34" s="639" t="s">
        <v>861</v>
      </c>
      <c r="CC34" s="603" t="s">
        <v>449</v>
      </c>
      <c r="CD34" s="610" t="s">
        <v>446</v>
      </c>
      <c r="CE34" s="729" t="s">
        <v>447</v>
      </c>
      <c r="CF34" s="639" t="s">
        <v>861</v>
      </c>
      <c r="CG34" s="603" t="s">
        <v>449</v>
      </c>
      <c r="CH34" s="610" t="s">
        <v>446</v>
      </c>
      <c r="CI34" s="729" t="s">
        <v>447</v>
      </c>
      <c r="CJ34" s="639" t="s">
        <v>861</v>
      </c>
      <c r="CK34" s="603" t="s">
        <v>449</v>
      </c>
      <c r="CL34" s="610" t="s">
        <v>446</v>
      </c>
      <c r="CM34" s="920" t="s">
        <v>447</v>
      </c>
      <c r="CN34" s="639" t="s">
        <v>861</v>
      </c>
      <c r="CO34" s="603" t="s">
        <v>449</v>
      </c>
      <c r="CP34" s="610" t="s">
        <v>446</v>
      </c>
      <c r="CQ34" s="920" t="s">
        <v>447</v>
      </c>
      <c r="CR34" s="639" t="s">
        <v>861</v>
      </c>
      <c r="CS34" s="603" t="s">
        <v>449</v>
      </c>
      <c r="CT34" s="610" t="s">
        <v>446</v>
      </c>
      <c r="CU34" s="920" t="s">
        <v>447</v>
      </c>
      <c r="CV34" s="639" t="s">
        <v>861</v>
      </c>
      <c r="CW34" s="603" t="s">
        <v>449</v>
      </c>
      <c r="CX34" s="610" t="s">
        <v>446</v>
      </c>
      <c r="CY34" s="935" t="s">
        <v>447</v>
      </c>
      <c r="CZ34" s="639" t="s">
        <v>861</v>
      </c>
      <c r="DA34" s="603" t="s">
        <v>449</v>
      </c>
      <c r="DB34" s="610" t="s">
        <v>446</v>
      </c>
      <c r="DC34" s="935" t="s">
        <v>447</v>
      </c>
      <c r="DD34" s="639" t="s">
        <v>861</v>
      </c>
      <c r="DE34" s="603" t="s">
        <v>449</v>
      </c>
      <c r="DF34" s="610" t="s">
        <v>446</v>
      </c>
      <c r="DG34" s="935" t="s">
        <v>447</v>
      </c>
      <c r="DH34" s="639" t="s">
        <v>861</v>
      </c>
      <c r="DI34" s="603" t="s">
        <v>449</v>
      </c>
      <c r="DJ34" s="610" t="s">
        <v>446</v>
      </c>
      <c r="DK34" s="935" t="s">
        <v>447</v>
      </c>
      <c r="DL34" s="639" t="s">
        <v>861</v>
      </c>
      <c r="DM34" s="603" t="s">
        <v>449</v>
      </c>
      <c r="DN34" s="610" t="s">
        <v>446</v>
      </c>
      <c r="DO34" s="956" t="s">
        <v>447</v>
      </c>
      <c r="DP34" s="639" t="s">
        <v>861</v>
      </c>
      <c r="DQ34" s="603" t="s">
        <v>449</v>
      </c>
      <c r="DR34" s="610" t="s">
        <v>446</v>
      </c>
      <c r="DS34" s="956" t="s">
        <v>447</v>
      </c>
      <c r="DT34" s="639" t="s">
        <v>861</v>
      </c>
      <c r="DU34" s="603" t="s">
        <v>449</v>
      </c>
      <c r="DV34" s="610" t="s">
        <v>446</v>
      </c>
      <c r="DW34" s="956" t="s">
        <v>447</v>
      </c>
      <c r="DX34" s="639" t="s">
        <v>861</v>
      </c>
      <c r="DY34" s="603" t="s">
        <v>449</v>
      </c>
      <c r="DZ34" s="610" t="s">
        <v>446</v>
      </c>
      <c r="EA34" s="956" t="s">
        <v>447</v>
      </c>
      <c r="EB34" s="639" t="s">
        <v>861</v>
      </c>
      <c r="EC34" s="603" t="s">
        <v>449</v>
      </c>
      <c r="ED34" s="610" t="s">
        <v>446</v>
      </c>
      <c r="EE34" s="1412" t="s">
        <v>447</v>
      </c>
      <c r="EF34" s="639" t="s">
        <v>861</v>
      </c>
      <c r="EG34" s="603" t="s">
        <v>449</v>
      </c>
      <c r="EH34" s="610" t="s">
        <v>446</v>
      </c>
      <c r="EI34" s="1412" t="s">
        <v>447</v>
      </c>
      <c r="EJ34" s="639" t="s">
        <v>861</v>
      </c>
      <c r="EK34" s="603" t="s">
        <v>449</v>
      </c>
      <c r="EL34" s="610" t="s">
        <v>446</v>
      </c>
      <c r="EM34" s="1412" t="s">
        <v>447</v>
      </c>
      <c r="EN34" s="639" t="s">
        <v>861</v>
      </c>
      <c r="EO34" s="603" t="s">
        <v>449</v>
      </c>
      <c r="EP34" s="610" t="s">
        <v>446</v>
      </c>
      <c r="EQ34" s="669" t="s">
        <v>322</v>
      </c>
      <c r="ER34" s="603" t="s">
        <v>460</v>
      </c>
      <c r="ES34" s="610" t="s">
        <v>461</v>
      </c>
      <c r="EV34" s="729" t="s">
        <v>447</v>
      </c>
      <c r="EW34" s="639" t="s">
        <v>861</v>
      </c>
      <c r="EX34" s="603" t="s">
        <v>449</v>
      </c>
      <c r="EY34" s="610" t="s">
        <v>446</v>
      </c>
      <c r="EZ34" s="729" t="s">
        <v>447</v>
      </c>
      <c r="FA34" s="639" t="s">
        <v>861</v>
      </c>
      <c r="FB34" s="603" t="s">
        <v>449</v>
      </c>
      <c r="FC34" s="610" t="s">
        <v>446</v>
      </c>
      <c r="FD34" s="729" t="s">
        <v>447</v>
      </c>
      <c r="FE34" s="639" t="s">
        <v>861</v>
      </c>
      <c r="FF34" s="603" t="s">
        <v>449</v>
      </c>
      <c r="FG34" s="610" t="s">
        <v>446</v>
      </c>
      <c r="FH34" s="729" t="s">
        <v>447</v>
      </c>
      <c r="FI34" s="639" t="s">
        <v>861</v>
      </c>
      <c r="FJ34" s="603" t="s">
        <v>449</v>
      </c>
      <c r="FK34" s="610" t="s">
        <v>446</v>
      </c>
      <c r="FL34" s="729" t="s">
        <v>447</v>
      </c>
      <c r="FM34" s="639" t="s">
        <v>861</v>
      </c>
      <c r="FN34" s="603" t="s">
        <v>449</v>
      </c>
      <c r="FO34" s="610" t="s">
        <v>446</v>
      </c>
      <c r="FP34" s="729" t="s">
        <v>447</v>
      </c>
      <c r="FQ34" s="639" t="s">
        <v>861</v>
      </c>
      <c r="FR34" s="603" t="s">
        <v>449</v>
      </c>
      <c r="FS34" s="610" t="s">
        <v>446</v>
      </c>
      <c r="FT34" s="896" t="s">
        <v>447</v>
      </c>
      <c r="FU34" s="639" t="s">
        <v>861</v>
      </c>
      <c r="FV34" s="603" t="s">
        <v>449</v>
      </c>
      <c r="FW34" s="610" t="s">
        <v>446</v>
      </c>
      <c r="FX34" s="896" t="s">
        <v>447</v>
      </c>
      <c r="FY34" s="639" t="s">
        <v>861</v>
      </c>
      <c r="FZ34" s="603" t="s">
        <v>449</v>
      </c>
      <c r="GA34" s="610" t="s">
        <v>446</v>
      </c>
      <c r="GB34" s="896" t="s">
        <v>447</v>
      </c>
      <c r="GC34" s="639" t="s">
        <v>861</v>
      </c>
      <c r="GD34" s="603" t="s">
        <v>449</v>
      </c>
      <c r="GE34" s="610" t="s">
        <v>446</v>
      </c>
      <c r="GF34" s="896" t="s">
        <v>447</v>
      </c>
      <c r="GG34" s="639" t="s">
        <v>861</v>
      </c>
      <c r="GH34" s="603" t="s">
        <v>449</v>
      </c>
      <c r="GI34" s="610" t="s">
        <v>446</v>
      </c>
      <c r="GJ34" s="915" t="s">
        <v>447</v>
      </c>
      <c r="GK34" s="639" t="s">
        <v>861</v>
      </c>
      <c r="GL34" s="603" t="s">
        <v>449</v>
      </c>
      <c r="GM34" s="610" t="s">
        <v>446</v>
      </c>
      <c r="GN34" s="929" t="s">
        <v>447</v>
      </c>
      <c r="GO34" s="639" t="s">
        <v>861</v>
      </c>
      <c r="GP34" s="603" t="s">
        <v>449</v>
      </c>
      <c r="GQ34" s="610" t="s">
        <v>446</v>
      </c>
      <c r="GR34" s="948" t="s">
        <v>447</v>
      </c>
      <c r="GS34" s="639" t="s">
        <v>861</v>
      </c>
      <c r="GT34" s="603" t="s">
        <v>449</v>
      </c>
      <c r="GU34" s="610" t="s">
        <v>446</v>
      </c>
      <c r="GV34" s="1345" t="s">
        <v>447</v>
      </c>
      <c r="GW34" s="639" t="s">
        <v>861</v>
      </c>
      <c r="GX34" s="639" t="s">
        <v>449</v>
      </c>
      <c r="GY34" s="640" t="s">
        <v>446</v>
      </c>
      <c r="GZ34" s="1345" t="s">
        <v>447</v>
      </c>
      <c r="HA34" s="639" t="s">
        <v>861</v>
      </c>
      <c r="HB34" s="639" t="s">
        <v>449</v>
      </c>
      <c r="HC34" s="640" t="s">
        <v>446</v>
      </c>
      <c r="HD34" s="1411" t="s">
        <v>447</v>
      </c>
      <c r="HE34" s="639" t="s">
        <v>861</v>
      </c>
      <c r="HF34" s="639" t="s">
        <v>449</v>
      </c>
      <c r="HG34" s="640" t="s">
        <v>446</v>
      </c>
      <c r="HI34" s="939" t="s">
        <v>447</v>
      </c>
      <c r="HJ34" s="603" t="s">
        <v>758</v>
      </c>
      <c r="HK34" s="603" t="s">
        <v>449</v>
      </c>
      <c r="HL34" s="610" t="s">
        <v>446</v>
      </c>
      <c r="HM34" s="729" t="s">
        <v>447</v>
      </c>
      <c r="HN34" s="603" t="s">
        <v>758</v>
      </c>
      <c r="HO34" s="603" t="s">
        <v>449</v>
      </c>
      <c r="HP34" s="610" t="s">
        <v>446</v>
      </c>
      <c r="HQ34" s="929" t="s">
        <v>447</v>
      </c>
      <c r="HR34" s="603" t="s">
        <v>758</v>
      </c>
      <c r="HS34" s="603" t="s">
        <v>449</v>
      </c>
      <c r="HT34" s="610" t="s">
        <v>446</v>
      </c>
    </row>
    <row r="35" spans="1:228" ht="13">
      <c r="A35" s="649" t="s">
        <v>24</v>
      </c>
      <c r="B35" s="670">
        <v>2004</v>
      </c>
      <c r="C35" s="671"/>
      <c r="D35" s="658"/>
      <c r="E35" s="671"/>
      <c r="F35" s="653"/>
      <c r="G35" s="646"/>
      <c r="H35" s="646"/>
      <c r="I35" s="646"/>
      <c r="J35" s="647"/>
      <c r="K35" s="672"/>
      <c r="L35" s="658"/>
      <c r="M35" s="671"/>
      <c r="N35" s="653"/>
      <c r="O35" s="645"/>
      <c r="P35" s="646"/>
      <c r="Q35" s="646"/>
      <c r="R35" s="647"/>
      <c r="S35" s="611"/>
      <c r="T35" s="612"/>
      <c r="U35" s="612"/>
      <c r="V35" s="613"/>
      <c r="W35" s="611"/>
      <c r="X35" s="612"/>
      <c r="Y35" s="612"/>
      <c r="Z35" s="613"/>
      <c r="AA35" s="611"/>
      <c r="AB35" s="612"/>
      <c r="AC35" s="612"/>
      <c r="AD35" s="613"/>
      <c r="AE35" s="611"/>
      <c r="AF35" s="612"/>
      <c r="AG35" s="612"/>
      <c r="AH35" s="613"/>
      <c r="AI35" s="611"/>
      <c r="AJ35" s="612"/>
      <c r="AK35" s="612"/>
      <c r="AL35" s="613"/>
      <c r="AM35" s="611"/>
      <c r="AN35" s="612"/>
      <c r="AO35" s="612"/>
      <c r="AP35" s="613"/>
      <c r="AQ35" s="611"/>
      <c r="AR35" s="612"/>
      <c r="AS35" s="612"/>
      <c r="AT35" s="613"/>
      <c r="AU35" s="645"/>
      <c r="AV35" s="646"/>
      <c r="AW35" s="646"/>
      <c r="AX35" s="647"/>
      <c r="AY35" s="645"/>
      <c r="AZ35" s="646"/>
      <c r="BA35" s="646"/>
      <c r="BB35" s="647"/>
      <c r="BC35" s="645"/>
      <c r="BD35" s="646"/>
      <c r="BE35" s="646"/>
      <c r="BF35" s="647"/>
      <c r="BG35" s="645"/>
      <c r="BH35" s="646"/>
      <c r="BI35" s="646"/>
      <c r="BJ35" s="647"/>
      <c r="BK35" s="645"/>
      <c r="BL35" s="646"/>
      <c r="BM35" s="646"/>
      <c r="BN35" s="647"/>
      <c r="BO35" s="645"/>
      <c r="BP35" s="646"/>
      <c r="BQ35" s="646"/>
      <c r="BR35" s="647"/>
      <c r="BS35" s="611"/>
      <c r="BT35" s="612"/>
      <c r="BU35" s="612"/>
      <c r="BV35" s="613"/>
      <c r="BW35" s="611"/>
      <c r="BX35" s="612"/>
      <c r="BY35" s="612"/>
      <c r="BZ35" s="613"/>
      <c r="CA35" s="611"/>
      <c r="CB35" s="612"/>
      <c r="CC35" s="612"/>
      <c r="CD35" s="613"/>
      <c r="CE35" s="611"/>
      <c r="CF35" s="612"/>
      <c r="CG35" s="612"/>
      <c r="CH35" s="613"/>
      <c r="CI35" s="611"/>
      <c r="CJ35" s="612"/>
      <c r="CK35" s="612"/>
      <c r="CL35" s="613"/>
      <c r="CM35" s="611"/>
      <c r="CN35" s="612"/>
      <c r="CO35" s="612"/>
      <c r="CP35" s="613"/>
      <c r="CQ35" s="611"/>
      <c r="CR35" s="612"/>
      <c r="CS35" s="612"/>
      <c r="CT35" s="613"/>
      <c r="CU35" s="611"/>
      <c r="CV35" s="612"/>
      <c r="CW35" s="612"/>
      <c r="CX35" s="613"/>
      <c r="CY35" s="611"/>
      <c r="CZ35" s="612"/>
      <c r="DA35" s="612"/>
      <c r="DB35" s="613"/>
      <c r="DC35" s="611"/>
      <c r="DD35" s="612"/>
      <c r="DE35" s="612"/>
      <c r="DF35" s="613"/>
      <c r="DG35" s="611"/>
      <c r="DH35" s="612"/>
      <c r="DI35" s="612"/>
      <c r="DJ35" s="613"/>
      <c r="DK35" s="611"/>
      <c r="DL35" s="612"/>
      <c r="DM35" s="612"/>
      <c r="DN35" s="613"/>
      <c r="DO35" s="611"/>
      <c r="DP35" s="612"/>
      <c r="DQ35" s="612"/>
      <c r="DR35" s="613"/>
      <c r="DS35" s="611"/>
      <c r="DT35" s="612"/>
      <c r="DU35" s="612"/>
      <c r="DV35" s="613"/>
      <c r="DW35" s="611"/>
      <c r="DX35" s="612"/>
      <c r="DY35" s="612"/>
      <c r="DZ35" s="613"/>
      <c r="EA35" s="611"/>
      <c r="EB35" s="612"/>
      <c r="EC35" s="612"/>
      <c r="ED35" s="613"/>
      <c r="EE35" s="611"/>
      <c r="EF35" s="612"/>
      <c r="EG35" s="612"/>
      <c r="EH35" s="613"/>
      <c r="EI35" s="611"/>
      <c r="EJ35" s="612"/>
      <c r="EK35" s="612"/>
      <c r="EL35" s="613"/>
      <c r="EM35" s="611"/>
      <c r="EN35" s="612"/>
      <c r="EO35" s="612"/>
      <c r="EP35" s="613"/>
      <c r="EQ35" s="673"/>
      <c r="ER35" s="612"/>
      <c r="ES35" s="674"/>
      <c r="EV35" s="611"/>
      <c r="EW35" s="612"/>
      <c r="EX35" s="612"/>
      <c r="EY35" s="613"/>
      <c r="EZ35" s="611"/>
      <c r="FA35" s="612"/>
      <c r="FB35" s="612"/>
      <c r="FC35" s="613"/>
      <c r="FD35" s="611"/>
      <c r="FE35" s="612"/>
      <c r="FF35" s="612"/>
      <c r="FG35" s="613"/>
      <c r="FH35" s="611"/>
      <c r="FI35" s="612"/>
      <c r="FJ35" s="612"/>
      <c r="FK35" s="613"/>
      <c r="FL35" s="611"/>
      <c r="FM35" s="612"/>
      <c r="FN35" s="612"/>
      <c r="FO35" s="613"/>
      <c r="FP35" s="611"/>
      <c r="FQ35" s="612"/>
      <c r="FR35" s="612"/>
      <c r="FS35" s="613"/>
      <c r="FT35" s="611"/>
      <c r="FU35" s="612"/>
      <c r="FV35" s="612"/>
      <c r="FW35" s="613"/>
      <c r="FX35" s="611"/>
      <c r="FY35" s="612"/>
      <c r="FZ35" s="612"/>
      <c r="GA35" s="613"/>
      <c r="GB35" s="611"/>
      <c r="GC35" s="612"/>
      <c r="GD35" s="612"/>
      <c r="GE35" s="613"/>
      <c r="GF35" s="611"/>
      <c r="GG35" s="612"/>
      <c r="GH35" s="612"/>
      <c r="GI35" s="613"/>
      <c r="GJ35" s="611"/>
      <c r="GK35" s="612"/>
      <c r="GL35" s="612"/>
      <c r="GM35" s="613"/>
      <c r="GN35" s="611"/>
      <c r="GO35" s="612"/>
      <c r="GP35" s="612"/>
      <c r="GQ35" s="613"/>
      <c r="GR35" s="611"/>
      <c r="GS35" s="612"/>
      <c r="GT35" s="612"/>
      <c r="GU35" s="613"/>
      <c r="GV35" s="645"/>
      <c r="GW35" s="1344"/>
      <c r="GX35" s="1344"/>
      <c r="GY35" s="647"/>
      <c r="GZ35" s="645"/>
      <c r="HA35" s="646"/>
      <c r="HB35" s="646"/>
      <c r="HC35" s="647"/>
      <c r="HD35" s="645"/>
      <c r="HE35" s="646"/>
      <c r="HF35" s="646"/>
      <c r="HG35" s="647"/>
      <c r="HI35" s="611"/>
      <c r="HJ35" s="612"/>
      <c r="HK35" s="612"/>
      <c r="HL35" s="613"/>
      <c r="HM35" s="611"/>
      <c r="HN35" s="612"/>
      <c r="HO35" s="612"/>
      <c r="HP35" s="613"/>
      <c r="HQ35" s="611"/>
      <c r="HR35" s="612"/>
      <c r="HS35" s="612"/>
      <c r="HT35" s="613"/>
    </row>
    <row r="36" spans="1:228" ht="13">
      <c r="A36" s="649" t="s">
        <v>23</v>
      </c>
      <c r="B36" s="670">
        <v>2004</v>
      </c>
      <c r="C36" s="671"/>
      <c r="D36" s="658"/>
      <c r="E36" s="671"/>
      <c r="F36" s="653"/>
      <c r="G36" s="646"/>
      <c r="H36" s="646"/>
      <c r="I36" s="646"/>
      <c r="J36" s="647"/>
      <c r="K36" s="672"/>
      <c r="L36" s="658"/>
      <c r="M36" s="671"/>
      <c r="N36" s="653"/>
      <c r="O36" s="645"/>
      <c r="P36" s="646"/>
      <c r="Q36" s="646"/>
      <c r="R36" s="647"/>
      <c r="S36" s="611"/>
      <c r="T36" s="612"/>
      <c r="U36" s="612"/>
      <c r="V36" s="613"/>
      <c r="W36" s="611"/>
      <c r="X36" s="612"/>
      <c r="Y36" s="612"/>
      <c r="Z36" s="613"/>
      <c r="AA36" s="611"/>
      <c r="AB36" s="612"/>
      <c r="AC36" s="612"/>
      <c r="AD36" s="613"/>
      <c r="AE36" s="611"/>
      <c r="AF36" s="612"/>
      <c r="AG36" s="612"/>
      <c r="AH36" s="613"/>
      <c r="AI36" s="611"/>
      <c r="AJ36" s="612"/>
      <c r="AK36" s="612"/>
      <c r="AL36" s="613"/>
      <c r="AM36" s="611"/>
      <c r="AN36" s="612"/>
      <c r="AO36" s="612"/>
      <c r="AP36" s="613"/>
      <c r="AQ36" s="611"/>
      <c r="AR36" s="612"/>
      <c r="AS36" s="612"/>
      <c r="AT36" s="613"/>
      <c r="AU36" s="645"/>
      <c r="AV36" s="646"/>
      <c r="AW36" s="646"/>
      <c r="AX36" s="647"/>
      <c r="AY36" s="645"/>
      <c r="AZ36" s="646"/>
      <c r="BA36" s="646"/>
      <c r="BB36" s="647"/>
      <c r="BC36" s="645"/>
      <c r="BD36" s="646"/>
      <c r="BE36" s="646"/>
      <c r="BF36" s="647"/>
      <c r="BG36" s="645"/>
      <c r="BH36" s="646"/>
      <c r="BI36" s="646"/>
      <c r="BJ36" s="647"/>
      <c r="BK36" s="645"/>
      <c r="BL36" s="646"/>
      <c r="BM36" s="646"/>
      <c r="BN36" s="647"/>
      <c r="BO36" s="645"/>
      <c r="BP36" s="646"/>
      <c r="BQ36" s="646"/>
      <c r="BR36" s="647"/>
      <c r="BS36" s="611"/>
      <c r="BT36" s="612"/>
      <c r="BU36" s="612"/>
      <c r="BV36" s="613"/>
      <c r="BW36" s="611"/>
      <c r="BX36" s="612"/>
      <c r="BY36" s="612"/>
      <c r="BZ36" s="613"/>
      <c r="CA36" s="611"/>
      <c r="CB36" s="612"/>
      <c r="CC36" s="612"/>
      <c r="CD36" s="613"/>
      <c r="CE36" s="611"/>
      <c r="CF36" s="612"/>
      <c r="CG36" s="612"/>
      <c r="CH36" s="613"/>
      <c r="CI36" s="611"/>
      <c r="CJ36" s="612"/>
      <c r="CK36" s="612"/>
      <c r="CL36" s="613"/>
      <c r="CM36" s="611"/>
      <c r="CN36" s="612"/>
      <c r="CO36" s="612"/>
      <c r="CP36" s="613"/>
      <c r="CQ36" s="611"/>
      <c r="CR36" s="612"/>
      <c r="CS36" s="612"/>
      <c r="CT36" s="613"/>
      <c r="CU36" s="611"/>
      <c r="CV36" s="612"/>
      <c r="CW36" s="612"/>
      <c r="CX36" s="613"/>
      <c r="CY36" s="611"/>
      <c r="CZ36" s="612"/>
      <c r="DA36" s="612"/>
      <c r="DB36" s="613"/>
      <c r="DC36" s="611"/>
      <c r="DD36" s="612"/>
      <c r="DE36" s="612"/>
      <c r="DF36" s="613"/>
      <c r="DG36" s="611"/>
      <c r="DH36" s="612"/>
      <c r="DI36" s="612"/>
      <c r="DJ36" s="613"/>
      <c r="DK36" s="611"/>
      <c r="DL36" s="612"/>
      <c r="DM36" s="612"/>
      <c r="DN36" s="613"/>
      <c r="DO36" s="611"/>
      <c r="DP36" s="612"/>
      <c r="DQ36" s="612"/>
      <c r="DR36" s="613"/>
      <c r="DS36" s="611"/>
      <c r="DT36" s="612"/>
      <c r="DU36" s="612"/>
      <c r="DV36" s="613"/>
      <c r="DW36" s="611"/>
      <c r="DX36" s="612"/>
      <c r="DY36" s="612"/>
      <c r="DZ36" s="613"/>
      <c r="EA36" s="611"/>
      <c r="EB36" s="612"/>
      <c r="EC36" s="612"/>
      <c r="ED36" s="613"/>
      <c r="EE36" s="611"/>
      <c r="EF36" s="612"/>
      <c r="EG36" s="612"/>
      <c r="EH36" s="613"/>
      <c r="EI36" s="611"/>
      <c r="EJ36" s="612"/>
      <c r="EK36" s="612"/>
      <c r="EL36" s="613"/>
      <c r="EM36" s="611"/>
      <c r="EN36" s="612"/>
      <c r="EO36" s="612"/>
      <c r="EP36" s="613"/>
      <c r="EQ36" s="673"/>
      <c r="ER36" s="675"/>
      <c r="ES36" s="613"/>
      <c r="EV36" s="611"/>
      <c r="EW36" s="612"/>
      <c r="EX36" s="612"/>
      <c r="EY36" s="613"/>
      <c r="EZ36" s="611"/>
      <c r="FA36" s="612"/>
      <c r="FB36" s="612"/>
      <c r="FC36" s="613"/>
      <c r="FD36" s="611"/>
      <c r="FE36" s="612"/>
      <c r="FF36" s="612"/>
      <c r="FG36" s="613"/>
      <c r="FH36" s="611"/>
      <c r="FI36" s="612"/>
      <c r="FJ36" s="612"/>
      <c r="FK36" s="613"/>
      <c r="FL36" s="611"/>
      <c r="FM36" s="612"/>
      <c r="FN36" s="612"/>
      <c r="FO36" s="613"/>
      <c r="FP36" s="611"/>
      <c r="FQ36" s="612"/>
      <c r="FR36" s="612"/>
      <c r="FS36" s="613"/>
      <c r="FT36" s="611"/>
      <c r="FU36" s="612"/>
      <c r="FV36" s="612"/>
      <c r="FW36" s="613"/>
      <c r="FX36" s="611"/>
      <c r="FY36" s="612"/>
      <c r="FZ36" s="612"/>
      <c r="GA36" s="613"/>
      <c r="GB36" s="611"/>
      <c r="GC36" s="612"/>
      <c r="GD36" s="612"/>
      <c r="GE36" s="613"/>
      <c r="GF36" s="611"/>
      <c r="GG36" s="612"/>
      <c r="GH36" s="612"/>
      <c r="GI36" s="613"/>
      <c r="GJ36" s="611"/>
      <c r="GK36" s="612"/>
      <c r="GL36" s="612"/>
      <c r="GM36" s="613"/>
      <c r="GN36" s="611"/>
      <c r="GO36" s="612"/>
      <c r="GP36" s="612"/>
      <c r="GQ36" s="613"/>
      <c r="GR36" s="611"/>
      <c r="GS36" s="612"/>
      <c r="GT36" s="612"/>
      <c r="GU36" s="613"/>
      <c r="GV36" s="645"/>
      <c r="GW36" s="1344"/>
      <c r="GX36" s="1344"/>
      <c r="GY36" s="647"/>
      <c r="GZ36" s="645"/>
      <c r="HA36" s="646"/>
      <c r="HB36" s="646"/>
      <c r="HC36" s="647"/>
      <c r="HD36" s="645"/>
      <c r="HE36" s="646"/>
      <c r="HF36" s="646"/>
      <c r="HG36" s="647"/>
      <c r="HI36" s="611"/>
      <c r="HJ36" s="612"/>
      <c r="HK36" s="612"/>
      <c r="HL36" s="613"/>
      <c r="HM36" s="611"/>
      <c r="HN36" s="612"/>
      <c r="HO36" s="612"/>
      <c r="HP36" s="613"/>
      <c r="HQ36" s="611"/>
      <c r="HR36" s="612"/>
      <c r="HS36" s="612"/>
      <c r="HT36" s="613"/>
    </row>
    <row r="37" spans="1:228">
      <c r="A37" s="649" t="s">
        <v>24</v>
      </c>
      <c r="B37" s="670">
        <v>2005</v>
      </c>
      <c r="C37" s="671"/>
      <c r="D37" s="658"/>
      <c r="E37" s="671"/>
      <c r="F37" s="653"/>
      <c r="G37" s="671"/>
      <c r="H37" s="658"/>
      <c r="I37" s="671"/>
      <c r="J37" s="653"/>
      <c r="K37" s="676"/>
      <c r="L37" s="671"/>
      <c r="M37" s="671"/>
      <c r="N37" s="653"/>
      <c r="O37" s="649"/>
      <c r="P37" s="652"/>
      <c r="Q37" s="652"/>
      <c r="R37" s="653"/>
      <c r="S37" s="601"/>
      <c r="T37" s="565"/>
      <c r="U37" s="565"/>
      <c r="V37" s="590"/>
      <c r="W37" s="601"/>
      <c r="X37" s="565"/>
      <c r="Y37" s="565"/>
      <c r="Z37" s="590"/>
      <c r="AA37" s="601"/>
      <c r="AB37" s="565"/>
      <c r="AC37" s="565"/>
      <c r="AD37" s="590"/>
      <c r="AE37" s="601"/>
      <c r="AF37" s="565"/>
      <c r="AG37" s="565"/>
      <c r="AH37" s="590"/>
      <c r="AI37" s="601"/>
      <c r="AJ37" s="565"/>
      <c r="AK37" s="565"/>
      <c r="AL37" s="590"/>
      <c r="AM37" s="601"/>
      <c r="AN37" s="565"/>
      <c r="AO37" s="565"/>
      <c r="AP37" s="590"/>
      <c r="AQ37" s="601"/>
      <c r="AR37" s="565"/>
      <c r="AS37" s="565"/>
      <c r="AT37" s="590"/>
      <c r="AU37" s="649"/>
      <c r="AV37" s="652"/>
      <c r="AW37" s="652"/>
      <c r="AX37" s="653"/>
      <c r="AY37" s="649"/>
      <c r="AZ37" s="652"/>
      <c r="BA37" s="652"/>
      <c r="BB37" s="653"/>
      <c r="BC37" s="649"/>
      <c r="BD37" s="652"/>
      <c r="BE37" s="652"/>
      <c r="BF37" s="653"/>
      <c r="BG37" s="649"/>
      <c r="BH37" s="652"/>
      <c r="BI37" s="652"/>
      <c r="BJ37" s="653"/>
      <c r="BK37" s="649"/>
      <c r="BL37" s="652"/>
      <c r="BM37" s="652"/>
      <c r="BN37" s="653"/>
      <c r="BO37" s="649"/>
      <c r="BP37" s="652"/>
      <c r="BQ37" s="652"/>
      <c r="BR37" s="653"/>
      <c r="BS37" s="601"/>
      <c r="BT37" s="565"/>
      <c r="BU37" s="565"/>
      <c r="BV37" s="590"/>
      <c r="BW37" s="601"/>
      <c r="BX37" s="565"/>
      <c r="BY37" s="565"/>
      <c r="BZ37" s="590"/>
      <c r="CA37" s="601"/>
      <c r="CB37" s="565"/>
      <c r="CC37" s="565"/>
      <c r="CD37" s="590"/>
      <c r="CE37" s="601"/>
      <c r="CF37" s="565"/>
      <c r="CG37" s="565"/>
      <c r="CH37" s="590"/>
      <c r="CI37" s="601"/>
      <c r="CJ37" s="565"/>
      <c r="CK37" s="565"/>
      <c r="CL37" s="590"/>
      <c r="CM37" s="601"/>
      <c r="CN37" s="565"/>
      <c r="CO37" s="565"/>
      <c r="CP37" s="590"/>
      <c r="CQ37" s="601"/>
      <c r="CR37" s="565"/>
      <c r="CS37" s="565"/>
      <c r="CT37" s="590"/>
      <c r="CU37" s="601"/>
      <c r="CV37" s="565"/>
      <c r="CW37" s="565"/>
      <c r="CX37" s="590"/>
      <c r="CY37" s="601"/>
      <c r="CZ37" s="565"/>
      <c r="DA37" s="565"/>
      <c r="DB37" s="590"/>
      <c r="DC37" s="601"/>
      <c r="DD37" s="565"/>
      <c r="DE37" s="565"/>
      <c r="DF37" s="590"/>
      <c r="DG37" s="601"/>
      <c r="DH37" s="565"/>
      <c r="DI37" s="565"/>
      <c r="DJ37" s="590"/>
      <c r="DK37" s="601"/>
      <c r="DL37" s="565"/>
      <c r="DM37" s="565"/>
      <c r="DN37" s="590"/>
      <c r="DO37" s="601"/>
      <c r="DP37" s="565"/>
      <c r="DQ37" s="565"/>
      <c r="DR37" s="590"/>
      <c r="DS37" s="601"/>
      <c r="DT37" s="565"/>
      <c r="DU37" s="565"/>
      <c r="DV37" s="590"/>
      <c r="DW37" s="601"/>
      <c r="DX37" s="565"/>
      <c r="DY37" s="565"/>
      <c r="DZ37" s="590"/>
      <c r="EA37" s="601"/>
      <c r="EB37" s="565"/>
      <c r="EC37" s="565"/>
      <c r="ED37" s="590"/>
      <c r="EE37" s="601"/>
      <c r="EF37" s="565"/>
      <c r="EG37" s="565"/>
      <c r="EH37" s="590"/>
      <c r="EI37" s="601"/>
      <c r="EJ37" s="565"/>
      <c r="EK37" s="565"/>
      <c r="EL37" s="590"/>
      <c r="EM37" s="601"/>
      <c r="EN37" s="565"/>
      <c r="EO37" s="565"/>
      <c r="EP37" s="590"/>
      <c r="EQ37" s="673"/>
      <c r="ER37" s="652"/>
      <c r="ES37" s="674"/>
      <c r="EV37" s="601"/>
      <c r="EW37" s="565"/>
      <c r="EX37" s="565"/>
      <c r="EY37" s="590"/>
      <c r="EZ37" s="601"/>
      <c r="FA37" s="565"/>
      <c r="FB37" s="565"/>
      <c r="FC37" s="590"/>
      <c r="FD37" s="601"/>
      <c r="FE37" s="565"/>
      <c r="FF37" s="565"/>
      <c r="FG37" s="590"/>
      <c r="FH37" s="601"/>
      <c r="FI37" s="565"/>
      <c r="FJ37" s="565"/>
      <c r="FK37" s="590"/>
      <c r="FL37" s="601"/>
      <c r="FM37" s="565"/>
      <c r="FN37" s="565"/>
      <c r="FO37" s="590"/>
      <c r="FP37" s="601"/>
      <c r="FQ37" s="565"/>
      <c r="FR37" s="565"/>
      <c r="FS37" s="590"/>
      <c r="FT37" s="601"/>
      <c r="FU37" s="565"/>
      <c r="FV37" s="565"/>
      <c r="FW37" s="590"/>
      <c r="FX37" s="601"/>
      <c r="FY37" s="565"/>
      <c r="FZ37" s="565"/>
      <c r="GA37" s="590"/>
      <c r="GB37" s="601"/>
      <c r="GC37" s="565"/>
      <c r="GD37" s="565"/>
      <c r="GE37" s="590"/>
      <c r="GF37" s="601"/>
      <c r="GG37" s="565"/>
      <c r="GH37" s="565"/>
      <c r="GI37" s="590"/>
      <c r="GJ37" s="601"/>
      <c r="GK37" s="565"/>
      <c r="GL37" s="565"/>
      <c r="GM37" s="590"/>
      <c r="GN37" s="601"/>
      <c r="GO37" s="565"/>
      <c r="GP37" s="565"/>
      <c r="GQ37" s="590"/>
      <c r="GR37" s="601"/>
      <c r="GS37" s="565"/>
      <c r="GT37" s="565"/>
      <c r="GU37" s="590"/>
      <c r="GV37" s="649"/>
      <c r="GY37" s="1366"/>
      <c r="GZ37" s="649"/>
      <c r="HA37" s="652"/>
      <c r="HB37" s="652"/>
      <c r="HC37" s="1366"/>
      <c r="HD37" s="649"/>
      <c r="HE37" s="652"/>
      <c r="HF37" s="652"/>
      <c r="HG37" s="1366"/>
      <c r="HI37" s="601"/>
      <c r="HJ37" s="565"/>
      <c r="HK37" s="565"/>
      <c r="HL37" s="590"/>
      <c r="HM37" s="601"/>
      <c r="HN37" s="565"/>
      <c r="HO37" s="565"/>
      <c r="HP37" s="590"/>
      <c r="HQ37" s="601"/>
      <c r="HR37" s="565"/>
      <c r="HS37" s="565"/>
      <c r="HT37" s="590"/>
    </row>
    <row r="38" spans="1:228">
      <c r="A38" s="649" t="s">
        <v>23</v>
      </c>
      <c r="B38" s="670">
        <v>2005</v>
      </c>
      <c r="C38" s="671"/>
      <c r="D38" s="658"/>
      <c r="E38" s="671"/>
      <c r="F38" s="653"/>
      <c r="G38" s="671"/>
      <c r="H38" s="658"/>
      <c r="I38" s="671"/>
      <c r="J38" s="653"/>
      <c r="K38" s="676"/>
      <c r="L38" s="671"/>
      <c r="M38" s="671"/>
      <c r="N38" s="653"/>
      <c r="O38" s="649"/>
      <c r="P38" s="652"/>
      <c r="Q38" s="652"/>
      <c r="R38" s="653"/>
      <c r="S38" s="601"/>
      <c r="T38" s="565"/>
      <c r="U38" s="565"/>
      <c r="V38" s="590"/>
      <c r="W38" s="601"/>
      <c r="X38" s="565"/>
      <c r="Y38" s="565"/>
      <c r="Z38" s="590"/>
      <c r="AA38" s="601"/>
      <c r="AB38" s="565"/>
      <c r="AC38" s="565"/>
      <c r="AD38" s="590"/>
      <c r="AE38" s="601"/>
      <c r="AF38" s="565"/>
      <c r="AG38" s="565"/>
      <c r="AH38" s="590"/>
      <c r="AI38" s="601"/>
      <c r="AJ38" s="565"/>
      <c r="AK38" s="565"/>
      <c r="AL38" s="590"/>
      <c r="AM38" s="601"/>
      <c r="AN38" s="565"/>
      <c r="AO38" s="565"/>
      <c r="AP38" s="590"/>
      <c r="AQ38" s="601"/>
      <c r="AR38" s="565"/>
      <c r="AS38" s="565"/>
      <c r="AT38" s="590"/>
      <c r="AU38" s="649"/>
      <c r="AV38" s="652"/>
      <c r="AW38" s="652"/>
      <c r="AX38" s="653"/>
      <c r="AY38" s="649"/>
      <c r="AZ38" s="652"/>
      <c r="BA38" s="652"/>
      <c r="BB38" s="653"/>
      <c r="BC38" s="649"/>
      <c r="BD38" s="652"/>
      <c r="BE38" s="652"/>
      <c r="BF38" s="653"/>
      <c r="BG38" s="649"/>
      <c r="BH38" s="652"/>
      <c r="BI38" s="652"/>
      <c r="BJ38" s="653"/>
      <c r="BK38" s="649"/>
      <c r="BL38" s="652"/>
      <c r="BM38" s="652"/>
      <c r="BN38" s="653"/>
      <c r="BO38" s="649"/>
      <c r="BP38" s="652"/>
      <c r="BQ38" s="652"/>
      <c r="BR38" s="653"/>
      <c r="BS38" s="601"/>
      <c r="BT38" s="565"/>
      <c r="BU38" s="565"/>
      <c r="BV38" s="590"/>
      <c r="BW38" s="601"/>
      <c r="BX38" s="565"/>
      <c r="BY38" s="565"/>
      <c r="BZ38" s="590"/>
      <c r="CA38" s="601"/>
      <c r="CB38" s="565"/>
      <c r="CC38" s="565"/>
      <c r="CD38" s="590"/>
      <c r="CE38" s="601"/>
      <c r="CF38" s="565"/>
      <c r="CG38" s="565"/>
      <c r="CH38" s="590"/>
      <c r="CI38" s="601"/>
      <c r="CJ38" s="565"/>
      <c r="CK38" s="565"/>
      <c r="CL38" s="590"/>
      <c r="CM38" s="601"/>
      <c r="CN38" s="565"/>
      <c r="CO38" s="565"/>
      <c r="CP38" s="590"/>
      <c r="CQ38" s="601"/>
      <c r="CR38" s="565"/>
      <c r="CS38" s="565"/>
      <c r="CT38" s="590"/>
      <c r="CU38" s="601"/>
      <c r="CV38" s="565"/>
      <c r="CW38" s="565"/>
      <c r="CX38" s="590"/>
      <c r="CY38" s="601"/>
      <c r="CZ38" s="565"/>
      <c r="DA38" s="565"/>
      <c r="DB38" s="590"/>
      <c r="DC38" s="601"/>
      <c r="DD38" s="565"/>
      <c r="DE38" s="565"/>
      <c r="DF38" s="590"/>
      <c r="DG38" s="601"/>
      <c r="DH38" s="565"/>
      <c r="DI38" s="565"/>
      <c r="DJ38" s="590"/>
      <c r="DK38" s="601"/>
      <c r="DL38" s="565"/>
      <c r="DM38" s="565"/>
      <c r="DN38" s="590"/>
      <c r="DO38" s="601"/>
      <c r="DP38" s="565"/>
      <c r="DQ38" s="565"/>
      <c r="DR38" s="590"/>
      <c r="DS38" s="601"/>
      <c r="DT38" s="565"/>
      <c r="DU38" s="565"/>
      <c r="DV38" s="590"/>
      <c r="DW38" s="601"/>
      <c r="DX38" s="565"/>
      <c r="DY38" s="565"/>
      <c r="DZ38" s="590"/>
      <c r="EA38" s="601"/>
      <c r="EB38" s="565"/>
      <c r="EC38" s="565"/>
      <c r="ED38" s="590"/>
      <c r="EE38" s="601"/>
      <c r="EF38" s="565"/>
      <c r="EG38" s="565"/>
      <c r="EH38" s="590"/>
      <c r="EI38" s="601"/>
      <c r="EJ38" s="565"/>
      <c r="EK38" s="565"/>
      <c r="EL38" s="590"/>
      <c r="EM38" s="601"/>
      <c r="EN38" s="565"/>
      <c r="EO38" s="565"/>
      <c r="EP38" s="590"/>
      <c r="EQ38" s="673"/>
      <c r="ER38" s="675"/>
      <c r="ES38" s="648"/>
      <c r="EV38" s="601"/>
      <c r="EW38" s="565"/>
      <c r="EX38" s="565"/>
      <c r="EY38" s="590"/>
      <c r="EZ38" s="601"/>
      <c r="FA38" s="565"/>
      <c r="FB38" s="565"/>
      <c r="FC38" s="590"/>
      <c r="FD38" s="601"/>
      <c r="FE38" s="565"/>
      <c r="FF38" s="565"/>
      <c r="FG38" s="590"/>
      <c r="FH38" s="601"/>
      <c r="FI38" s="565"/>
      <c r="FJ38" s="565"/>
      <c r="FK38" s="590"/>
      <c r="FL38" s="601"/>
      <c r="FM38" s="565"/>
      <c r="FN38" s="565"/>
      <c r="FO38" s="590"/>
      <c r="FP38" s="601"/>
      <c r="FQ38" s="565"/>
      <c r="FR38" s="565"/>
      <c r="FS38" s="590"/>
      <c r="FT38" s="601"/>
      <c r="FU38" s="565"/>
      <c r="FV38" s="565"/>
      <c r="FW38" s="590"/>
      <c r="FX38" s="601"/>
      <c r="FY38" s="565"/>
      <c r="FZ38" s="565"/>
      <c r="GA38" s="590"/>
      <c r="GB38" s="601"/>
      <c r="GC38" s="565"/>
      <c r="GD38" s="565"/>
      <c r="GE38" s="590"/>
      <c r="GF38" s="601"/>
      <c r="GG38" s="565"/>
      <c r="GH38" s="565"/>
      <c r="GI38" s="590"/>
      <c r="GJ38" s="601"/>
      <c r="GK38" s="565"/>
      <c r="GL38" s="565"/>
      <c r="GM38" s="590"/>
      <c r="GN38" s="601"/>
      <c r="GO38" s="565"/>
      <c r="GP38" s="565"/>
      <c r="GQ38" s="590"/>
      <c r="GR38" s="601"/>
      <c r="GS38" s="565"/>
      <c r="GT38" s="565"/>
      <c r="GU38" s="590"/>
      <c r="GV38" s="649"/>
      <c r="GY38" s="1366"/>
      <c r="GZ38" s="649"/>
      <c r="HA38" s="652"/>
      <c r="HB38" s="652"/>
      <c r="HC38" s="1366"/>
      <c r="HD38" s="649"/>
      <c r="HE38" s="652"/>
      <c r="HF38" s="652"/>
      <c r="HG38" s="1366"/>
      <c r="HI38" s="601"/>
      <c r="HJ38" s="565"/>
      <c r="HK38" s="565"/>
      <c r="HL38" s="590"/>
      <c r="HM38" s="601"/>
      <c r="HN38" s="565"/>
      <c r="HO38" s="565"/>
      <c r="HP38" s="590"/>
      <c r="HQ38" s="601"/>
      <c r="HR38" s="565"/>
      <c r="HS38" s="565"/>
      <c r="HT38" s="590"/>
    </row>
    <row r="39" spans="1:228">
      <c r="A39" s="649" t="s">
        <v>24</v>
      </c>
      <c r="B39" s="670">
        <f t="shared" ref="B39:B72" si="0">+B37+1</f>
        <v>2006</v>
      </c>
      <c r="C39" s="671"/>
      <c r="D39" s="671"/>
      <c r="E39" s="671"/>
      <c r="F39" s="653"/>
      <c r="G39" s="671"/>
      <c r="H39" s="658"/>
      <c r="I39" s="671"/>
      <c r="J39" s="653"/>
      <c r="K39" s="676"/>
      <c r="L39" s="671"/>
      <c r="M39" s="671"/>
      <c r="N39" s="653"/>
      <c r="O39" s="672"/>
      <c r="P39" s="658"/>
      <c r="Q39" s="671"/>
      <c r="R39" s="653"/>
      <c r="S39" s="589"/>
      <c r="T39" s="606"/>
      <c r="U39" s="564"/>
      <c r="V39" s="653"/>
      <c r="W39" s="589"/>
      <c r="X39" s="606"/>
      <c r="Y39" s="564"/>
      <c r="Z39" s="653"/>
      <c r="AA39" s="589"/>
      <c r="AB39" s="606"/>
      <c r="AC39" s="564"/>
      <c r="AD39" s="653"/>
      <c r="AE39" s="589"/>
      <c r="AF39" s="606"/>
      <c r="AG39" s="564"/>
      <c r="AH39" s="653"/>
      <c r="AI39" s="589"/>
      <c r="AJ39" s="606"/>
      <c r="AK39" s="564"/>
      <c r="AL39" s="653"/>
      <c r="AM39" s="589"/>
      <c r="AN39" s="606"/>
      <c r="AO39" s="564"/>
      <c r="AP39" s="653"/>
      <c r="AQ39" s="589"/>
      <c r="AR39" s="606"/>
      <c r="AS39" s="564"/>
      <c r="AT39" s="653"/>
      <c r="AU39" s="672"/>
      <c r="AV39" s="658"/>
      <c r="AW39" s="671"/>
      <c r="AX39" s="653"/>
      <c r="AY39" s="672"/>
      <c r="AZ39" s="658"/>
      <c r="BA39" s="671"/>
      <c r="BB39" s="653"/>
      <c r="BC39" s="672"/>
      <c r="BD39" s="658"/>
      <c r="BE39" s="671"/>
      <c r="BF39" s="653"/>
      <c r="BG39" s="672"/>
      <c r="BH39" s="658"/>
      <c r="BI39" s="671"/>
      <c r="BJ39" s="653"/>
      <c r="BK39" s="672"/>
      <c r="BL39" s="658"/>
      <c r="BM39" s="671"/>
      <c r="BN39" s="653"/>
      <c r="BO39" s="672"/>
      <c r="BP39" s="658"/>
      <c r="BQ39" s="671"/>
      <c r="BR39" s="653"/>
      <c r="BS39" s="589"/>
      <c r="BT39" s="606"/>
      <c r="BU39" s="564"/>
      <c r="BV39" s="653"/>
      <c r="BW39" s="589"/>
      <c r="BX39" s="606"/>
      <c r="BY39" s="564"/>
      <c r="BZ39" s="653"/>
      <c r="CA39" s="589"/>
      <c r="CB39" s="606"/>
      <c r="CC39" s="564"/>
      <c r="CD39" s="653"/>
      <c r="CE39" s="589"/>
      <c r="CF39" s="606"/>
      <c r="CG39" s="564"/>
      <c r="CH39" s="653"/>
      <c r="CI39" s="589"/>
      <c r="CJ39" s="606"/>
      <c r="CK39" s="564"/>
      <c r="CL39" s="653"/>
      <c r="CM39" s="589"/>
      <c r="CN39" s="606"/>
      <c r="CO39" s="564"/>
      <c r="CP39" s="653"/>
      <c r="CQ39" s="589"/>
      <c r="CR39" s="606"/>
      <c r="CS39" s="564"/>
      <c r="CT39" s="653"/>
      <c r="CU39" s="589"/>
      <c r="CV39" s="606"/>
      <c r="CW39" s="564"/>
      <c r="CX39" s="653"/>
      <c r="CY39" s="589"/>
      <c r="CZ39" s="606"/>
      <c r="DA39" s="564"/>
      <c r="DB39" s="653"/>
      <c r="DC39" s="589"/>
      <c r="DD39" s="606"/>
      <c r="DE39" s="564"/>
      <c r="DF39" s="653"/>
      <c r="DG39" s="589"/>
      <c r="DH39" s="606"/>
      <c r="DI39" s="564"/>
      <c r="DJ39" s="653"/>
      <c r="DK39" s="589"/>
      <c r="DL39" s="606"/>
      <c r="DM39" s="564"/>
      <c r="DN39" s="653"/>
      <c r="DO39" s="589"/>
      <c r="DP39" s="606"/>
      <c r="DQ39" s="564"/>
      <c r="DR39" s="590"/>
      <c r="DS39" s="589"/>
      <c r="DT39" s="606"/>
      <c r="DU39" s="564"/>
      <c r="DV39" s="590"/>
      <c r="DW39" s="589"/>
      <c r="DX39" s="606"/>
      <c r="DY39" s="564"/>
      <c r="DZ39" s="590"/>
      <c r="EA39" s="589"/>
      <c r="EB39" s="606"/>
      <c r="EC39" s="564"/>
      <c r="ED39" s="590"/>
      <c r="EE39" s="589"/>
      <c r="EF39" s="606"/>
      <c r="EG39" s="564"/>
      <c r="EH39" s="590"/>
      <c r="EI39" s="589"/>
      <c r="EJ39" s="606"/>
      <c r="EK39" s="564"/>
      <c r="EL39" s="590"/>
      <c r="EM39" s="589"/>
      <c r="EN39" s="606"/>
      <c r="EO39" s="564"/>
      <c r="EP39" s="590"/>
      <c r="EQ39" s="673"/>
      <c r="ER39" s="652"/>
      <c r="ES39" s="674"/>
      <c r="EV39" s="589"/>
      <c r="EW39" s="606"/>
      <c r="EX39" s="564"/>
      <c r="EY39" s="590"/>
      <c r="EZ39" s="589"/>
      <c r="FA39" s="606"/>
      <c r="FB39" s="564"/>
      <c r="FC39" s="590"/>
      <c r="FD39" s="589"/>
      <c r="FE39" s="606"/>
      <c r="FF39" s="564"/>
      <c r="FG39" s="590"/>
      <c r="FH39" s="589"/>
      <c r="FI39" s="606"/>
      <c r="FJ39" s="564"/>
      <c r="FK39" s="590"/>
      <c r="FL39" s="589"/>
      <c r="FM39" s="606"/>
      <c r="FN39" s="564"/>
      <c r="FO39" s="590"/>
      <c r="FP39" s="589"/>
      <c r="FQ39" s="606"/>
      <c r="FR39" s="564"/>
      <c r="FS39" s="590"/>
      <c r="FT39" s="589"/>
      <c r="FU39" s="606"/>
      <c r="FV39" s="564"/>
      <c r="FW39" s="590"/>
      <c r="FX39" s="589"/>
      <c r="FY39" s="606"/>
      <c r="FZ39" s="564"/>
      <c r="GA39" s="590"/>
      <c r="GB39" s="589"/>
      <c r="GC39" s="606"/>
      <c r="GD39" s="564"/>
      <c r="GE39" s="590"/>
      <c r="GF39" s="589"/>
      <c r="GG39" s="606"/>
      <c r="GH39" s="564"/>
      <c r="GI39" s="590"/>
      <c r="GJ39" s="589"/>
      <c r="GK39" s="606"/>
      <c r="GL39" s="564"/>
      <c r="GM39" s="590"/>
      <c r="GN39" s="589"/>
      <c r="GO39" s="606"/>
      <c r="GP39" s="564"/>
      <c r="GQ39" s="590"/>
      <c r="GR39" s="589"/>
      <c r="GS39" s="606"/>
      <c r="GT39" s="564"/>
      <c r="GU39" s="590"/>
      <c r="GV39" s="672"/>
      <c r="GW39" s="1355"/>
      <c r="GX39" s="676"/>
      <c r="GY39" s="1366"/>
      <c r="GZ39" s="672"/>
      <c r="HA39" s="1373"/>
      <c r="HB39" s="671"/>
      <c r="HC39" s="1366"/>
      <c r="HD39" s="672"/>
      <c r="HE39" s="1373"/>
      <c r="HF39" s="671"/>
      <c r="HG39" s="1366"/>
      <c r="HI39" s="589"/>
      <c r="HJ39" s="606"/>
      <c r="HK39" s="564"/>
      <c r="HL39" s="590"/>
      <c r="HM39" s="589"/>
      <c r="HN39" s="606"/>
      <c r="HO39" s="564"/>
      <c r="HP39" s="590"/>
      <c r="HQ39" s="589"/>
      <c r="HR39" s="606"/>
      <c r="HS39" s="564"/>
      <c r="HT39" s="590"/>
    </row>
    <row r="40" spans="1:228">
      <c r="A40" s="649" t="s">
        <v>23</v>
      </c>
      <c r="B40" s="670">
        <f t="shared" si="0"/>
        <v>2006</v>
      </c>
      <c r="C40" s="671"/>
      <c r="D40" s="671"/>
      <c r="E40" s="671"/>
      <c r="F40" s="653"/>
      <c r="G40" s="671"/>
      <c r="H40" s="658"/>
      <c r="I40" s="671"/>
      <c r="J40" s="653"/>
      <c r="K40" s="676"/>
      <c r="L40" s="671"/>
      <c r="M40" s="671"/>
      <c r="N40" s="653"/>
      <c r="O40" s="672"/>
      <c r="P40" s="658"/>
      <c r="Q40" s="671"/>
      <c r="R40" s="653"/>
      <c r="S40" s="589"/>
      <c r="T40" s="606"/>
      <c r="U40" s="564"/>
      <c r="V40" s="590"/>
      <c r="W40" s="589"/>
      <c r="X40" s="606"/>
      <c r="Y40" s="564"/>
      <c r="Z40" s="590"/>
      <c r="AA40" s="589"/>
      <c r="AB40" s="606"/>
      <c r="AC40" s="564"/>
      <c r="AD40" s="590"/>
      <c r="AE40" s="589"/>
      <c r="AF40" s="606"/>
      <c r="AG40" s="564"/>
      <c r="AH40" s="590"/>
      <c r="AI40" s="589"/>
      <c r="AJ40" s="606"/>
      <c r="AK40" s="564"/>
      <c r="AL40" s="590"/>
      <c r="AM40" s="589"/>
      <c r="AN40" s="606"/>
      <c r="AO40" s="564"/>
      <c r="AP40" s="590"/>
      <c r="AQ40" s="589"/>
      <c r="AR40" s="606"/>
      <c r="AS40" s="564"/>
      <c r="AT40" s="590"/>
      <c r="AU40" s="672"/>
      <c r="AV40" s="658"/>
      <c r="AW40" s="671"/>
      <c r="AX40" s="653"/>
      <c r="AY40" s="672"/>
      <c r="AZ40" s="658"/>
      <c r="BA40" s="671"/>
      <c r="BB40" s="653"/>
      <c r="BC40" s="672"/>
      <c r="BD40" s="658"/>
      <c r="BE40" s="671"/>
      <c r="BF40" s="653"/>
      <c r="BG40" s="672"/>
      <c r="BH40" s="658"/>
      <c r="BI40" s="671"/>
      <c r="BJ40" s="653"/>
      <c r="BK40" s="672"/>
      <c r="BL40" s="658"/>
      <c r="BM40" s="671"/>
      <c r="BN40" s="653"/>
      <c r="BO40" s="672"/>
      <c r="BP40" s="658"/>
      <c r="BQ40" s="671"/>
      <c r="BR40" s="653"/>
      <c r="BS40" s="589"/>
      <c r="BT40" s="606"/>
      <c r="BU40" s="564"/>
      <c r="BV40" s="590"/>
      <c r="BW40" s="589"/>
      <c r="BX40" s="606"/>
      <c r="BY40" s="564"/>
      <c r="BZ40" s="590"/>
      <c r="CA40" s="589"/>
      <c r="CB40" s="606"/>
      <c r="CC40" s="564"/>
      <c r="CD40" s="590"/>
      <c r="CE40" s="589"/>
      <c r="CF40" s="606"/>
      <c r="CG40" s="564"/>
      <c r="CH40" s="590"/>
      <c r="CI40" s="589"/>
      <c r="CJ40" s="606"/>
      <c r="CK40" s="564"/>
      <c r="CL40" s="590"/>
      <c r="CM40" s="589"/>
      <c r="CN40" s="606"/>
      <c r="CO40" s="564"/>
      <c r="CP40" s="590"/>
      <c r="CQ40" s="589"/>
      <c r="CR40" s="606"/>
      <c r="CS40" s="564"/>
      <c r="CT40" s="590"/>
      <c r="CU40" s="589"/>
      <c r="CV40" s="606"/>
      <c r="CW40" s="564"/>
      <c r="CX40" s="590"/>
      <c r="CY40" s="589"/>
      <c r="CZ40" s="606"/>
      <c r="DA40" s="564"/>
      <c r="DB40" s="590"/>
      <c r="DC40" s="589"/>
      <c r="DD40" s="606"/>
      <c r="DE40" s="564"/>
      <c r="DF40" s="590"/>
      <c r="DG40" s="589"/>
      <c r="DH40" s="606"/>
      <c r="DI40" s="564"/>
      <c r="DJ40" s="590"/>
      <c r="DK40" s="589"/>
      <c r="DL40" s="606"/>
      <c r="DM40" s="564"/>
      <c r="DN40" s="590"/>
      <c r="DO40" s="589"/>
      <c r="DP40" s="606"/>
      <c r="DQ40" s="564"/>
      <c r="DR40" s="590"/>
      <c r="DS40" s="589"/>
      <c r="DT40" s="606"/>
      <c r="DU40" s="564"/>
      <c r="DV40" s="590"/>
      <c r="DW40" s="589"/>
      <c r="DX40" s="606"/>
      <c r="DY40" s="564"/>
      <c r="DZ40" s="590"/>
      <c r="EA40" s="589"/>
      <c r="EB40" s="606"/>
      <c r="EC40" s="564"/>
      <c r="ED40" s="590"/>
      <c r="EE40" s="589"/>
      <c r="EF40" s="606"/>
      <c r="EG40" s="564"/>
      <c r="EH40" s="590"/>
      <c r="EI40" s="589"/>
      <c r="EJ40" s="606"/>
      <c r="EK40" s="564"/>
      <c r="EL40" s="590"/>
      <c r="EM40" s="589"/>
      <c r="EN40" s="606"/>
      <c r="EO40" s="564"/>
      <c r="EP40" s="590"/>
      <c r="EQ40" s="673"/>
      <c r="ER40" s="675"/>
      <c r="ES40" s="648"/>
      <c r="ET40" s="677"/>
      <c r="EV40" s="589"/>
      <c r="EW40" s="606"/>
      <c r="EX40" s="564"/>
      <c r="EY40" s="590"/>
      <c r="EZ40" s="589"/>
      <c r="FA40" s="606"/>
      <c r="FB40" s="564"/>
      <c r="FC40" s="590"/>
      <c r="FD40" s="589"/>
      <c r="FE40" s="606"/>
      <c r="FF40" s="564"/>
      <c r="FG40" s="590"/>
      <c r="FH40" s="589"/>
      <c r="FI40" s="606"/>
      <c r="FJ40" s="564"/>
      <c r="FK40" s="590"/>
      <c r="FL40" s="589"/>
      <c r="FM40" s="606"/>
      <c r="FN40" s="564"/>
      <c r="FO40" s="590"/>
      <c r="FP40" s="589"/>
      <c r="FQ40" s="606"/>
      <c r="FR40" s="564"/>
      <c r="FS40" s="590"/>
      <c r="FT40" s="589"/>
      <c r="FU40" s="606"/>
      <c r="FV40" s="564"/>
      <c r="FW40" s="590"/>
      <c r="FX40" s="589"/>
      <c r="FY40" s="606"/>
      <c r="FZ40" s="564"/>
      <c r="GA40" s="590"/>
      <c r="GB40" s="589"/>
      <c r="GC40" s="606"/>
      <c r="GD40" s="564"/>
      <c r="GE40" s="590"/>
      <c r="GF40" s="589"/>
      <c r="GG40" s="606"/>
      <c r="GH40" s="564"/>
      <c r="GI40" s="590"/>
      <c r="GJ40" s="589"/>
      <c r="GK40" s="606"/>
      <c r="GL40" s="564"/>
      <c r="GM40" s="590"/>
      <c r="GN40" s="589"/>
      <c r="GO40" s="606"/>
      <c r="GP40" s="564"/>
      <c r="GQ40" s="590"/>
      <c r="GR40" s="589"/>
      <c r="GS40" s="606"/>
      <c r="GT40" s="564"/>
      <c r="GU40" s="590"/>
      <c r="GV40" s="672"/>
      <c r="GW40" s="1355"/>
      <c r="GX40" s="676"/>
      <c r="GY40" s="1366"/>
      <c r="GZ40" s="672"/>
      <c r="HA40" s="1373"/>
      <c r="HB40" s="671"/>
      <c r="HC40" s="1366"/>
      <c r="HD40" s="672"/>
      <c r="HE40" s="1373"/>
      <c r="HF40" s="671"/>
      <c r="HG40" s="1366"/>
      <c r="HI40" s="589"/>
      <c r="HJ40" s="606"/>
      <c r="HK40" s="564"/>
      <c r="HL40" s="590"/>
      <c r="HM40" s="589"/>
      <c r="HN40" s="606"/>
      <c r="HO40" s="564"/>
      <c r="HP40" s="590"/>
      <c r="HQ40" s="589"/>
      <c r="HR40" s="606"/>
      <c r="HS40" s="564"/>
      <c r="HT40" s="590"/>
    </row>
    <row r="41" spans="1:228">
      <c r="A41" s="649" t="s">
        <v>24</v>
      </c>
      <c r="B41" s="670">
        <f t="shared" si="0"/>
        <v>2007</v>
      </c>
      <c r="C41" s="671"/>
      <c r="D41" s="671"/>
      <c r="E41" s="671"/>
      <c r="F41" s="653"/>
      <c r="G41" s="671"/>
      <c r="H41" s="671"/>
      <c r="I41" s="671"/>
      <c r="J41" s="653"/>
      <c r="K41" s="671">
        <f>+K30</f>
        <v>13438469.49</v>
      </c>
      <c r="L41" s="671">
        <f>+K$31/12*(12-$K$32)</f>
        <v>76354.940284090917</v>
      </c>
      <c r="M41" s="671">
        <f>+K41-L41</f>
        <v>13362114.54971591</v>
      </c>
      <c r="N41" s="653">
        <f>+(((K$28*M41)*(12-K$32)/12))+L41</f>
        <v>460764.65632239456</v>
      </c>
      <c r="O41" s="672"/>
      <c r="P41" s="658"/>
      <c r="Q41" s="671"/>
      <c r="R41" s="653"/>
      <c r="S41" s="589"/>
      <c r="T41" s="606"/>
      <c r="U41" s="564"/>
      <c r="V41" s="590"/>
      <c r="W41" s="589"/>
      <c r="X41" s="606"/>
      <c r="Y41" s="564"/>
      <c r="Z41" s="590"/>
      <c r="AA41" s="589"/>
      <c r="AB41" s="606"/>
      <c r="AC41" s="564"/>
      <c r="AD41" s="590"/>
      <c r="AE41" s="589"/>
      <c r="AF41" s="606"/>
      <c r="AG41" s="564"/>
      <c r="AH41" s="590"/>
      <c r="AI41" s="589"/>
      <c r="AJ41" s="606"/>
      <c r="AK41" s="564"/>
      <c r="AL41" s="590"/>
      <c r="AM41" s="589"/>
      <c r="AN41" s="606"/>
      <c r="AO41" s="564"/>
      <c r="AP41" s="590"/>
      <c r="AQ41" s="589"/>
      <c r="AR41" s="606"/>
      <c r="AS41" s="564"/>
      <c r="AT41" s="590"/>
      <c r="AU41" s="672">
        <f>+AU$30</f>
        <v>30000000</v>
      </c>
      <c r="AV41" s="658">
        <f>+AU$31/12*(12-AU$32)</f>
        <v>125000</v>
      </c>
      <c r="AW41" s="671">
        <f t="shared" ref="AW41:AW76" si="1">+AU41-AV41</f>
        <v>29875000</v>
      </c>
      <c r="AX41" s="653">
        <f>+AU$28*AW41+AV41</f>
        <v>125000</v>
      </c>
      <c r="AY41" s="672">
        <f>+AY$30</f>
        <v>20000000</v>
      </c>
      <c r="AZ41" s="658">
        <f>+AY$31/12*(12-AY$32)</f>
        <v>416666.66666666663</v>
      </c>
      <c r="BA41" s="671">
        <f t="shared" ref="BA41:BA76" si="2">+AY41-AZ41</f>
        <v>19583333.333333332</v>
      </c>
      <c r="BB41" s="653">
        <f>+AY$28*BA41+AZ41</f>
        <v>416666.66666666663</v>
      </c>
      <c r="BC41" s="672"/>
      <c r="BD41" s="671"/>
      <c r="BE41" s="671"/>
      <c r="BF41" s="653"/>
      <c r="BG41" s="672"/>
      <c r="BH41" s="671"/>
      <c r="BI41" s="671"/>
      <c r="BJ41" s="653"/>
      <c r="BK41" s="672"/>
      <c r="BL41" s="671"/>
      <c r="BM41" s="671"/>
      <c r="BN41" s="653"/>
      <c r="BO41" s="672"/>
      <c r="BP41" s="671"/>
      <c r="BQ41" s="671"/>
      <c r="BR41" s="653"/>
      <c r="BS41" s="589"/>
      <c r="BT41" s="606"/>
      <c r="BU41" s="564"/>
      <c r="BV41" s="590"/>
      <c r="BW41" s="589"/>
      <c r="BX41" s="606"/>
      <c r="BY41" s="564"/>
      <c r="BZ41" s="590"/>
      <c r="CA41" s="589"/>
      <c r="CB41" s="606"/>
      <c r="CC41" s="564"/>
      <c r="CD41" s="590"/>
      <c r="CE41" s="589"/>
      <c r="CF41" s="606"/>
      <c r="CG41" s="564"/>
      <c r="CH41" s="590"/>
      <c r="CI41" s="589"/>
      <c r="CJ41" s="606"/>
      <c r="CK41" s="564"/>
      <c r="CL41" s="590"/>
      <c r="CM41" s="589"/>
      <c r="CN41" s="606"/>
      <c r="CO41" s="564"/>
      <c r="CP41" s="590"/>
      <c r="CQ41" s="589"/>
      <c r="CR41" s="606"/>
      <c r="CS41" s="564"/>
      <c r="CT41" s="590"/>
      <c r="CU41" s="589"/>
      <c r="CV41" s="606"/>
      <c r="CW41" s="564"/>
      <c r="CX41" s="590"/>
      <c r="CY41" s="589"/>
      <c r="CZ41" s="606"/>
      <c r="DA41" s="564"/>
      <c r="DB41" s="590"/>
      <c r="DC41" s="589"/>
      <c r="DD41" s="606"/>
      <c r="DE41" s="564"/>
      <c r="DF41" s="590"/>
      <c r="DG41" s="589"/>
      <c r="DH41" s="606"/>
      <c r="DI41" s="564"/>
      <c r="DJ41" s="590"/>
      <c r="DK41" s="589"/>
      <c r="DL41" s="606"/>
      <c r="DM41" s="564"/>
      <c r="DN41" s="590"/>
      <c r="DO41" s="589"/>
      <c r="DP41" s="606"/>
      <c r="DQ41" s="564"/>
      <c r="DR41" s="590"/>
      <c r="DS41" s="589"/>
      <c r="DT41" s="606"/>
      <c r="DU41" s="564"/>
      <c r="DV41" s="590"/>
      <c r="DW41" s="589"/>
      <c r="DX41" s="606"/>
      <c r="DY41" s="564"/>
      <c r="DZ41" s="590"/>
      <c r="EA41" s="589"/>
      <c r="EB41" s="606"/>
      <c r="EC41" s="564"/>
      <c r="ED41" s="590"/>
      <c r="EE41" s="589"/>
      <c r="EF41" s="606"/>
      <c r="EG41" s="564"/>
      <c r="EH41" s="590"/>
      <c r="EI41" s="589"/>
      <c r="EJ41" s="606"/>
      <c r="EK41" s="564"/>
      <c r="EL41" s="590"/>
      <c r="EM41" s="589"/>
      <c r="EN41" s="606"/>
      <c r="EO41" s="564"/>
      <c r="EP41" s="590"/>
      <c r="EQ41" s="678">
        <f t="shared" ref="EQ41:EQ58" si="3">+R41+J41+F41+N41+V41+Z41+AD41+AH41+AL41+AP41+AT41+BV41+BZ41+CD41+CH41+CL41+CP41+CT41+CX41</f>
        <v>460764.65632239456</v>
      </c>
      <c r="ER41" s="652"/>
      <c r="ES41" s="674">
        <f>+EQ41</f>
        <v>460764.65632239456</v>
      </c>
      <c r="ET41" s="677"/>
      <c r="EV41" s="589"/>
      <c r="EW41" s="606"/>
      <c r="EX41" s="564"/>
      <c r="EY41" s="590"/>
      <c r="EZ41" s="589"/>
      <c r="FA41" s="606"/>
      <c r="FB41" s="564"/>
      <c r="FC41" s="590"/>
      <c r="FD41" s="589"/>
      <c r="FE41" s="606"/>
      <c r="FF41" s="564"/>
      <c r="FG41" s="590"/>
      <c r="FH41" s="589"/>
      <c r="FI41" s="606"/>
      <c r="FJ41" s="564"/>
      <c r="FK41" s="590"/>
      <c r="FL41" s="589"/>
      <c r="FM41" s="606"/>
      <c r="FN41" s="564"/>
      <c r="FO41" s="590"/>
      <c r="FP41" s="589"/>
      <c r="FQ41" s="606"/>
      <c r="FR41" s="564"/>
      <c r="FS41" s="590"/>
      <c r="FT41" s="589"/>
      <c r="FU41" s="606"/>
      <c r="FV41" s="564"/>
      <c r="FW41" s="590"/>
      <c r="FX41" s="589"/>
      <c r="FY41" s="606"/>
      <c r="FZ41" s="564"/>
      <c r="GA41" s="590"/>
      <c r="GB41" s="589"/>
      <c r="GC41" s="606"/>
      <c r="GD41" s="564"/>
      <c r="GE41" s="590"/>
      <c r="GF41" s="589"/>
      <c r="GG41" s="606"/>
      <c r="GH41" s="564"/>
      <c r="GI41" s="590"/>
      <c r="GJ41" s="589"/>
      <c r="GK41" s="606"/>
      <c r="GL41" s="564"/>
      <c r="GM41" s="590"/>
      <c r="GN41" s="589"/>
      <c r="GO41" s="606"/>
      <c r="GP41" s="564"/>
      <c r="GQ41" s="590"/>
      <c r="GR41" s="589"/>
      <c r="GS41" s="606"/>
      <c r="GT41" s="564"/>
      <c r="GU41" s="590"/>
      <c r="GV41" s="672"/>
      <c r="GW41" s="1355"/>
      <c r="GX41" s="676"/>
      <c r="GY41" s="1366"/>
      <c r="GZ41" s="672"/>
      <c r="HA41" s="1373"/>
      <c r="HB41" s="671"/>
      <c r="HC41" s="1366"/>
      <c r="HD41" s="672"/>
      <c r="HE41" s="1373"/>
      <c r="HF41" s="671"/>
      <c r="HG41" s="1366"/>
      <c r="HI41" s="589"/>
      <c r="HJ41" s="606"/>
      <c r="HK41" s="564"/>
      <c r="HL41" s="590"/>
      <c r="HM41" s="589"/>
      <c r="HN41" s="606"/>
      <c r="HO41" s="564"/>
      <c r="HP41" s="590"/>
      <c r="HQ41" s="589"/>
      <c r="HR41" s="606"/>
      <c r="HS41" s="564"/>
      <c r="HT41" s="590"/>
    </row>
    <row r="42" spans="1:228">
      <c r="A42" s="649" t="s">
        <v>23</v>
      </c>
      <c r="B42" s="670">
        <f t="shared" si="0"/>
        <v>2007</v>
      </c>
      <c r="C42" s="671"/>
      <c r="D42" s="671"/>
      <c r="E42" s="671"/>
      <c r="F42" s="653"/>
      <c r="G42" s="671"/>
      <c r="H42" s="671"/>
      <c r="I42" s="671"/>
      <c r="J42" s="653"/>
      <c r="K42" s="671">
        <f>+K41</f>
        <v>13438469.49</v>
      </c>
      <c r="L42" s="671">
        <f>+L41</f>
        <v>76354.940284090917</v>
      </c>
      <c r="M42" s="671">
        <f>+K42-L42</f>
        <v>13362114.54971591</v>
      </c>
      <c r="N42" s="653">
        <f>+(((K$29*M42)*(12-K$32)/12))+L42</f>
        <v>481152.25481063238</v>
      </c>
      <c r="O42" s="672"/>
      <c r="P42" s="658"/>
      <c r="Q42" s="671"/>
      <c r="R42" s="653"/>
      <c r="S42" s="589"/>
      <c r="T42" s="606"/>
      <c r="U42" s="564"/>
      <c r="V42" s="590"/>
      <c r="W42" s="589"/>
      <c r="X42" s="606"/>
      <c r="Y42" s="564"/>
      <c r="Z42" s="590"/>
      <c r="AA42" s="589"/>
      <c r="AB42" s="606"/>
      <c r="AC42" s="564"/>
      <c r="AD42" s="590"/>
      <c r="AE42" s="589"/>
      <c r="AF42" s="606"/>
      <c r="AG42" s="564"/>
      <c r="AH42" s="590"/>
      <c r="AI42" s="589"/>
      <c r="AJ42" s="606"/>
      <c r="AK42" s="564"/>
      <c r="AL42" s="590"/>
      <c r="AM42" s="589"/>
      <c r="AN42" s="606"/>
      <c r="AO42" s="564"/>
      <c r="AP42" s="590"/>
      <c r="AQ42" s="589"/>
      <c r="AR42" s="606"/>
      <c r="AS42" s="564"/>
      <c r="AT42" s="590"/>
      <c r="AU42" s="672">
        <f>+AU41</f>
        <v>30000000</v>
      </c>
      <c r="AV42" s="658">
        <f>+AV41</f>
        <v>125000</v>
      </c>
      <c r="AW42" s="671">
        <f t="shared" si="1"/>
        <v>29875000</v>
      </c>
      <c r="AX42" s="653">
        <f>+AU$29*AW42+AV42</f>
        <v>125000</v>
      </c>
      <c r="AY42" s="672">
        <f>+AY41</f>
        <v>20000000</v>
      </c>
      <c r="AZ42" s="658">
        <f>+AZ41</f>
        <v>416666.66666666663</v>
      </c>
      <c r="BA42" s="671">
        <f t="shared" si="2"/>
        <v>19583333.333333332</v>
      </c>
      <c r="BB42" s="653">
        <f>+AY$29*BA42+AZ42</f>
        <v>416666.66666666663</v>
      </c>
      <c r="BC42" s="672"/>
      <c r="BD42" s="671"/>
      <c r="BE42" s="671"/>
      <c r="BF42" s="653"/>
      <c r="BG42" s="672"/>
      <c r="BH42" s="671"/>
      <c r="BI42" s="671"/>
      <c r="BJ42" s="653"/>
      <c r="BK42" s="672"/>
      <c r="BL42" s="671"/>
      <c r="BM42" s="671"/>
      <c r="BN42" s="653"/>
      <c r="BO42" s="672"/>
      <c r="BP42" s="671"/>
      <c r="BQ42" s="671"/>
      <c r="BR42" s="653"/>
      <c r="BS42" s="589"/>
      <c r="BT42" s="606"/>
      <c r="BU42" s="564"/>
      <c r="BV42" s="590"/>
      <c r="BW42" s="589"/>
      <c r="BX42" s="606"/>
      <c r="BY42" s="564"/>
      <c r="BZ42" s="590"/>
      <c r="CA42" s="589"/>
      <c r="CB42" s="606"/>
      <c r="CC42" s="564"/>
      <c r="CD42" s="590"/>
      <c r="CE42" s="589"/>
      <c r="CF42" s="606"/>
      <c r="CG42" s="564"/>
      <c r="CH42" s="590"/>
      <c r="CI42" s="589"/>
      <c r="CJ42" s="606"/>
      <c r="CK42" s="564"/>
      <c r="CL42" s="590"/>
      <c r="CM42" s="589"/>
      <c r="CN42" s="606"/>
      <c r="CO42" s="564"/>
      <c r="CP42" s="590"/>
      <c r="CQ42" s="589"/>
      <c r="CR42" s="606"/>
      <c r="CS42" s="564"/>
      <c r="CT42" s="590"/>
      <c r="CU42" s="589"/>
      <c r="CV42" s="606"/>
      <c r="CW42" s="564"/>
      <c r="CX42" s="590"/>
      <c r="CY42" s="589"/>
      <c r="CZ42" s="606"/>
      <c r="DA42" s="564"/>
      <c r="DB42" s="590"/>
      <c r="DC42" s="589"/>
      <c r="DD42" s="606"/>
      <c r="DE42" s="564"/>
      <c r="DF42" s="590"/>
      <c r="DG42" s="589"/>
      <c r="DH42" s="606"/>
      <c r="DI42" s="564"/>
      <c r="DJ42" s="590"/>
      <c r="DK42" s="589"/>
      <c r="DL42" s="606"/>
      <c r="DM42" s="564"/>
      <c r="DN42" s="590"/>
      <c r="DO42" s="589"/>
      <c r="DP42" s="606"/>
      <c r="DQ42" s="564"/>
      <c r="DR42" s="590"/>
      <c r="DS42" s="589"/>
      <c r="DT42" s="606"/>
      <c r="DU42" s="564"/>
      <c r="DV42" s="590"/>
      <c r="DW42" s="589"/>
      <c r="DX42" s="606"/>
      <c r="DY42" s="564"/>
      <c r="DZ42" s="590"/>
      <c r="EA42" s="589"/>
      <c r="EB42" s="606"/>
      <c r="EC42" s="564"/>
      <c r="ED42" s="590"/>
      <c r="EE42" s="589"/>
      <c r="EF42" s="606"/>
      <c r="EG42" s="564"/>
      <c r="EH42" s="590"/>
      <c r="EI42" s="589"/>
      <c r="EJ42" s="606"/>
      <c r="EK42" s="564"/>
      <c r="EL42" s="590"/>
      <c r="EM42" s="589"/>
      <c r="EN42" s="606"/>
      <c r="EO42" s="564"/>
      <c r="EP42" s="590"/>
      <c r="EQ42" s="678">
        <f t="shared" si="3"/>
        <v>481152.25481063238</v>
      </c>
      <c r="ER42" s="675">
        <f>+EQ42</f>
        <v>481152.25481063238</v>
      </c>
      <c r="ES42" s="648"/>
      <c r="ET42" s="677"/>
      <c r="EV42" s="589"/>
      <c r="EW42" s="606"/>
      <c r="EX42" s="564"/>
      <c r="EY42" s="590"/>
      <c r="EZ42" s="589"/>
      <c r="FA42" s="606"/>
      <c r="FB42" s="564"/>
      <c r="FC42" s="590"/>
      <c r="FD42" s="589"/>
      <c r="FE42" s="606"/>
      <c r="FF42" s="564"/>
      <c r="FG42" s="590"/>
      <c r="FH42" s="589"/>
      <c r="FI42" s="606"/>
      <c r="FJ42" s="564"/>
      <c r="FK42" s="590"/>
      <c r="FL42" s="589"/>
      <c r="FM42" s="606"/>
      <c r="FN42" s="564"/>
      <c r="FO42" s="590"/>
      <c r="FP42" s="589"/>
      <c r="FQ42" s="606"/>
      <c r="FR42" s="564"/>
      <c r="FS42" s="590"/>
      <c r="FT42" s="589"/>
      <c r="FU42" s="606"/>
      <c r="FV42" s="564"/>
      <c r="FW42" s="590"/>
      <c r="FX42" s="589"/>
      <c r="FY42" s="606"/>
      <c r="FZ42" s="564"/>
      <c r="GA42" s="590"/>
      <c r="GB42" s="589"/>
      <c r="GC42" s="606"/>
      <c r="GD42" s="564"/>
      <c r="GE42" s="590"/>
      <c r="GF42" s="589"/>
      <c r="GG42" s="606"/>
      <c r="GH42" s="564"/>
      <c r="GI42" s="590"/>
      <c r="GJ42" s="589"/>
      <c r="GK42" s="606"/>
      <c r="GL42" s="564"/>
      <c r="GM42" s="590"/>
      <c r="GN42" s="589"/>
      <c r="GO42" s="606"/>
      <c r="GP42" s="564"/>
      <c r="GQ42" s="590"/>
      <c r="GR42" s="589"/>
      <c r="GS42" s="606"/>
      <c r="GT42" s="564"/>
      <c r="GU42" s="590"/>
      <c r="GV42" s="672"/>
      <c r="GW42" s="1355"/>
      <c r="GX42" s="676"/>
      <c r="GY42" s="1366"/>
      <c r="GZ42" s="672"/>
      <c r="HA42" s="1373"/>
      <c r="HB42" s="671"/>
      <c r="HC42" s="1366"/>
      <c r="HD42" s="672"/>
      <c r="HE42" s="1373"/>
      <c r="HF42" s="671"/>
      <c r="HG42" s="1366"/>
      <c r="HI42" s="589"/>
      <c r="HJ42" s="606"/>
      <c r="HK42" s="564"/>
      <c r="HL42" s="590"/>
      <c r="HM42" s="589"/>
      <c r="HN42" s="606"/>
      <c r="HO42" s="564"/>
      <c r="HP42" s="590"/>
      <c r="HQ42" s="589"/>
      <c r="HR42" s="606"/>
      <c r="HS42" s="564"/>
      <c r="HT42" s="590"/>
    </row>
    <row r="43" spans="1:228">
      <c r="A43" s="649" t="s">
        <v>24</v>
      </c>
      <c r="B43" s="670">
        <f t="shared" si="0"/>
        <v>2008</v>
      </c>
      <c r="C43" s="671">
        <f>+C30</f>
        <v>19614847.300000001</v>
      </c>
      <c r="D43" s="671">
        <f>+C$31/12*(12-$C$32)</f>
        <v>111447.99602272728</v>
      </c>
      <c r="E43" s="671">
        <f>+C43-D43</f>
        <v>19503399.303977273</v>
      </c>
      <c r="F43" s="653">
        <f>+(((C$28*E43)*(12-C$32)/12))+D43</f>
        <v>672534.05469470238</v>
      </c>
      <c r="G43" s="671">
        <f>+G30</f>
        <v>5096992.9800000004</v>
      </c>
      <c r="H43" s="671">
        <f>+G$31/12*(12-$G$32)</f>
        <v>57920.374772727271</v>
      </c>
      <c r="I43" s="671">
        <f>+G43-H43</f>
        <v>5039072.605227273</v>
      </c>
      <c r="J43" s="653">
        <f>+(((G$28*I43)*(12-G$32)/12))+H43</f>
        <v>347854.79526652471</v>
      </c>
      <c r="K43" s="671">
        <f>+M41</f>
        <v>13362114.54971591</v>
      </c>
      <c r="L43" s="671">
        <f>+K$31</f>
        <v>305419.76113636367</v>
      </c>
      <c r="M43" s="671">
        <f>+K43-L43</f>
        <v>13056694.788579546</v>
      </c>
      <c r="N43" s="653">
        <f>+K$28*M43+L43</f>
        <v>1807912.5941089331</v>
      </c>
      <c r="O43" s="671"/>
      <c r="P43" s="671"/>
      <c r="Q43" s="671"/>
      <c r="R43" s="653"/>
      <c r="S43" s="564">
        <f>+S30</f>
        <v>2565891.0399999996</v>
      </c>
      <c r="T43" s="564">
        <f>+S$31/12*(12-$S$32)</f>
        <v>48596.421212121204</v>
      </c>
      <c r="U43" s="564">
        <f>+S43-T43</f>
        <v>2517294.6187878782</v>
      </c>
      <c r="V43" s="590">
        <f>+(((S$28*U43)*(12-S$32)/12))+T43</f>
        <v>289993.47105594538</v>
      </c>
      <c r="W43" s="564"/>
      <c r="X43" s="564"/>
      <c r="Y43" s="564"/>
      <c r="Z43" s="590"/>
      <c r="AA43" s="564"/>
      <c r="AB43" s="564"/>
      <c r="AC43" s="564"/>
      <c r="AD43" s="590"/>
      <c r="AE43" s="564"/>
      <c r="AF43" s="564"/>
      <c r="AG43" s="564"/>
      <c r="AH43" s="590"/>
      <c r="AI43" s="564"/>
      <c r="AJ43" s="564"/>
      <c r="AK43" s="564"/>
      <c r="AL43" s="590"/>
      <c r="AM43" s="564"/>
      <c r="AN43" s="564"/>
      <c r="AO43" s="564"/>
      <c r="AP43" s="590"/>
      <c r="AQ43" s="564"/>
      <c r="AR43" s="564"/>
      <c r="AS43" s="564"/>
      <c r="AT43" s="590"/>
      <c r="AU43" s="672">
        <f>+AW42</f>
        <v>29875000</v>
      </c>
      <c r="AV43" s="671">
        <f>+AU$31</f>
        <v>750000</v>
      </c>
      <c r="AW43" s="671">
        <f t="shared" si="1"/>
        <v>29125000</v>
      </c>
      <c r="AX43" s="653">
        <f>+AU$28*AW43+AV43</f>
        <v>750000</v>
      </c>
      <c r="AY43" s="672">
        <f>+BA42</f>
        <v>19583333.333333332</v>
      </c>
      <c r="AZ43" s="671">
        <f>+AY$31</f>
        <v>500000</v>
      </c>
      <c r="BA43" s="671">
        <f t="shared" si="2"/>
        <v>19083333.333333332</v>
      </c>
      <c r="BB43" s="653">
        <f>+AY$28*BA43+AZ43</f>
        <v>500000</v>
      </c>
      <c r="BC43" s="672">
        <f>+BC$30</f>
        <v>30000000</v>
      </c>
      <c r="BD43" s="658">
        <f>+BC$31/12*(12-BC$32)</f>
        <v>500000</v>
      </c>
      <c r="BE43" s="671">
        <f t="shared" ref="BE43:BE76" si="4">+BC43-BD43</f>
        <v>29500000</v>
      </c>
      <c r="BF43" s="653">
        <f>+BC$28*BE43+BD43</f>
        <v>500000</v>
      </c>
      <c r="BG43" s="672">
        <f>+BG$30</f>
        <v>20000000</v>
      </c>
      <c r="BH43" s="658">
        <f>+BG$31/12*(12-BG$32)</f>
        <v>47619.047619047626</v>
      </c>
      <c r="BI43" s="671">
        <f t="shared" ref="BI43:BI76" si="5">+BG43-BH43</f>
        <v>19952380.952380951</v>
      </c>
      <c r="BJ43" s="653">
        <f>+BG$28*BI43+BH43</f>
        <v>47619.047619047626</v>
      </c>
      <c r="BK43" s="672"/>
      <c r="BL43" s="671"/>
      <c r="BM43" s="671"/>
      <c r="BN43" s="653"/>
      <c r="BO43" s="672"/>
      <c r="BP43" s="671"/>
      <c r="BQ43" s="671"/>
      <c r="BR43" s="653"/>
      <c r="BS43" s="564"/>
      <c r="BT43" s="564"/>
      <c r="BU43" s="564"/>
      <c r="BV43" s="590"/>
      <c r="BW43" s="564"/>
      <c r="BX43" s="564"/>
      <c r="BY43" s="564"/>
      <c r="BZ43" s="590"/>
      <c r="CA43" s="564"/>
      <c r="CB43" s="564"/>
      <c r="CC43" s="564"/>
      <c r="CD43" s="590"/>
      <c r="CE43" s="564"/>
      <c r="CF43" s="564"/>
      <c r="CG43" s="564"/>
      <c r="CH43" s="590"/>
      <c r="CI43" s="564"/>
      <c r="CJ43" s="564"/>
      <c r="CK43" s="564"/>
      <c r="CL43" s="590"/>
      <c r="CM43" s="564"/>
      <c r="CN43" s="564"/>
      <c r="CO43" s="564"/>
      <c r="CP43" s="590"/>
      <c r="CQ43" s="564"/>
      <c r="CR43" s="564"/>
      <c r="CS43" s="564"/>
      <c r="CT43" s="590"/>
      <c r="CU43" s="564"/>
      <c r="CV43" s="564"/>
      <c r="CW43" s="564"/>
      <c r="CX43" s="590"/>
      <c r="CY43" s="564"/>
      <c r="CZ43" s="564"/>
      <c r="DA43" s="564"/>
      <c r="DB43" s="590"/>
      <c r="DC43" s="564"/>
      <c r="DD43" s="564"/>
      <c r="DE43" s="564"/>
      <c r="DF43" s="590"/>
      <c r="DG43" s="564"/>
      <c r="DH43" s="564"/>
      <c r="DI43" s="564"/>
      <c r="DJ43" s="590"/>
      <c r="DK43" s="564"/>
      <c r="DL43" s="564"/>
      <c r="DM43" s="564"/>
      <c r="DN43" s="590"/>
      <c r="DO43" s="589"/>
      <c r="DP43" s="564"/>
      <c r="DQ43" s="564"/>
      <c r="DR43" s="590"/>
      <c r="DS43" s="589"/>
      <c r="DT43" s="564"/>
      <c r="DU43" s="564"/>
      <c r="DV43" s="590"/>
      <c r="DW43" s="589"/>
      <c r="DX43" s="564"/>
      <c r="DY43" s="564"/>
      <c r="DZ43" s="590"/>
      <c r="EA43" s="589"/>
      <c r="EB43" s="564"/>
      <c r="EC43" s="564"/>
      <c r="ED43" s="590"/>
      <c r="EE43" s="589"/>
      <c r="EF43" s="564"/>
      <c r="EG43" s="564"/>
      <c r="EH43" s="590"/>
      <c r="EI43" s="589"/>
      <c r="EJ43" s="564"/>
      <c r="EK43" s="564"/>
      <c r="EL43" s="590"/>
      <c r="EM43" s="589"/>
      <c r="EN43" s="564"/>
      <c r="EO43" s="564"/>
      <c r="EP43" s="590"/>
      <c r="EQ43" s="678">
        <f t="shared" si="3"/>
        <v>3118294.9151261058</v>
      </c>
      <c r="ER43" s="652"/>
      <c r="ES43" s="674">
        <f>+EQ43</f>
        <v>3118294.9151261058</v>
      </c>
      <c r="ET43" s="677"/>
      <c r="EV43" s="589"/>
      <c r="EW43" s="564"/>
      <c r="EX43" s="564"/>
      <c r="EY43" s="590"/>
      <c r="EZ43" s="589"/>
      <c r="FA43" s="564"/>
      <c r="FB43" s="564"/>
      <c r="FC43" s="590"/>
      <c r="FD43" s="589"/>
      <c r="FE43" s="564"/>
      <c r="FF43" s="564"/>
      <c r="FG43" s="590"/>
      <c r="FH43" s="589"/>
      <c r="FI43" s="564"/>
      <c r="FJ43" s="564"/>
      <c r="FK43" s="590"/>
      <c r="FL43" s="589"/>
      <c r="FM43" s="564"/>
      <c r="FN43" s="564"/>
      <c r="FO43" s="590"/>
      <c r="FP43" s="589"/>
      <c r="FQ43" s="564"/>
      <c r="FR43" s="564"/>
      <c r="FS43" s="590"/>
      <c r="FT43" s="589"/>
      <c r="FU43" s="564"/>
      <c r="FV43" s="564"/>
      <c r="FW43" s="590"/>
      <c r="FX43" s="589"/>
      <c r="FY43" s="564"/>
      <c r="FZ43" s="564"/>
      <c r="GA43" s="590"/>
      <c r="GB43" s="589"/>
      <c r="GC43" s="564"/>
      <c r="GD43" s="564"/>
      <c r="GE43" s="590"/>
      <c r="GF43" s="589"/>
      <c r="GG43" s="564"/>
      <c r="GH43" s="564"/>
      <c r="GI43" s="590"/>
      <c r="GJ43" s="589"/>
      <c r="GK43" s="564"/>
      <c r="GL43" s="564"/>
      <c r="GM43" s="590"/>
      <c r="GN43" s="589"/>
      <c r="GO43" s="564"/>
      <c r="GP43" s="564"/>
      <c r="GQ43" s="590"/>
      <c r="GR43" s="589"/>
      <c r="GS43" s="564"/>
      <c r="GT43" s="564"/>
      <c r="GU43" s="590"/>
      <c r="GV43" s="672"/>
      <c r="GW43" s="676"/>
      <c r="GX43" s="676"/>
      <c r="GY43" s="1366"/>
      <c r="GZ43" s="672"/>
      <c r="HA43" s="671"/>
      <c r="HB43" s="671"/>
      <c r="HC43" s="1366"/>
      <c r="HD43" s="672"/>
      <c r="HE43" s="671"/>
      <c r="HF43" s="671"/>
      <c r="HG43" s="1366"/>
      <c r="HI43" s="589"/>
      <c r="HJ43" s="564"/>
      <c r="HK43" s="564"/>
      <c r="HL43" s="590"/>
      <c r="HM43" s="589"/>
      <c r="HN43" s="564"/>
      <c r="HO43" s="564"/>
      <c r="HP43" s="590"/>
      <c r="HQ43" s="589"/>
      <c r="HR43" s="564"/>
      <c r="HS43" s="564"/>
      <c r="HT43" s="590"/>
    </row>
    <row r="44" spans="1:228">
      <c r="A44" s="649" t="s">
        <v>23</v>
      </c>
      <c r="B44" s="670">
        <f t="shared" si="0"/>
        <v>2008</v>
      </c>
      <c r="C44" s="671">
        <f>+C43</f>
        <v>19614847.300000001</v>
      </c>
      <c r="D44" s="671">
        <f>+D43</f>
        <v>111447.99602272728</v>
      </c>
      <c r="E44" s="671">
        <f>+C44-D44</f>
        <v>19503399.303977273</v>
      </c>
      <c r="F44" s="653">
        <f>+(((C$29*E44)*(12-C$32)/12))+D44</f>
        <v>702291.88027581293</v>
      </c>
      <c r="G44" s="671">
        <f>+G43</f>
        <v>5096992.9800000004</v>
      </c>
      <c r="H44" s="671">
        <f>+H43</f>
        <v>57920.374772727271</v>
      </c>
      <c r="I44" s="671">
        <f>+G44-H44</f>
        <v>5039072.605227273</v>
      </c>
      <c r="J44" s="653">
        <f>+(((G$29*I44)*(12-G$32)/12))+H44</f>
        <v>363231.79097273748</v>
      </c>
      <c r="K44" s="671">
        <f>+K43</f>
        <v>13362114.54971591</v>
      </c>
      <c r="L44" s="671">
        <f>+L43</f>
        <v>305419.76113636367</v>
      </c>
      <c r="M44" s="671">
        <f>+K44-L44</f>
        <v>13056694.788579546</v>
      </c>
      <c r="N44" s="653">
        <f>+K$29*M44+L44</f>
        <v>1887598.9790572459</v>
      </c>
      <c r="O44" s="671"/>
      <c r="P44" s="671"/>
      <c r="Q44" s="671"/>
      <c r="R44" s="653"/>
      <c r="S44" s="564">
        <f>+S43</f>
        <v>2565891.0399999996</v>
      </c>
      <c r="T44" s="564">
        <f>+T43</f>
        <v>48596.421212121204</v>
      </c>
      <c r="U44" s="564">
        <f>+S44-T44</f>
        <v>2517294.6187878782</v>
      </c>
      <c r="V44" s="590">
        <f>+(((S$29*U44)*(12-S$32)/12))+T44</f>
        <v>302796.23311716929</v>
      </c>
      <c r="W44" s="564"/>
      <c r="X44" s="564"/>
      <c r="Y44" s="564"/>
      <c r="Z44" s="590"/>
      <c r="AA44" s="564"/>
      <c r="AB44" s="564"/>
      <c r="AC44" s="564"/>
      <c r="AD44" s="590"/>
      <c r="AE44" s="564"/>
      <c r="AF44" s="564"/>
      <c r="AG44" s="564"/>
      <c r="AH44" s="590"/>
      <c r="AI44" s="564"/>
      <c r="AJ44" s="564"/>
      <c r="AK44" s="564"/>
      <c r="AL44" s="590"/>
      <c r="AM44" s="564"/>
      <c r="AN44" s="564"/>
      <c r="AO44" s="564"/>
      <c r="AP44" s="590"/>
      <c r="AQ44" s="564"/>
      <c r="AR44" s="564"/>
      <c r="AS44" s="564"/>
      <c r="AT44" s="590"/>
      <c r="AU44" s="672">
        <f>+AU43</f>
        <v>29875000</v>
      </c>
      <c r="AV44" s="671">
        <f>+AV43</f>
        <v>750000</v>
      </c>
      <c r="AW44" s="671">
        <f t="shared" si="1"/>
        <v>29125000</v>
      </c>
      <c r="AX44" s="653">
        <f>+AU$29*AW44+AV44</f>
        <v>750000</v>
      </c>
      <c r="AY44" s="672">
        <f>+AY43</f>
        <v>19583333.333333332</v>
      </c>
      <c r="AZ44" s="671">
        <f>+AZ43</f>
        <v>500000</v>
      </c>
      <c r="BA44" s="671">
        <f t="shared" si="2"/>
        <v>19083333.333333332</v>
      </c>
      <c r="BB44" s="653">
        <f>+AY$29*BA44+AZ44</f>
        <v>500000</v>
      </c>
      <c r="BC44" s="672">
        <f>+BC43</f>
        <v>30000000</v>
      </c>
      <c r="BD44" s="658">
        <f>+BD43</f>
        <v>500000</v>
      </c>
      <c r="BE44" s="671">
        <f t="shared" si="4"/>
        <v>29500000</v>
      </c>
      <c r="BF44" s="653">
        <f>+BC$29*BE44+BD44</f>
        <v>500000</v>
      </c>
      <c r="BG44" s="672">
        <f>+BG43</f>
        <v>20000000</v>
      </c>
      <c r="BH44" s="658">
        <f>+BH43</f>
        <v>47619.047619047626</v>
      </c>
      <c r="BI44" s="671">
        <f t="shared" si="5"/>
        <v>19952380.952380951</v>
      </c>
      <c r="BJ44" s="653">
        <f>+BG$29*BI44+BH44</f>
        <v>47619.047619047626</v>
      </c>
      <c r="BK44" s="672"/>
      <c r="BL44" s="671"/>
      <c r="BM44" s="671"/>
      <c r="BN44" s="653"/>
      <c r="BO44" s="672"/>
      <c r="BP44" s="671"/>
      <c r="BQ44" s="671"/>
      <c r="BR44" s="653"/>
      <c r="BS44" s="564"/>
      <c r="BT44" s="564"/>
      <c r="BU44" s="564"/>
      <c r="BV44" s="590"/>
      <c r="BW44" s="564"/>
      <c r="BX44" s="564"/>
      <c r="BY44" s="564"/>
      <c r="BZ44" s="590"/>
      <c r="CA44" s="564"/>
      <c r="CB44" s="564"/>
      <c r="CC44" s="564"/>
      <c r="CD44" s="590"/>
      <c r="CE44" s="564"/>
      <c r="CF44" s="564"/>
      <c r="CG44" s="564"/>
      <c r="CH44" s="590"/>
      <c r="CI44" s="564"/>
      <c r="CJ44" s="564"/>
      <c r="CK44" s="564"/>
      <c r="CL44" s="590"/>
      <c r="CM44" s="564"/>
      <c r="CN44" s="564"/>
      <c r="CO44" s="564"/>
      <c r="CP44" s="590"/>
      <c r="CQ44" s="564"/>
      <c r="CR44" s="564"/>
      <c r="CS44" s="564"/>
      <c r="CT44" s="590"/>
      <c r="CU44" s="564"/>
      <c r="CV44" s="564"/>
      <c r="CW44" s="564"/>
      <c r="CX44" s="590"/>
      <c r="CY44" s="564"/>
      <c r="CZ44" s="564"/>
      <c r="DA44" s="564"/>
      <c r="DB44" s="590"/>
      <c r="DC44" s="564"/>
      <c r="DD44" s="564"/>
      <c r="DE44" s="564"/>
      <c r="DF44" s="590"/>
      <c r="DG44" s="564"/>
      <c r="DH44" s="564"/>
      <c r="DI44" s="564"/>
      <c r="DJ44" s="590"/>
      <c r="DK44" s="564"/>
      <c r="DL44" s="564"/>
      <c r="DM44" s="564"/>
      <c r="DN44" s="590"/>
      <c r="DO44" s="589"/>
      <c r="DP44" s="564"/>
      <c r="DQ44" s="564"/>
      <c r="DR44" s="590"/>
      <c r="DS44" s="589"/>
      <c r="DT44" s="564"/>
      <c r="DU44" s="564"/>
      <c r="DV44" s="590"/>
      <c r="DW44" s="589"/>
      <c r="DX44" s="564"/>
      <c r="DY44" s="564"/>
      <c r="DZ44" s="590"/>
      <c r="EA44" s="589"/>
      <c r="EB44" s="564"/>
      <c r="EC44" s="564"/>
      <c r="ED44" s="590"/>
      <c r="EE44" s="589"/>
      <c r="EF44" s="564"/>
      <c r="EG44" s="564"/>
      <c r="EH44" s="590"/>
      <c r="EI44" s="589"/>
      <c r="EJ44" s="564"/>
      <c r="EK44" s="564"/>
      <c r="EL44" s="590"/>
      <c r="EM44" s="589"/>
      <c r="EN44" s="564"/>
      <c r="EO44" s="564"/>
      <c r="EP44" s="590"/>
      <c r="EQ44" s="678">
        <f t="shared" si="3"/>
        <v>3255918.8834229656</v>
      </c>
      <c r="ER44" s="675">
        <f>+EQ44</f>
        <v>3255918.8834229656</v>
      </c>
      <c r="ES44" s="648"/>
      <c r="ET44" s="677"/>
      <c r="EV44" s="589"/>
      <c r="EW44" s="564"/>
      <c r="EX44" s="564"/>
      <c r="EY44" s="590"/>
      <c r="EZ44" s="589"/>
      <c r="FA44" s="564"/>
      <c r="FB44" s="564"/>
      <c r="FC44" s="590"/>
      <c r="FD44" s="589"/>
      <c r="FE44" s="564"/>
      <c r="FF44" s="564"/>
      <c r="FG44" s="590"/>
      <c r="FH44" s="589"/>
      <c r="FI44" s="564"/>
      <c r="FJ44" s="564"/>
      <c r="FK44" s="590"/>
      <c r="FL44" s="589"/>
      <c r="FM44" s="564"/>
      <c r="FN44" s="564"/>
      <c r="FO44" s="590"/>
      <c r="FP44" s="589"/>
      <c r="FQ44" s="564"/>
      <c r="FR44" s="564"/>
      <c r="FS44" s="590"/>
      <c r="FT44" s="589"/>
      <c r="FU44" s="564"/>
      <c r="FV44" s="564"/>
      <c r="FW44" s="590"/>
      <c r="FX44" s="589"/>
      <c r="FY44" s="564"/>
      <c r="FZ44" s="564"/>
      <c r="GA44" s="590"/>
      <c r="GB44" s="589"/>
      <c r="GC44" s="564"/>
      <c r="GD44" s="564"/>
      <c r="GE44" s="590"/>
      <c r="GF44" s="589"/>
      <c r="GG44" s="564"/>
      <c r="GH44" s="564"/>
      <c r="GI44" s="590"/>
      <c r="GJ44" s="589"/>
      <c r="GK44" s="564"/>
      <c r="GL44" s="564"/>
      <c r="GM44" s="590"/>
      <c r="GN44" s="589"/>
      <c r="GO44" s="564"/>
      <c r="GP44" s="564"/>
      <c r="GQ44" s="590"/>
      <c r="GR44" s="589"/>
      <c r="GS44" s="564"/>
      <c r="GT44" s="564"/>
      <c r="GU44" s="590"/>
      <c r="GV44" s="672"/>
      <c r="GW44" s="676"/>
      <c r="GX44" s="676"/>
      <c r="GY44" s="1366"/>
      <c r="GZ44" s="672"/>
      <c r="HA44" s="671"/>
      <c r="HB44" s="671"/>
      <c r="HC44" s="1366"/>
      <c r="HD44" s="672"/>
      <c r="HE44" s="671"/>
      <c r="HF44" s="671"/>
      <c r="HG44" s="1366"/>
      <c r="HI44" s="589"/>
      <c r="HJ44" s="564"/>
      <c r="HK44" s="564"/>
      <c r="HL44" s="590"/>
      <c r="HM44" s="589"/>
      <c r="HN44" s="564"/>
      <c r="HO44" s="564"/>
      <c r="HP44" s="590"/>
      <c r="HQ44" s="589"/>
      <c r="HR44" s="564"/>
      <c r="HS44" s="564"/>
      <c r="HT44" s="590"/>
    </row>
    <row r="45" spans="1:228">
      <c r="A45" s="649" t="s">
        <v>24</v>
      </c>
      <c r="B45" s="670">
        <f t="shared" si="0"/>
        <v>2009</v>
      </c>
      <c r="C45" s="671">
        <f>+E44</f>
        <v>19503399.303977273</v>
      </c>
      <c r="D45" s="671">
        <f>+C$31</f>
        <v>445791.98409090913</v>
      </c>
      <c r="E45" s="671">
        <f t="shared" ref="E45:E108" si="6">+C45-D45</f>
        <v>19057607.319886364</v>
      </c>
      <c r="F45" s="653">
        <f>+C$28*E45+D45</f>
        <v>2638836.9219859429</v>
      </c>
      <c r="G45" s="671">
        <f>+I44</f>
        <v>5039072.605227273</v>
      </c>
      <c r="H45" s="671">
        <f>+G$31</f>
        <v>115840.74954545456</v>
      </c>
      <c r="I45" s="671">
        <f t="shared" ref="I45:I108" si="7">+G45-H45</f>
        <v>4923231.855681818</v>
      </c>
      <c r="J45" s="653">
        <f>+G$28*I45+H45</f>
        <v>682379.27234942652</v>
      </c>
      <c r="K45" s="671">
        <f>+M44</f>
        <v>13056694.788579546</v>
      </c>
      <c r="L45" s="671">
        <f>+K$31</f>
        <v>305419.76113636367</v>
      </c>
      <c r="M45" s="671">
        <f t="shared" ref="M45:M108" si="8">+K45-L45</f>
        <v>12751275.027443182</v>
      </c>
      <c r="N45" s="653">
        <f>+K$28*M45+L45</f>
        <v>1772766.5629282882</v>
      </c>
      <c r="O45" s="671">
        <f>+O30</f>
        <v>5249918</v>
      </c>
      <c r="P45" s="671">
        <f>+O$31/12*(12-$O$32)</f>
        <v>19886.053030303028</v>
      </c>
      <c r="Q45" s="671">
        <f>+O45-P45</f>
        <v>5230031.9469696973</v>
      </c>
      <c r="R45" s="653">
        <f>+(((O$28*Q45)*(12-O$32)/12))+P45</f>
        <v>120193.28549841674</v>
      </c>
      <c r="S45" s="589">
        <f>+U44</f>
        <v>2517294.6187878782</v>
      </c>
      <c r="T45" s="564">
        <f>+S$31</f>
        <v>58315.705454545445</v>
      </c>
      <c r="U45" s="564">
        <f>+S45-T45</f>
        <v>2458978.9133333326</v>
      </c>
      <c r="V45" s="590">
        <f>+S$28*U45+T45</f>
        <v>341281.51368846442</v>
      </c>
      <c r="W45" s="564">
        <f>+W30</f>
        <v>30504919</v>
      </c>
      <c r="X45" s="564">
        <f>+W$31/12*(12-$W$32)</f>
        <v>115548.93560606061</v>
      </c>
      <c r="Y45" s="564">
        <f>+W45-X45</f>
        <v>30389370.064393938</v>
      </c>
      <c r="Z45" s="590">
        <f>+(((W$28*Y45)*(12-W$32)/12))+X45</f>
        <v>698389.27740834747</v>
      </c>
      <c r="AA45" s="564">
        <f>+AA30</f>
        <v>19836665</v>
      </c>
      <c r="AB45" s="564">
        <f>+AA$31/12*(12-$AA$32)</f>
        <v>37569.441287878792</v>
      </c>
      <c r="AC45" s="564">
        <f>+AA45-AB45</f>
        <v>19799095.558712121</v>
      </c>
      <c r="AD45" s="590">
        <f>+(((AA$28*AC45)*(12-AA$32)/12))+AB45</f>
        <v>227433.71946086653</v>
      </c>
      <c r="AE45" s="564">
        <f>+AE30</f>
        <v>202307</v>
      </c>
      <c r="AF45" s="564">
        <f>+AE$31/12*(12-$AE$32)</f>
        <v>2298.943181818182</v>
      </c>
      <c r="AG45" s="564">
        <f>+AE45-AF45</f>
        <v>200008.05681818182</v>
      </c>
      <c r="AH45" s="590">
        <f>+(((AE$28*AG45)*(12-AE$32)/12))+AF45</f>
        <v>13806.858346111518</v>
      </c>
      <c r="AI45" s="564"/>
      <c r="AJ45" s="564"/>
      <c r="AK45" s="564"/>
      <c r="AL45" s="590"/>
      <c r="AM45" s="564"/>
      <c r="AN45" s="564"/>
      <c r="AO45" s="564"/>
      <c r="AP45" s="590"/>
      <c r="AQ45" s="564"/>
      <c r="AR45" s="564"/>
      <c r="AS45" s="564"/>
      <c r="AT45" s="590"/>
      <c r="AU45" s="672">
        <f>+AW44</f>
        <v>29125000</v>
      </c>
      <c r="AV45" s="671">
        <f>+AU$31</f>
        <v>750000</v>
      </c>
      <c r="AW45" s="671">
        <f t="shared" si="1"/>
        <v>28375000</v>
      </c>
      <c r="AX45" s="653">
        <f>+AU$28*AW45+AV45</f>
        <v>750000</v>
      </c>
      <c r="AY45" s="672">
        <f>+BA44</f>
        <v>19083333.333333332</v>
      </c>
      <c r="AZ45" s="671">
        <f>+AY$31</f>
        <v>500000</v>
      </c>
      <c r="BA45" s="671">
        <f t="shared" si="2"/>
        <v>18583333.333333332</v>
      </c>
      <c r="BB45" s="653">
        <f>+AY$28*BA45+AZ45</f>
        <v>500000</v>
      </c>
      <c r="BC45" s="672">
        <f>+BE44</f>
        <v>29500000</v>
      </c>
      <c r="BD45" s="671">
        <f>+BC$31</f>
        <v>750000</v>
      </c>
      <c r="BE45" s="671">
        <f t="shared" si="4"/>
        <v>28750000</v>
      </c>
      <c r="BF45" s="653">
        <f>+BC$28*BE45+BD45</f>
        <v>750000</v>
      </c>
      <c r="BG45" s="672">
        <f>+BI44</f>
        <v>19952380.952380951</v>
      </c>
      <c r="BH45" s="671">
        <f>+BG$31</f>
        <v>571428.57142857148</v>
      </c>
      <c r="BI45" s="671">
        <f t="shared" si="5"/>
        <v>19380952.380952381</v>
      </c>
      <c r="BJ45" s="653">
        <f>+BG$28*BI45+BH45</f>
        <v>571428.57142857148</v>
      </c>
      <c r="BK45" s="672">
        <f>+BK$30</f>
        <v>30000000</v>
      </c>
      <c r="BL45" s="658">
        <f>+BK$31/12*(12-BK$32)</f>
        <v>400000</v>
      </c>
      <c r="BM45" s="671">
        <f t="shared" ref="BM45:BM76" si="9">+BK45-BL45</f>
        <v>29600000</v>
      </c>
      <c r="BN45" s="653">
        <f>+BK$28*BM45+BL45</f>
        <v>400000</v>
      </c>
      <c r="BO45" s="672">
        <f>+BO$30</f>
        <v>20000000</v>
      </c>
      <c r="BP45" s="658">
        <f>+BO$31/12*(12-BO$32)</f>
        <v>166666.66666666666</v>
      </c>
      <c r="BQ45" s="671">
        <f t="shared" ref="BQ45:BQ76" si="10">+BO45-BP45</f>
        <v>19833333.333333332</v>
      </c>
      <c r="BR45" s="653">
        <f>+BO$28*BQ45+BP45</f>
        <v>166666.66666666666</v>
      </c>
      <c r="BS45" s="564"/>
      <c r="BT45" s="564"/>
      <c r="BU45" s="564"/>
      <c r="BV45" s="590"/>
      <c r="BW45" s="564"/>
      <c r="BX45" s="564"/>
      <c r="BY45" s="564"/>
      <c r="BZ45" s="590"/>
      <c r="CA45" s="564"/>
      <c r="CB45" s="564"/>
      <c r="CC45" s="564"/>
      <c r="CD45" s="590"/>
      <c r="CE45" s="564"/>
      <c r="CF45" s="564"/>
      <c r="CG45" s="564"/>
      <c r="CH45" s="590"/>
      <c r="CI45" s="564"/>
      <c r="CJ45" s="564"/>
      <c r="CK45" s="564"/>
      <c r="CL45" s="590"/>
      <c r="CM45" s="564"/>
      <c r="CN45" s="564"/>
      <c r="CO45" s="564"/>
      <c r="CP45" s="590"/>
      <c r="CQ45" s="564"/>
      <c r="CR45" s="564"/>
      <c r="CS45" s="564"/>
      <c r="CT45" s="590"/>
      <c r="CU45" s="564"/>
      <c r="CV45" s="564"/>
      <c r="CW45" s="564"/>
      <c r="CX45" s="590"/>
      <c r="CY45" s="564"/>
      <c r="CZ45" s="564"/>
      <c r="DA45" s="564"/>
      <c r="DB45" s="590"/>
      <c r="DC45" s="564"/>
      <c r="DD45" s="564"/>
      <c r="DE45" s="564"/>
      <c r="DF45" s="590"/>
      <c r="DG45" s="564"/>
      <c r="DH45" s="564"/>
      <c r="DI45" s="564"/>
      <c r="DJ45" s="590"/>
      <c r="DK45" s="564"/>
      <c r="DL45" s="564"/>
      <c r="DM45" s="564"/>
      <c r="DN45" s="590"/>
      <c r="DO45" s="589"/>
      <c r="DP45" s="564"/>
      <c r="DQ45" s="564"/>
      <c r="DR45" s="590"/>
      <c r="DS45" s="589"/>
      <c r="DT45" s="564"/>
      <c r="DU45" s="564"/>
      <c r="DV45" s="590"/>
      <c r="DW45" s="589"/>
      <c r="DX45" s="564"/>
      <c r="DY45" s="564"/>
      <c r="DZ45" s="590"/>
      <c r="EA45" s="589"/>
      <c r="EB45" s="564"/>
      <c r="EC45" s="564"/>
      <c r="ED45" s="590"/>
      <c r="EE45" s="589"/>
      <c r="EF45" s="564"/>
      <c r="EG45" s="564"/>
      <c r="EH45" s="590"/>
      <c r="EI45" s="589"/>
      <c r="EJ45" s="564"/>
      <c r="EK45" s="564"/>
      <c r="EL45" s="590"/>
      <c r="EM45" s="589"/>
      <c r="EN45" s="564"/>
      <c r="EO45" s="564"/>
      <c r="EP45" s="590"/>
      <c r="EQ45" s="678">
        <f t="shared" si="3"/>
        <v>6495087.4116658643</v>
      </c>
      <c r="ER45" s="652"/>
      <c r="ES45" s="674">
        <f>+EQ45</f>
        <v>6495087.4116658643</v>
      </c>
      <c r="EV45" s="589"/>
      <c r="EW45" s="564"/>
      <c r="EX45" s="564"/>
      <c r="EY45" s="590"/>
      <c r="EZ45" s="589"/>
      <c r="FA45" s="564"/>
      <c r="FB45" s="564"/>
      <c r="FC45" s="590"/>
      <c r="FD45" s="589"/>
      <c r="FE45" s="564"/>
      <c r="FF45" s="564"/>
      <c r="FG45" s="590"/>
      <c r="FH45" s="589"/>
      <c r="FI45" s="564"/>
      <c r="FJ45" s="564"/>
      <c r="FK45" s="590"/>
      <c r="FL45" s="589"/>
      <c r="FM45" s="564"/>
      <c r="FN45" s="564"/>
      <c r="FO45" s="590"/>
      <c r="FP45" s="589"/>
      <c r="FQ45" s="564"/>
      <c r="FR45" s="564"/>
      <c r="FS45" s="590"/>
      <c r="FT45" s="589"/>
      <c r="FU45" s="564"/>
      <c r="FV45" s="564"/>
      <c r="FW45" s="590"/>
      <c r="FX45" s="589"/>
      <c r="FY45" s="564"/>
      <c r="FZ45" s="564"/>
      <c r="GA45" s="590"/>
      <c r="GB45" s="589"/>
      <c r="GC45" s="564"/>
      <c r="GD45" s="564"/>
      <c r="GE45" s="590"/>
      <c r="GF45" s="589"/>
      <c r="GG45" s="564"/>
      <c r="GH45" s="564"/>
      <c r="GI45" s="590"/>
      <c r="GJ45" s="589"/>
      <c r="GK45" s="564"/>
      <c r="GL45" s="564"/>
      <c r="GM45" s="590"/>
      <c r="GN45" s="589"/>
      <c r="GO45" s="564"/>
      <c r="GP45" s="564"/>
      <c r="GQ45" s="590"/>
      <c r="GR45" s="589"/>
      <c r="GS45" s="564"/>
      <c r="GT45" s="564"/>
      <c r="GU45" s="590"/>
      <c r="GV45" s="672"/>
      <c r="GW45" s="676"/>
      <c r="GX45" s="676"/>
      <c r="GY45" s="1366"/>
      <c r="GZ45" s="672"/>
      <c r="HA45" s="671"/>
      <c r="HB45" s="671"/>
      <c r="HC45" s="1366"/>
      <c r="HD45" s="672"/>
      <c r="HE45" s="671"/>
      <c r="HF45" s="671"/>
      <c r="HG45" s="1366"/>
      <c r="HI45" s="589"/>
      <c r="HJ45" s="564"/>
      <c r="HK45" s="564"/>
      <c r="HL45" s="590"/>
      <c r="HM45" s="589"/>
      <c r="HN45" s="564"/>
      <c r="HO45" s="564"/>
      <c r="HP45" s="590"/>
      <c r="HQ45" s="589"/>
      <c r="HR45" s="564"/>
      <c r="HS45" s="564"/>
      <c r="HT45" s="590"/>
    </row>
    <row r="46" spans="1:228">
      <c r="A46" s="649" t="s">
        <v>23</v>
      </c>
      <c r="B46" s="670">
        <f t="shared" si="0"/>
        <v>2009</v>
      </c>
      <c r="C46" s="671">
        <f>+C45</f>
        <v>19503399.303977273</v>
      </c>
      <c r="D46" s="671">
        <f>+D45</f>
        <v>445791.98409090913</v>
      </c>
      <c r="E46" s="671">
        <f t="shared" si="6"/>
        <v>19057607.319886364</v>
      </c>
      <c r="F46" s="653">
        <f>+C$29*E46+D46</f>
        <v>2755147.5088286838</v>
      </c>
      <c r="G46" s="671">
        <f>+G45</f>
        <v>5039072.605227273</v>
      </c>
      <c r="H46" s="671">
        <f>+H45</f>
        <v>115840.74954545456</v>
      </c>
      <c r="I46" s="671">
        <f t="shared" si="7"/>
        <v>4923231.855681818</v>
      </c>
      <c r="J46" s="653">
        <f>+G$29*I46+H46</f>
        <v>712426.27545352036</v>
      </c>
      <c r="K46" s="671">
        <f>+K45</f>
        <v>13056694.788579546</v>
      </c>
      <c r="L46" s="671">
        <f>+L45</f>
        <v>305419.76113636367</v>
      </c>
      <c r="M46" s="671">
        <f t="shared" si="8"/>
        <v>12751275.027443182</v>
      </c>
      <c r="N46" s="653">
        <f>+K$29*M46+L46</f>
        <v>1850588.938871962</v>
      </c>
      <c r="O46" s="671">
        <f>+O45</f>
        <v>5249918</v>
      </c>
      <c r="P46" s="671">
        <f>+P45</f>
        <v>19886.053030303028</v>
      </c>
      <c r="Q46" s="671">
        <f>+O46-P46</f>
        <v>5230031.9469696973</v>
      </c>
      <c r="R46" s="653">
        <f>+(((O$29*Q46)*(12-O$32)/12))+P46</f>
        <v>125513.1915666142</v>
      </c>
      <c r="S46" s="589">
        <f>+S45</f>
        <v>2517294.6187878782</v>
      </c>
      <c r="T46" s="564">
        <f>+T45</f>
        <v>58315.705454545445</v>
      </c>
      <c r="U46" s="564">
        <f>+S46-T46</f>
        <v>2458978.9133333326</v>
      </c>
      <c r="V46" s="590">
        <f>+S$29*U46+T46</f>
        <v>356288.92126293381</v>
      </c>
      <c r="W46" s="564">
        <f>+W45</f>
        <v>30504919</v>
      </c>
      <c r="X46" s="564">
        <f>+X45</f>
        <v>115548.93560606061</v>
      </c>
      <c r="Y46" s="564">
        <f>+W46-X46</f>
        <v>30389370.064393938</v>
      </c>
      <c r="Z46" s="590">
        <f>+(((W$29*Y46)*(12-W$32)/12))+X46</f>
        <v>729300.86568419728</v>
      </c>
      <c r="AA46" s="564">
        <f>+AA45</f>
        <v>19836665</v>
      </c>
      <c r="AB46" s="564">
        <f>+AB45</f>
        <v>37569.441287878792</v>
      </c>
      <c r="AC46" s="564">
        <f>+AA46-AB46</f>
        <v>19799095.558712121</v>
      </c>
      <c r="AD46" s="590">
        <f>+(((AA$29*AC46)*(12-AA$32)/12))+AB46</f>
        <v>237503.38343955812</v>
      </c>
      <c r="AE46" s="564">
        <f>+AE45</f>
        <v>202307</v>
      </c>
      <c r="AF46" s="564">
        <f>+AF45</f>
        <v>2298.943181818182</v>
      </c>
      <c r="AG46" s="564">
        <f>+AE46-AF46</f>
        <v>200008.05681818182</v>
      </c>
      <c r="AH46" s="590">
        <f>+(((AE$29*AG46)*(12-AE$32)/12))+AF46</f>
        <v>14417.193475577753</v>
      </c>
      <c r="AI46" s="564"/>
      <c r="AJ46" s="564"/>
      <c r="AK46" s="564"/>
      <c r="AL46" s="590"/>
      <c r="AM46" s="564"/>
      <c r="AN46" s="564"/>
      <c r="AO46" s="564"/>
      <c r="AP46" s="590"/>
      <c r="AQ46" s="564"/>
      <c r="AR46" s="564"/>
      <c r="AS46" s="564"/>
      <c r="AT46" s="590"/>
      <c r="AU46" s="672">
        <f>+AU45</f>
        <v>29125000</v>
      </c>
      <c r="AV46" s="671">
        <f>+AV45</f>
        <v>750000</v>
      </c>
      <c r="AW46" s="671">
        <f t="shared" si="1"/>
        <v>28375000</v>
      </c>
      <c r="AX46" s="653">
        <f>+AU$29*AW46+AV46</f>
        <v>750000</v>
      </c>
      <c r="AY46" s="672">
        <f>+AY45</f>
        <v>19083333.333333332</v>
      </c>
      <c r="AZ46" s="671">
        <f>+AZ45</f>
        <v>500000</v>
      </c>
      <c r="BA46" s="671">
        <f t="shared" si="2"/>
        <v>18583333.333333332</v>
      </c>
      <c r="BB46" s="653">
        <f>+AY$29*BA46+AZ46</f>
        <v>500000</v>
      </c>
      <c r="BC46" s="672">
        <f>+BC45</f>
        <v>29500000</v>
      </c>
      <c r="BD46" s="671">
        <f>+BD45</f>
        <v>750000</v>
      </c>
      <c r="BE46" s="671">
        <f t="shared" si="4"/>
        <v>28750000</v>
      </c>
      <c r="BF46" s="653">
        <f>+BC$29*BE46+BD46</f>
        <v>750000</v>
      </c>
      <c r="BG46" s="672">
        <f>+BG45</f>
        <v>19952380.952380951</v>
      </c>
      <c r="BH46" s="671">
        <f>+BH45</f>
        <v>571428.57142857148</v>
      </c>
      <c r="BI46" s="671">
        <f t="shared" si="5"/>
        <v>19380952.380952381</v>
      </c>
      <c r="BJ46" s="653">
        <f>+BG$29*BI46+BH46</f>
        <v>571428.57142857148</v>
      </c>
      <c r="BK46" s="672">
        <f>+BK45</f>
        <v>30000000</v>
      </c>
      <c r="BL46" s="658">
        <f>+BL45</f>
        <v>400000</v>
      </c>
      <c r="BM46" s="671">
        <f t="shared" si="9"/>
        <v>29600000</v>
      </c>
      <c r="BN46" s="653">
        <f>+BK$29*BM46+BL46</f>
        <v>400000</v>
      </c>
      <c r="BO46" s="672">
        <f>+BO45</f>
        <v>20000000</v>
      </c>
      <c r="BP46" s="658">
        <f>+BP45</f>
        <v>166666.66666666666</v>
      </c>
      <c r="BQ46" s="671">
        <f t="shared" si="10"/>
        <v>19833333.333333332</v>
      </c>
      <c r="BR46" s="653">
        <f>+BO$29*BQ46+BP46</f>
        <v>166666.66666666666</v>
      </c>
      <c r="BS46" s="564"/>
      <c r="BT46" s="564"/>
      <c r="BU46" s="564"/>
      <c r="BV46" s="590"/>
      <c r="BW46" s="564"/>
      <c r="BX46" s="564"/>
      <c r="BY46" s="564"/>
      <c r="BZ46" s="590"/>
      <c r="CA46" s="564"/>
      <c r="CB46" s="564"/>
      <c r="CC46" s="564"/>
      <c r="CD46" s="590"/>
      <c r="CE46" s="564"/>
      <c r="CF46" s="564"/>
      <c r="CG46" s="564"/>
      <c r="CH46" s="590"/>
      <c r="CI46" s="564"/>
      <c r="CJ46" s="564"/>
      <c r="CK46" s="564"/>
      <c r="CL46" s="590"/>
      <c r="CM46" s="564"/>
      <c r="CN46" s="564"/>
      <c r="CO46" s="564"/>
      <c r="CP46" s="590"/>
      <c r="CQ46" s="564"/>
      <c r="CR46" s="564"/>
      <c r="CS46" s="564"/>
      <c r="CT46" s="590"/>
      <c r="CU46" s="564"/>
      <c r="CV46" s="564"/>
      <c r="CW46" s="564"/>
      <c r="CX46" s="590"/>
      <c r="CY46" s="564"/>
      <c r="CZ46" s="564"/>
      <c r="DA46" s="564"/>
      <c r="DB46" s="590"/>
      <c r="DC46" s="564"/>
      <c r="DD46" s="564"/>
      <c r="DE46" s="564"/>
      <c r="DF46" s="590"/>
      <c r="DG46" s="564"/>
      <c r="DH46" s="564"/>
      <c r="DI46" s="564"/>
      <c r="DJ46" s="590"/>
      <c r="DK46" s="564"/>
      <c r="DL46" s="564"/>
      <c r="DM46" s="564"/>
      <c r="DN46" s="590"/>
      <c r="DO46" s="589"/>
      <c r="DP46" s="564"/>
      <c r="DQ46" s="564"/>
      <c r="DR46" s="590"/>
      <c r="DS46" s="589"/>
      <c r="DT46" s="564"/>
      <c r="DU46" s="564"/>
      <c r="DV46" s="590"/>
      <c r="DW46" s="589"/>
      <c r="DX46" s="564"/>
      <c r="DY46" s="564"/>
      <c r="DZ46" s="590"/>
      <c r="EA46" s="589"/>
      <c r="EB46" s="564"/>
      <c r="EC46" s="564"/>
      <c r="ED46" s="590"/>
      <c r="EE46" s="589"/>
      <c r="EF46" s="564"/>
      <c r="EG46" s="564"/>
      <c r="EH46" s="590"/>
      <c r="EI46" s="589"/>
      <c r="EJ46" s="564"/>
      <c r="EK46" s="564"/>
      <c r="EL46" s="590"/>
      <c r="EM46" s="589"/>
      <c r="EN46" s="564"/>
      <c r="EO46" s="564"/>
      <c r="EP46" s="590"/>
      <c r="EQ46" s="678">
        <f t="shared" si="3"/>
        <v>6781186.2785830479</v>
      </c>
      <c r="ER46" s="675">
        <f>+EQ46</f>
        <v>6781186.2785830479</v>
      </c>
      <c r="ES46" s="648"/>
      <c r="ET46" s="677"/>
      <c r="EV46" s="589"/>
      <c r="EW46" s="564"/>
      <c r="EX46" s="564"/>
      <c r="EY46" s="590"/>
      <c r="EZ46" s="589"/>
      <c r="FA46" s="564"/>
      <c r="FB46" s="564"/>
      <c r="FC46" s="590"/>
      <c r="FD46" s="589"/>
      <c r="FE46" s="564"/>
      <c r="FF46" s="564"/>
      <c r="FG46" s="590"/>
      <c r="FH46" s="589"/>
      <c r="FI46" s="564"/>
      <c r="FJ46" s="564"/>
      <c r="FK46" s="590"/>
      <c r="FL46" s="589"/>
      <c r="FM46" s="564"/>
      <c r="FN46" s="564"/>
      <c r="FO46" s="590"/>
      <c r="FP46" s="589"/>
      <c r="FQ46" s="564"/>
      <c r="FR46" s="564"/>
      <c r="FS46" s="590"/>
      <c r="FT46" s="589"/>
      <c r="FU46" s="564"/>
      <c r="FV46" s="564"/>
      <c r="FW46" s="590"/>
      <c r="FX46" s="589"/>
      <c r="FY46" s="564"/>
      <c r="FZ46" s="564"/>
      <c r="GA46" s="590"/>
      <c r="GB46" s="589"/>
      <c r="GC46" s="564"/>
      <c r="GD46" s="564"/>
      <c r="GE46" s="590"/>
      <c r="GF46" s="589"/>
      <c r="GG46" s="564"/>
      <c r="GH46" s="564"/>
      <c r="GI46" s="590"/>
      <c r="GJ46" s="589"/>
      <c r="GK46" s="564"/>
      <c r="GL46" s="564"/>
      <c r="GM46" s="590"/>
      <c r="GN46" s="589"/>
      <c r="GO46" s="564"/>
      <c r="GP46" s="564"/>
      <c r="GQ46" s="590"/>
      <c r="GR46" s="589"/>
      <c r="GS46" s="564"/>
      <c r="GT46" s="564"/>
      <c r="GU46" s="590"/>
      <c r="GV46" s="672"/>
      <c r="GW46" s="676"/>
      <c r="GX46" s="676"/>
      <c r="GY46" s="1366"/>
      <c r="GZ46" s="672"/>
      <c r="HA46" s="671"/>
      <c r="HB46" s="671"/>
      <c r="HC46" s="1366"/>
      <c r="HD46" s="672"/>
      <c r="HE46" s="671"/>
      <c r="HF46" s="671"/>
      <c r="HG46" s="1366"/>
      <c r="HI46" s="589"/>
      <c r="HJ46" s="564"/>
      <c r="HK46" s="564"/>
      <c r="HL46" s="590"/>
      <c r="HM46" s="589"/>
      <c r="HN46" s="564"/>
      <c r="HO46" s="564"/>
      <c r="HP46" s="590"/>
      <c r="HQ46" s="589"/>
      <c r="HR46" s="564"/>
      <c r="HS46" s="564"/>
      <c r="HT46" s="590"/>
    </row>
    <row r="47" spans="1:228">
      <c r="A47" s="649" t="s">
        <v>24</v>
      </c>
      <c r="B47" s="670">
        <f t="shared" si="0"/>
        <v>2010</v>
      </c>
      <c r="C47" s="671">
        <f>+E46</f>
        <v>19057607.319886364</v>
      </c>
      <c r="D47" s="671">
        <f>+C$31</f>
        <v>445791.98409090913</v>
      </c>
      <c r="E47" s="671">
        <f t="shared" si="6"/>
        <v>18611815.335795455</v>
      </c>
      <c r="F47" s="653">
        <f>+C$28*E47+D47</f>
        <v>2587537.6251930762</v>
      </c>
      <c r="G47" s="671">
        <f>+I46</f>
        <v>4923231.855681818</v>
      </c>
      <c r="H47" s="671">
        <f>+G$31</f>
        <v>115840.74954545456</v>
      </c>
      <c r="I47" s="671">
        <f t="shared" si="7"/>
        <v>4807391.106136363</v>
      </c>
      <c r="J47" s="653">
        <f>+G$28*I47+H47</f>
        <v>669048.95416580362</v>
      </c>
      <c r="K47" s="671">
        <f>+M46</f>
        <v>12751275.027443182</v>
      </c>
      <c r="L47" s="671">
        <f>+K$31</f>
        <v>305419.76113636367</v>
      </c>
      <c r="M47" s="671">
        <f t="shared" si="8"/>
        <v>12445855.266306818</v>
      </c>
      <c r="N47" s="653">
        <f>+K$28*M47+L47</f>
        <v>1737620.5317476434</v>
      </c>
      <c r="O47" s="671">
        <f>+Q46</f>
        <v>5230031.9469696973</v>
      </c>
      <c r="P47" s="671">
        <f>+O$31</f>
        <v>119316.31818181818</v>
      </c>
      <c r="Q47" s="671">
        <f t="shared" ref="Q47:Q110" si="11">+O47-P47</f>
        <v>5110715.6287878789</v>
      </c>
      <c r="R47" s="653">
        <f>+O$28*Q47+P47</f>
        <v>707429.4454283251</v>
      </c>
      <c r="S47" s="589">
        <f>+U46</f>
        <v>2458978.9133333326</v>
      </c>
      <c r="T47" s="564">
        <f>+S$31</f>
        <v>58315.705454545445</v>
      </c>
      <c r="U47" s="564">
        <f t="shared" ref="U47:U110" si="12">+S47-T47</f>
        <v>2400663.2078787871</v>
      </c>
      <c r="V47" s="590">
        <f>+S$28*U47+T47</f>
        <v>334570.8621097944</v>
      </c>
      <c r="W47" s="564">
        <f>+Y46</f>
        <v>30389370.064393938</v>
      </c>
      <c r="X47" s="564">
        <f>+W$31</f>
        <v>693293.61363636365</v>
      </c>
      <c r="Y47" s="564">
        <f t="shared" ref="Y47:Y110" si="13">+W47-X47</f>
        <v>29696076.450757574</v>
      </c>
      <c r="Z47" s="590">
        <f>+W$28*Y47+X47</f>
        <v>4110555.2374353237</v>
      </c>
      <c r="AA47" s="564">
        <f>+AC46</f>
        <v>19799095.558712121</v>
      </c>
      <c r="AB47" s="564">
        <f>+AA$31</f>
        <v>450833.29545454547</v>
      </c>
      <c r="AC47" s="564">
        <f t="shared" ref="AC47:AC110" si="14">+AA47-AB47</f>
        <v>19348262.263257574</v>
      </c>
      <c r="AD47" s="590">
        <f>+AA$28*AC47+AB47</f>
        <v>2677325.210272504</v>
      </c>
      <c r="AE47" s="564">
        <f>+AG46</f>
        <v>200008.05681818182</v>
      </c>
      <c r="AF47" s="564">
        <f>+AE$31</f>
        <v>4597.886363636364</v>
      </c>
      <c r="AG47" s="564">
        <f t="shared" ref="AG47:AG110" si="15">+AE47-AF47</f>
        <v>195410.17045454547</v>
      </c>
      <c r="AH47" s="590">
        <f>+AE$28*AG47+AF47</f>
        <v>27084.617144439435</v>
      </c>
      <c r="AI47" s="564">
        <f>+AI30</f>
        <v>13004087</v>
      </c>
      <c r="AJ47" s="564">
        <f>+AI$31/12*(12-$AI$32)</f>
        <v>49257.905303030304</v>
      </c>
      <c r="AK47" s="564">
        <f>+AI47-AJ47</f>
        <v>12954829.094696969</v>
      </c>
      <c r="AL47" s="590">
        <f>+(((AI$28*AK47)*(12-AI$32)/12))+AJ47</f>
        <v>297719.68656219949</v>
      </c>
      <c r="AM47" s="564">
        <f>+AM30</f>
        <v>4878144.29</v>
      </c>
      <c r="AN47" s="564">
        <f>+AM$31/12*(12-$AM$32)</f>
        <v>55433.45784090909</v>
      </c>
      <c r="AO47" s="564">
        <f t="shared" ref="AO47:AO110" si="16">+AM47-AN47</f>
        <v>4822710.8321590908</v>
      </c>
      <c r="AP47" s="590">
        <f>+(((AM$28*AO47)*(12-AM$32)/12))+AN47</f>
        <v>332919.01517951797</v>
      </c>
      <c r="AQ47" s="564">
        <f>+AQ30</f>
        <v>39817018.439999998</v>
      </c>
      <c r="AR47" s="564">
        <f>+AQ$31/12*(12-$AQ$32)</f>
        <v>226233.05931818177</v>
      </c>
      <c r="AS47" s="564">
        <f t="shared" ref="AS47:AS110" si="17">+AQ47-AR47</f>
        <v>39590785.380681813</v>
      </c>
      <c r="AT47" s="590">
        <f>+(((AQ$28*AS47)*(12-AQ$32)/12))+AR47</f>
        <v>1365205.6754633479</v>
      </c>
      <c r="AU47" s="672">
        <f>+AW46</f>
        <v>28375000</v>
      </c>
      <c r="AV47" s="671">
        <f>+AU$31</f>
        <v>750000</v>
      </c>
      <c r="AW47" s="671">
        <f t="shared" si="1"/>
        <v>27625000</v>
      </c>
      <c r="AX47" s="653">
        <f>+AU$28*AW47+AV47</f>
        <v>750000</v>
      </c>
      <c r="AY47" s="672">
        <f>+BA46</f>
        <v>18583333.333333332</v>
      </c>
      <c r="AZ47" s="671">
        <f>+AY$31</f>
        <v>500000</v>
      </c>
      <c r="BA47" s="671">
        <f t="shared" si="2"/>
        <v>18083333.333333332</v>
      </c>
      <c r="BB47" s="653">
        <f>+AY$28*BA47+AZ47</f>
        <v>500000</v>
      </c>
      <c r="BC47" s="672">
        <f>+BE46</f>
        <v>28750000</v>
      </c>
      <c r="BD47" s="671">
        <f>+BC$31</f>
        <v>750000</v>
      </c>
      <c r="BE47" s="671">
        <f t="shared" si="4"/>
        <v>28000000</v>
      </c>
      <c r="BF47" s="653">
        <f>+BC$28*BE47+BD47</f>
        <v>750000</v>
      </c>
      <c r="BG47" s="672">
        <f>+BI46</f>
        <v>19380952.380952381</v>
      </c>
      <c r="BH47" s="671">
        <f>+BG$31</f>
        <v>571428.57142857148</v>
      </c>
      <c r="BI47" s="671">
        <f t="shared" si="5"/>
        <v>18809523.80952381</v>
      </c>
      <c r="BJ47" s="653">
        <f>+BG$28*BI47+BH47</f>
        <v>571428.57142857148</v>
      </c>
      <c r="BK47" s="672">
        <f>+BM46</f>
        <v>29600000</v>
      </c>
      <c r="BL47" s="658">
        <f>+BK$31</f>
        <v>1200000</v>
      </c>
      <c r="BM47" s="671">
        <f t="shared" si="9"/>
        <v>28400000</v>
      </c>
      <c r="BN47" s="653">
        <f>+BK$28*BM47+BL47</f>
        <v>1200000</v>
      </c>
      <c r="BO47" s="672">
        <f>+BQ46</f>
        <v>19833333.333333332</v>
      </c>
      <c r="BP47" s="658">
        <f>+BO$31</f>
        <v>666666.66666666663</v>
      </c>
      <c r="BQ47" s="671">
        <f t="shared" si="10"/>
        <v>19166666.666666664</v>
      </c>
      <c r="BR47" s="653">
        <f>+BO$28*BQ47+BP47</f>
        <v>666666.66666666663</v>
      </c>
      <c r="BS47" s="564">
        <f>+BS30</f>
        <v>365679</v>
      </c>
      <c r="BT47" s="564">
        <f>+BS$31/12*(12-$BS$32)</f>
        <v>0</v>
      </c>
      <c r="BU47" s="564">
        <f t="shared" ref="BU47:BU110" si="18">+BS47-BT47</f>
        <v>365679</v>
      </c>
      <c r="BV47" s="590">
        <f>+(((BS$28*BU47)*(12-BS$32)/12))+BT47</f>
        <v>0</v>
      </c>
      <c r="BW47" s="564"/>
      <c r="BX47" s="564"/>
      <c r="BY47" s="564"/>
      <c r="BZ47" s="590"/>
      <c r="CA47" s="564"/>
      <c r="CB47" s="564"/>
      <c r="CC47" s="564"/>
      <c r="CD47" s="590"/>
      <c r="CE47" s="564"/>
      <c r="CF47" s="564"/>
      <c r="CG47" s="564"/>
      <c r="CH47" s="590"/>
      <c r="CI47" s="564"/>
      <c r="CJ47" s="564"/>
      <c r="CK47" s="564"/>
      <c r="CL47" s="590"/>
      <c r="CM47" s="564"/>
      <c r="CN47" s="564"/>
      <c r="CO47" s="564"/>
      <c r="CP47" s="590"/>
      <c r="CQ47" s="564"/>
      <c r="CR47" s="564"/>
      <c r="CS47" s="564"/>
      <c r="CT47" s="590"/>
      <c r="CU47" s="564"/>
      <c r="CV47" s="564"/>
      <c r="CW47" s="564"/>
      <c r="CX47" s="590"/>
      <c r="CY47" s="564"/>
      <c r="CZ47" s="564"/>
      <c r="DA47" s="564"/>
      <c r="DB47" s="590"/>
      <c r="DC47" s="564"/>
      <c r="DD47" s="564"/>
      <c r="DE47" s="564"/>
      <c r="DF47" s="590"/>
      <c r="DG47" s="564"/>
      <c r="DH47" s="564"/>
      <c r="DI47" s="564"/>
      <c r="DJ47" s="590"/>
      <c r="DK47" s="564"/>
      <c r="DL47" s="564"/>
      <c r="DM47" s="564"/>
      <c r="DN47" s="590"/>
      <c r="DO47" s="589"/>
      <c r="DP47" s="564"/>
      <c r="DQ47" s="564"/>
      <c r="DR47" s="590"/>
      <c r="DS47" s="589"/>
      <c r="DT47" s="564"/>
      <c r="DU47" s="564"/>
      <c r="DV47" s="590"/>
      <c r="DW47" s="589"/>
      <c r="DX47" s="564"/>
      <c r="DY47" s="564"/>
      <c r="DZ47" s="590"/>
      <c r="EA47" s="589"/>
      <c r="EB47" s="564"/>
      <c r="EC47" s="564"/>
      <c r="ED47" s="590"/>
      <c r="EE47" s="589"/>
      <c r="EF47" s="564"/>
      <c r="EG47" s="564"/>
      <c r="EH47" s="590"/>
      <c r="EI47" s="589"/>
      <c r="EJ47" s="564"/>
      <c r="EK47" s="564"/>
      <c r="EL47" s="590"/>
      <c r="EM47" s="589"/>
      <c r="EN47" s="564"/>
      <c r="EO47" s="564"/>
      <c r="EP47" s="590"/>
      <c r="EQ47" s="678">
        <f t="shared" si="3"/>
        <v>14847016.860701976</v>
      </c>
      <c r="ER47" s="652"/>
      <c r="ES47" s="674">
        <f>+EQ47</f>
        <v>14847016.860701976</v>
      </c>
      <c r="EV47" s="589"/>
      <c r="EW47" s="564"/>
      <c r="EX47" s="564"/>
      <c r="EY47" s="590"/>
      <c r="EZ47" s="589"/>
      <c r="FA47" s="564"/>
      <c r="FB47" s="564"/>
      <c r="FC47" s="590"/>
      <c r="FD47" s="589"/>
      <c r="FE47" s="564"/>
      <c r="FF47" s="564"/>
      <c r="FG47" s="590"/>
      <c r="FH47" s="589"/>
      <c r="FI47" s="564"/>
      <c r="FJ47" s="564"/>
      <c r="FK47" s="590"/>
      <c r="FL47" s="589"/>
      <c r="FM47" s="564"/>
      <c r="FN47" s="564"/>
      <c r="FO47" s="590"/>
      <c r="FP47" s="589"/>
      <c r="FQ47" s="564"/>
      <c r="FR47" s="564"/>
      <c r="FS47" s="590"/>
      <c r="FT47" s="589"/>
      <c r="FU47" s="564"/>
      <c r="FV47" s="564"/>
      <c r="FW47" s="590"/>
      <c r="FX47" s="589"/>
      <c r="FY47" s="564"/>
      <c r="FZ47" s="564"/>
      <c r="GA47" s="590"/>
      <c r="GB47" s="589"/>
      <c r="GC47" s="564"/>
      <c r="GD47" s="564"/>
      <c r="GE47" s="590"/>
      <c r="GF47" s="589"/>
      <c r="GG47" s="564"/>
      <c r="GH47" s="564"/>
      <c r="GI47" s="590"/>
      <c r="GJ47" s="589"/>
      <c r="GK47" s="564"/>
      <c r="GL47" s="564"/>
      <c r="GM47" s="590"/>
      <c r="GN47" s="589"/>
      <c r="GO47" s="564"/>
      <c r="GP47" s="564"/>
      <c r="GQ47" s="590"/>
      <c r="GR47" s="589"/>
      <c r="GS47" s="564"/>
      <c r="GT47" s="564"/>
      <c r="GU47" s="590"/>
      <c r="GV47" s="672"/>
      <c r="GW47" s="676"/>
      <c r="GX47" s="676"/>
      <c r="GY47" s="1366"/>
      <c r="GZ47" s="672"/>
      <c r="HA47" s="671"/>
      <c r="HB47" s="671"/>
      <c r="HC47" s="1366"/>
      <c r="HD47" s="672"/>
      <c r="HE47" s="671"/>
      <c r="HF47" s="671"/>
      <c r="HG47" s="1366"/>
      <c r="HI47" s="589"/>
      <c r="HJ47" s="564"/>
      <c r="HK47" s="564"/>
      <c r="HL47" s="590"/>
      <c r="HM47" s="589"/>
      <c r="HN47" s="564"/>
      <c r="HO47" s="564"/>
      <c r="HP47" s="590"/>
      <c r="HQ47" s="589"/>
      <c r="HR47" s="564"/>
      <c r="HS47" s="564"/>
      <c r="HT47" s="590"/>
    </row>
    <row r="48" spans="1:228">
      <c r="A48" s="649" t="s">
        <v>23</v>
      </c>
      <c r="B48" s="670">
        <f t="shared" si="0"/>
        <v>2010</v>
      </c>
      <c r="C48" s="671">
        <f>+C47</f>
        <v>19057607.319886364</v>
      </c>
      <c r="D48" s="671">
        <f>+D47</f>
        <v>445791.98409090913</v>
      </c>
      <c r="E48" s="671">
        <f t="shared" si="6"/>
        <v>18611815.335795455</v>
      </c>
      <c r="F48" s="653">
        <f>+C$29*E48+D48</f>
        <v>2701127.4965541158</v>
      </c>
      <c r="G48" s="671">
        <f>+G47</f>
        <v>4923231.855681818</v>
      </c>
      <c r="H48" s="671">
        <f>+H47</f>
        <v>115840.74954545456</v>
      </c>
      <c r="I48" s="671">
        <f t="shared" si="7"/>
        <v>4807391.106136363</v>
      </c>
      <c r="J48" s="653">
        <f>+G$29*I48+H48</f>
        <v>698388.96896156587</v>
      </c>
      <c r="K48" s="671">
        <f>+K47</f>
        <v>12751275.027443182</v>
      </c>
      <c r="L48" s="671">
        <f>+L47</f>
        <v>305419.76113636367</v>
      </c>
      <c r="M48" s="671">
        <f t="shared" si="8"/>
        <v>12445855.266306818</v>
      </c>
      <c r="N48" s="653">
        <f>+K$29*M48+L48</f>
        <v>1813578.8986866781</v>
      </c>
      <c r="O48" s="671">
        <f>+O47</f>
        <v>5230031.9469696973</v>
      </c>
      <c r="P48" s="671">
        <f>+P47</f>
        <v>119316.31818181818</v>
      </c>
      <c r="Q48" s="671">
        <f t="shared" si="11"/>
        <v>5110715.6287878789</v>
      </c>
      <c r="R48" s="653">
        <f>+O$29*Q48+P48</f>
        <v>738620.68176733842</v>
      </c>
      <c r="S48" s="589">
        <f>+S47</f>
        <v>2458978.9133333326</v>
      </c>
      <c r="T48" s="564">
        <f>+T47</f>
        <v>58315.705454545445</v>
      </c>
      <c r="U48" s="564">
        <f t="shared" si="12"/>
        <v>2400663.2078787871</v>
      </c>
      <c r="V48" s="590">
        <f>+S$29*U48+T48</f>
        <v>349222.3627852645</v>
      </c>
      <c r="W48" s="564">
        <f>+W47</f>
        <v>30389370.064393938</v>
      </c>
      <c r="X48" s="564">
        <f>+X47</f>
        <v>693293.61363636365</v>
      </c>
      <c r="Y48" s="564">
        <f t="shared" si="13"/>
        <v>29696076.450757574</v>
      </c>
      <c r="Z48" s="590">
        <f>+W$29*Y48+X48</f>
        <v>4291793.523067872</v>
      </c>
      <c r="AA48" s="564">
        <f>+AA47</f>
        <v>19799095.558712121</v>
      </c>
      <c r="AB48" s="564">
        <f>+AB47</f>
        <v>450833.29545454547</v>
      </c>
      <c r="AC48" s="564">
        <f t="shared" si="14"/>
        <v>19348262.263257574</v>
      </c>
      <c r="AD48" s="590">
        <f>+AA$29*AC48+AB48</f>
        <v>2795409.6948803104</v>
      </c>
      <c r="AE48" s="564">
        <f>+AE47</f>
        <v>200008.05681818182</v>
      </c>
      <c r="AF48" s="564">
        <f>+AF47</f>
        <v>4597.886363636364</v>
      </c>
      <c r="AG48" s="564">
        <f t="shared" si="15"/>
        <v>195410.17045454547</v>
      </c>
      <c r="AH48" s="590">
        <f>+AE$29*AG48+AF48</f>
        <v>28277.22601810909</v>
      </c>
      <c r="AI48" s="564">
        <f>+AI47</f>
        <v>13004087</v>
      </c>
      <c r="AJ48" s="564">
        <f>+AJ47</f>
        <v>49257.905303030304</v>
      </c>
      <c r="AK48" s="564">
        <f t="shared" ref="AK48:AK111" si="19">+AI48-AJ48</f>
        <v>12954829.094696969</v>
      </c>
      <c r="AL48" s="590">
        <f>+(((AI$29*AK48)*(12-AI$32)/12))+AJ48</f>
        <v>310897.13454189518</v>
      </c>
      <c r="AM48" s="564">
        <f>+AM47</f>
        <v>4878144.29</v>
      </c>
      <c r="AN48" s="564">
        <f>+AN47</f>
        <v>55433.45784090909</v>
      </c>
      <c r="AO48" s="564">
        <f t="shared" si="16"/>
        <v>4822710.8321590908</v>
      </c>
      <c r="AP48" s="590">
        <f>+(((AM$29*AO48)*(12-AM$32)/12))+AN48</f>
        <v>347635.77152898745</v>
      </c>
      <c r="AQ48" s="564">
        <f>+AQ47</f>
        <v>39817018.439999998</v>
      </c>
      <c r="AR48" s="564">
        <f>+AR47</f>
        <v>226233.05931818177</v>
      </c>
      <c r="AS48" s="564">
        <f t="shared" si="17"/>
        <v>39590785.380681813</v>
      </c>
      <c r="AT48" s="590">
        <f>+(((AQ$29*AS48)*(12-AQ$32)/12))+AR48</f>
        <v>1425612.3598374538</v>
      </c>
      <c r="AU48" s="672">
        <f>+AU47</f>
        <v>28375000</v>
      </c>
      <c r="AV48" s="671">
        <f>+AV47</f>
        <v>750000</v>
      </c>
      <c r="AW48" s="671">
        <f t="shared" si="1"/>
        <v>27625000</v>
      </c>
      <c r="AX48" s="653">
        <f>+AU$29*AW48+AV48</f>
        <v>750000</v>
      </c>
      <c r="AY48" s="672">
        <f>+AY47</f>
        <v>18583333.333333332</v>
      </c>
      <c r="AZ48" s="671">
        <f>+AZ47</f>
        <v>500000</v>
      </c>
      <c r="BA48" s="671">
        <f t="shared" si="2"/>
        <v>18083333.333333332</v>
      </c>
      <c r="BB48" s="653">
        <f>+AY$29*BA48+AZ48</f>
        <v>500000</v>
      </c>
      <c r="BC48" s="672">
        <f>+BC47</f>
        <v>28750000</v>
      </c>
      <c r="BD48" s="671">
        <f>+BD47</f>
        <v>750000</v>
      </c>
      <c r="BE48" s="671">
        <f t="shared" si="4"/>
        <v>28000000</v>
      </c>
      <c r="BF48" s="653">
        <f>+BC$29*BE48+BD48</f>
        <v>750000</v>
      </c>
      <c r="BG48" s="672">
        <f>+BG47</f>
        <v>19380952.380952381</v>
      </c>
      <c r="BH48" s="671">
        <f>+BH47</f>
        <v>571428.57142857148</v>
      </c>
      <c r="BI48" s="671">
        <f t="shared" si="5"/>
        <v>18809523.80952381</v>
      </c>
      <c r="BJ48" s="653">
        <f>+BG$29*BI48+BH48</f>
        <v>571428.57142857148</v>
      </c>
      <c r="BK48" s="672">
        <f>+BK47</f>
        <v>29600000</v>
      </c>
      <c r="BL48" s="658">
        <f>+BL47</f>
        <v>1200000</v>
      </c>
      <c r="BM48" s="671">
        <f t="shared" si="9"/>
        <v>28400000</v>
      </c>
      <c r="BN48" s="653">
        <f>+BK$29*BM48+BL48</f>
        <v>1200000</v>
      </c>
      <c r="BO48" s="672">
        <f>+BO47</f>
        <v>19833333.333333332</v>
      </c>
      <c r="BP48" s="658">
        <f>+BP47</f>
        <v>666666.66666666663</v>
      </c>
      <c r="BQ48" s="671">
        <f t="shared" si="10"/>
        <v>19166666.666666664</v>
      </c>
      <c r="BR48" s="653">
        <f>+BO$29*BQ48+BP48</f>
        <v>666666.66666666663</v>
      </c>
      <c r="BS48" s="564">
        <f>+BS47</f>
        <v>365679</v>
      </c>
      <c r="BT48" s="564">
        <f>+BT47</f>
        <v>0</v>
      </c>
      <c r="BU48" s="564">
        <f t="shared" si="18"/>
        <v>365679</v>
      </c>
      <c r="BV48" s="590">
        <f>+(((BS$29*BU48)*(12-BS$32)/12))+BT48</f>
        <v>0</v>
      </c>
      <c r="BW48" s="564"/>
      <c r="BX48" s="564"/>
      <c r="BY48" s="564"/>
      <c r="BZ48" s="590"/>
      <c r="CA48" s="564"/>
      <c r="CB48" s="564"/>
      <c r="CC48" s="564"/>
      <c r="CD48" s="590"/>
      <c r="CE48" s="564"/>
      <c r="CF48" s="564"/>
      <c r="CG48" s="564"/>
      <c r="CH48" s="590"/>
      <c r="CI48" s="564"/>
      <c r="CJ48" s="564"/>
      <c r="CK48" s="564"/>
      <c r="CL48" s="590"/>
      <c r="CM48" s="564"/>
      <c r="CN48" s="564"/>
      <c r="CO48" s="564"/>
      <c r="CP48" s="590"/>
      <c r="CQ48" s="564"/>
      <c r="CR48" s="564"/>
      <c r="CS48" s="564"/>
      <c r="CT48" s="590"/>
      <c r="CU48" s="564"/>
      <c r="CV48" s="564"/>
      <c r="CW48" s="564"/>
      <c r="CX48" s="590"/>
      <c r="CY48" s="564"/>
      <c r="CZ48" s="564"/>
      <c r="DA48" s="564"/>
      <c r="DB48" s="590"/>
      <c r="DC48" s="564"/>
      <c r="DD48" s="564"/>
      <c r="DE48" s="564"/>
      <c r="DF48" s="590"/>
      <c r="DG48" s="564"/>
      <c r="DH48" s="564"/>
      <c r="DI48" s="564"/>
      <c r="DJ48" s="590"/>
      <c r="DK48" s="564"/>
      <c r="DL48" s="564"/>
      <c r="DM48" s="564"/>
      <c r="DN48" s="590"/>
      <c r="DO48" s="589"/>
      <c r="DP48" s="564"/>
      <c r="DQ48" s="564"/>
      <c r="DR48" s="590"/>
      <c r="DS48" s="589"/>
      <c r="DT48" s="564"/>
      <c r="DU48" s="564"/>
      <c r="DV48" s="590"/>
      <c r="DW48" s="589"/>
      <c r="DX48" s="564"/>
      <c r="DY48" s="564"/>
      <c r="DZ48" s="590"/>
      <c r="EA48" s="589"/>
      <c r="EB48" s="564"/>
      <c r="EC48" s="564"/>
      <c r="ED48" s="590"/>
      <c r="EE48" s="589"/>
      <c r="EF48" s="564"/>
      <c r="EG48" s="564"/>
      <c r="EH48" s="590"/>
      <c r="EI48" s="589"/>
      <c r="EJ48" s="564"/>
      <c r="EK48" s="564"/>
      <c r="EL48" s="590"/>
      <c r="EM48" s="589"/>
      <c r="EN48" s="564"/>
      <c r="EO48" s="564"/>
      <c r="EP48" s="590"/>
      <c r="EQ48" s="678">
        <f t="shared" si="3"/>
        <v>15500564.118629592</v>
      </c>
      <c r="ER48" s="695">
        <f>+EQ48</f>
        <v>15500564.118629592</v>
      </c>
      <c r="ES48" s="674"/>
      <c r="ET48" s="677"/>
      <c r="EV48" s="589"/>
      <c r="EW48" s="564"/>
      <c r="EX48" s="564"/>
      <c r="EY48" s="590"/>
      <c r="EZ48" s="589"/>
      <c r="FA48" s="564"/>
      <c r="FB48" s="564"/>
      <c r="FC48" s="590"/>
      <c r="FD48" s="589"/>
      <c r="FE48" s="564"/>
      <c r="FF48" s="564"/>
      <c r="FG48" s="590"/>
      <c r="FH48" s="589"/>
      <c r="FI48" s="564"/>
      <c r="FJ48" s="564"/>
      <c r="FK48" s="590"/>
      <c r="FL48" s="589"/>
      <c r="FM48" s="564"/>
      <c r="FN48" s="564"/>
      <c r="FO48" s="590"/>
      <c r="FP48" s="589"/>
      <c r="FQ48" s="564"/>
      <c r="FR48" s="564"/>
      <c r="FS48" s="590"/>
      <c r="FT48" s="589"/>
      <c r="FU48" s="564"/>
      <c r="FV48" s="564"/>
      <c r="FW48" s="590"/>
      <c r="FX48" s="589"/>
      <c r="FY48" s="564"/>
      <c r="FZ48" s="564"/>
      <c r="GA48" s="590"/>
      <c r="GB48" s="589"/>
      <c r="GC48" s="564"/>
      <c r="GD48" s="564"/>
      <c r="GE48" s="590"/>
      <c r="GF48" s="589"/>
      <c r="GG48" s="564"/>
      <c r="GH48" s="564"/>
      <c r="GI48" s="590"/>
      <c r="GJ48" s="589"/>
      <c r="GK48" s="564"/>
      <c r="GL48" s="564"/>
      <c r="GM48" s="590"/>
      <c r="GN48" s="589"/>
      <c r="GO48" s="564"/>
      <c r="GP48" s="564"/>
      <c r="GQ48" s="590"/>
      <c r="GR48" s="589"/>
      <c r="GS48" s="564"/>
      <c r="GT48" s="564"/>
      <c r="GU48" s="590"/>
      <c r="GV48" s="672"/>
      <c r="GW48" s="676"/>
      <c r="GX48" s="676"/>
      <c r="GY48" s="1366"/>
      <c r="GZ48" s="672"/>
      <c r="HA48" s="671"/>
      <c r="HB48" s="671"/>
      <c r="HC48" s="1366"/>
      <c r="HD48" s="672"/>
      <c r="HE48" s="671"/>
      <c r="HF48" s="671"/>
      <c r="HG48" s="1366"/>
      <c r="HI48" s="589"/>
      <c r="HJ48" s="564"/>
      <c r="HK48" s="564"/>
      <c r="HL48" s="590"/>
      <c r="HM48" s="589"/>
      <c r="HN48" s="564"/>
      <c r="HO48" s="564"/>
      <c r="HP48" s="590"/>
      <c r="HQ48" s="589"/>
      <c r="HR48" s="564"/>
      <c r="HS48" s="564"/>
      <c r="HT48" s="590"/>
    </row>
    <row r="49" spans="1:228">
      <c r="A49" s="649" t="s">
        <v>24</v>
      </c>
      <c r="B49" s="670">
        <f t="shared" si="0"/>
        <v>2011</v>
      </c>
      <c r="C49" s="671">
        <f>+E48</f>
        <v>18611815.335795455</v>
      </c>
      <c r="D49" s="671">
        <f>+C$31</f>
        <v>445791.98409090913</v>
      </c>
      <c r="E49" s="671">
        <f t="shared" si="6"/>
        <v>18166023.351704545</v>
      </c>
      <c r="F49" s="653">
        <f>+C$28*E49+D49</f>
        <v>2536238.3284002105</v>
      </c>
      <c r="G49" s="671">
        <f>+I48</f>
        <v>4807391.106136363</v>
      </c>
      <c r="H49" s="671">
        <f>+G$31</f>
        <v>115840.74954545456</v>
      </c>
      <c r="I49" s="671">
        <f t="shared" si="7"/>
        <v>4691550.356590908</v>
      </c>
      <c r="J49" s="653">
        <f>+G$28*I49+H49</f>
        <v>655718.6359821806</v>
      </c>
      <c r="K49" s="672">
        <f>+M48</f>
        <v>12445855.266306818</v>
      </c>
      <c r="L49" s="671">
        <f>+K$31</f>
        <v>305419.76113636367</v>
      </c>
      <c r="M49" s="671">
        <f t="shared" si="8"/>
        <v>12140435.505170453</v>
      </c>
      <c r="N49" s="653">
        <f>+K$28*M49+L49</f>
        <v>1702474.5005669983</v>
      </c>
      <c r="O49" s="672">
        <f>+Q48</f>
        <v>5110715.6287878789</v>
      </c>
      <c r="P49" s="671">
        <f>+O$31</f>
        <v>119316.31818181818</v>
      </c>
      <c r="Q49" s="671">
        <f t="shared" si="11"/>
        <v>4991399.3106060605</v>
      </c>
      <c r="R49" s="653">
        <f>+O$28*Q49+P49</f>
        <v>693699.17786614993</v>
      </c>
      <c r="S49" s="589">
        <f>+U48</f>
        <v>2400663.2078787871</v>
      </c>
      <c r="T49" s="564">
        <f>+S$31</f>
        <v>58315.705454545445</v>
      </c>
      <c r="U49" s="564">
        <f t="shared" si="12"/>
        <v>2342347.5024242415</v>
      </c>
      <c r="V49" s="590">
        <f>+S$28*U49+T49</f>
        <v>327860.21053112438</v>
      </c>
      <c r="W49" s="589">
        <f>+Y48</f>
        <v>29696076.450757574</v>
      </c>
      <c r="X49" s="564">
        <f>+W$31</f>
        <v>693293.61363636365</v>
      </c>
      <c r="Y49" s="564">
        <f t="shared" si="13"/>
        <v>29002782.837121211</v>
      </c>
      <c r="Z49" s="590">
        <f>+W$28*Y49+X49</f>
        <v>4030774.8104205616</v>
      </c>
      <c r="AA49" s="589">
        <f>+AC48</f>
        <v>19348262.263257574</v>
      </c>
      <c r="AB49" s="564">
        <f>+AA$31</f>
        <v>450833.29545454547</v>
      </c>
      <c r="AC49" s="564">
        <f t="shared" si="14"/>
        <v>18897428.967803027</v>
      </c>
      <c r="AD49" s="590">
        <f>+AA$28*AC49+AB49</f>
        <v>2625445.7870146097</v>
      </c>
      <c r="AE49" s="589">
        <f>+AG48</f>
        <v>195410.17045454547</v>
      </c>
      <c r="AF49" s="564">
        <f>+AE$31</f>
        <v>4597.886363636364</v>
      </c>
      <c r="AG49" s="564">
        <f t="shared" si="15"/>
        <v>190812.28409090912</v>
      </c>
      <c r="AH49" s="590">
        <f>+AE$28*AG49+AF49</f>
        <v>26555.517596655834</v>
      </c>
      <c r="AI49" s="589">
        <f>+AK48</f>
        <v>12954829.094696969</v>
      </c>
      <c r="AJ49" s="564">
        <f>+AI$31</f>
        <v>295547.43181818182</v>
      </c>
      <c r="AK49" s="564">
        <f t="shared" si="19"/>
        <v>12659281.662878787</v>
      </c>
      <c r="AL49" s="590">
        <f>+AI$28*AK49+AJ49</f>
        <v>1752308.1417103452</v>
      </c>
      <c r="AM49" s="589">
        <f>+AO48</f>
        <v>4822710.8321590908</v>
      </c>
      <c r="AN49" s="564">
        <f>+AM$31</f>
        <v>110866.91568181818</v>
      </c>
      <c r="AO49" s="564">
        <f t="shared" si="16"/>
        <v>4711843.9164772723</v>
      </c>
      <c r="AP49" s="590">
        <f>+AM$28*AO49+AN49</f>
        <v>653080.07369978947</v>
      </c>
      <c r="AQ49" s="589">
        <f>+AS48</f>
        <v>39590785.380681813</v>
      </c>
      <c r="AR49" s="564">
        <f>+AQ$31</f>
        <v>904932.23727272719</v>
      </c>
      <c r="AS49" s="564">
        <f t="shared" si="17"/>
        <v>38685853.143409088</v>
      </c>
      <c r="AT49" s="590">
        <f>+AQ$28*AS49+AR49</f>
        <v>5356688.0626629768</v>
      </c>
      <c r="AU49" s="672">
        <f>+AW48</f>
        <v>27625000</v>
      </c>
      <c r="AV49" s="671">
        <f>+AU$31</f>
        <v>750000</v>
      </c>
      <c r="AW49" s="671">
        <f t="shared" si="1"/>
        <v>26875000</v>
      </c>
      <c r="AX49" s="653">
        <f>+AU$28*AW49+AV49</f>
        <v>750000</v>
      </c>
      <c r="AY49" s="672">
        <f>+BA48</f>
        <v>18083333.333333332</v>
      </c>
      <c r="AZ49" s="671">
        <f>+AY$31</f>
        <v>500000</v>
      </c>
      <c r="BA49" s="671">
        <f t="shared" si="2"/>
        <v>17583333.333333332</v>
      </c>
      <c r="BB49" s="653">
        <f>+AY$28*BA49+AZ49</f>
        <v>500000</v>
      </c>
      <c r="BC49" s="672">
        <f>+BE48</f>
        <v>28000000</v>
      </c>
      <c r="BD49" s="671">
        <f>+BC$31</f>
        <v>750000</v>
      </c>
      <c r="BE49" s="671">
        <f t="shared" si="4"/>
        <v>27250000</v>
      </c>
      <c r="BF49" s="653">
        <f>+BC$28*BE49+BD49</f>
        <v>750000</v>
      </c>
      <c r="BG49" s="672">
        <f>+BI48</f>
        <v>18809523.80952381</v>
      </c>
      <c r="BH49" s="671">
        <f>+BG$31</f>
        <v>571428.57142857148</v>
      </c>
      <c r="BI49" s="671">
        <f t="shared" si="5"/>
        <v>18238095.238095239</v>
      </c>
      <c r="BJ49" s="653">
        <f>+BG$28*BI49+BH49</f>
        <v>571428.57142857148</v>
      </c>
      <c r="BK49" s="672">
        <f>+BM48</f>
        <v>28400000</v>
      </c>
      <c r="BL49" s="671">
        <f>+BK$31</f>
        <v>1200000</v>
      </c>
      <c r="BM49" s="671">
        <f t="shared" si="9"/>
        <v>27200000</v>
      </c>
      <c r="BN49" s="653">
        <f>+BK$28*BM49+BL49</f>
        <v>1200000</v>
      </c>
      <c r="BO49" s="672">
        <f>+BQ48</f>
        <v>19166666.666666664</v>
      </c>
      <c r="BP49" s="671">
        <f>+BO$31</f>
        <v>666666.66666666663</v>
      </c>
      <c r="BQ49" s="671">
        <f t="shared" si="10"/>
        <v>18499999.999999996</v>
      </c>
      <c r="BR49" s="653">
        <f>+BO$28*BQ49+BP49</f>
        <v>666666.66666666663</v>
      </c>
      <c r="BS49" s="589">
        <f>+BU48</f>
        <v>365679</v>
      </c>
      <c r="BT49" s="564">
        <f>+BS$31</f>
        <v>8310.886363636364</v>
      </c>
      <c r="BU49" s="564">
        <f t="shared" si="18"/>
        <v>357368.11363636365</v>
      </c>
      <c r="BV49" s="590">
        <f>+BS$28*BU49+BT49</f>
        <v>49434.849063692542</v>
      </c>
      <c r="BW49" s="589">
        <f>+BW30</f>
        <v>25381014</v>
      </c>
      <c r="BX49" s="564">
        <f>+BW$31/12*(12-$CE$32)</f>
        <v>432630.92045454547</v>
      </c>
      <c r="BY49" s="564">
        <f>+BW49-BX49</f>
        <v>24948383.079545453</v>
      </c>
      <c r="BZ49" s="590">
        <f>+(((BW$28*BY49)*(12-BW$32)/12))+BX49</f>
        <v>1868092.474019327</v>
      </c>
      <c r="CA49" s="589">
        <f>+CA30</f>
        <v>2395092.48</v>
      </c>
      <c r="CB49" s="564">
        <f>+CA$31/12*(12-$CE$32)</f>
        <v>40825.440000000002</v>
      </c>
      <c r="CC49" s="564">
        <f>+CA49-CB49</f>
        <v>2354267.04</v>
      </c>
      <c r="CD49" s="590">
        <f>+(((CA$28*CC49)*(12-CA$32)/12))+CB49</f>
        <v>153707.16503904318</v>
      </c>
      <c r="CE49" s="589">
        <f>+CE30</f>
        <v>207901.28</v>
      </c>
      <c r="CF49" s="564">
        <f>+CE$31/12*(12-$CE$32)</f>
        <v>3543.7718181818182</v>
      </c>
      <c r="CG49" s="564">
        <f>+CE49-CF49</f>
        <v>204357.50818181818</v>
      </c>
      <c r="CH49" s="590">
        <f>+(((CE$28*CG49)*(12-CE$32)/12))+CF49</f>
        <v>21181.027822428143</v>
      </c>
      <c r="CI49" s="589"/>
      <c r="CK49" s="564"/>
      <c r="CL49" s="590"/>
      <c r="CM49" s="589"/>
      <c r="CO49" s="564"/>
      <c r="CP49" s="590"/>
      <c r="CQ49" s="589"/>
      <c r="CS49" s="564"/>
      <c r="CT49" s="590"/>
      <c r="CU49" s="589"/>
      <c r="CW49" s="564"/>
      <c r="CX49" s="590"/>
      <c r="CY49" s="589"/>
      <c r="DA49" s="564"/>
      <c r="DB49" s="590"/>
      <c r="DC49" s="589"/>
      <c r="DE49" s="564"/>
      <c r="DF49" s="590"/>
      <c r="DG49" s="589"/>
      <c r="DI49" s="564"/>
      <c r="DJ49" s="590"/>
      <c r="DK49" s="589"/>
      <c r="DM49" s="564"/>
      <c r="DN49" s="590"/>
      <c r="DO49" s="589"/>
      <c r="DP49" s="564"/>
      <c r="DQ49" s="564"/>
      <c r="DR49" s="590"/>
      <c r="DS49" s="589"/>
      <c r="DT49" s="564"/>
      <c r="DU49" s="564"/>
      <c r="DV49" s="590"/>
      <c r="DW49" s="589"/>
      <c r="DX49" s="564"/>
      <c r="DY49" s="564"/>
      <c r="DZ49" s="590"/>
      <c r="EA49" s="589"/>
      <c r="EB49" s="564"/>
      <c r="EC49" s="564"/>
      <c r="ED49" s="590"/>
      <c r="EE49" s="589"/>
      <c r="EF49" s="564"/>
      <c r="EG49" s="564"/>
      <c r="EH49" s="590"/>
      <c r="EI49" s="589"/>
      <c r="EJ49" s="564"/>
      <c r="EK49" s="564"/>
      <c r="EL49" s="590"/>
      <c r="EM49" s="589"/>
      <c r="EN49" s="564"/>
      <c r="EO49" s="564"/>
      <c r="EP49" s="590"/>
      <c r="EQ49" s="678">
        <f t="shared" si="3"/>
        <v>22453258.76239609</v>
      </c>
      <c r="ER49" s="652"/>
      <c r="ES49" s="674">
        <f>+EQ49</f>
        <v>22453258.76239609</v>
      </c>
      <c r="ET49" s="575"/>
      <c r="EV49" s="589"/>
      <c r="EW49" s="564"/>
      <c r="EX49" s="564"/>
      <c r="EY49" s="590"/>
      <c r="EZ49" s="589"/>
      <c r="FA49" s="564"/>
      <c r="FB49" s="564"/>
      <c r="FC49" s="590"/>
      <c r="FD49" s="589"/>
      <c r="FE49" s="564"/>
      <c r="FF49" s="564"/>
      <c r="FG49" s="590"/>
      <c r="FH49" s="589"/>
      <c r="FI49" s="564"/>
      <c r="FJ49" s="564"/>
      <c r="FK49" s="590"/>
      <c r="FL49" s="589"/>
      <c r="FM49" s="564"/>
      <c r="FN49" s="564"/>
      <c r="FO49" s="590"/>
      <c r="FP49" s="589"/>
      <c r="FQ49" s="564"/>
      <c r="FR49" s="564"/>
      <c r="FS49" s="590"/>
      <c r="FT49" s="589"/>
      <c r="FU49" s="564"/>
      <c r="FV49" s="564"/>
      <c r="FW49" s="590"/>
      <c r="FX49" s="589"/>
      <c r="FY49" s="564"/>
      <c r="FZ49" s="564"/>
      <c r="GA49" s="590"/>
      <c r="GB49" s="589"/>
      <c r="GC49" s="564"/>
      <c r="GD49" s="564"/>
      <c r="GE49" s="590"/>
      <c r="GF49" s="589"/>
      <c r="GG49" s="564"/>
      <c r="GH49" s="564"/>
      <c r="GI49" s="590"/>
      <c r="GJ49" s="589"/>
      <c r="GK49" s="564"/>
      <c r="GL49" s="564"/>
      <c r="GM49" s="590"/>
      <c r="GN49" s="589"/>
      <c r="GO49" s="564"/>
      <c r="GP49" s="564"/>
      <c r="GQ49" s="590"/>
      <c r="GR49" s="589"/>
      <c r="GS49" s="564"/>
      <c r="GT49" s="564"/>
      <c r="GU49" s="590"/>
      <c r="GV49" s="672"/>
      <c r="GW49" s="676"/>
      <c r="GX49" s="676"/>
      <c r="GY49" s="1366"/>
      <c r="GZ49" s="672"/>
      <c r="HA49" s="671"/>
      <c r="HB49" s="671"/>
      <c r="HC49" s="1366"/>
      <c r="HD49" s="672"/>
      <c r="HE49" s="671"/>
      <c r="HF49" s="671"/>
      <c r="HG49" s="1366"/>
      <c r="HI49" s="589"/>
      <c r="HJ49" s="564"/>
      <c r="HK49" s="564"/>
      <c r="HL49" s="590"/>
      <c r="HM49" s="589"/>
      <c r="HN49" s="564"/>
      <c r="HO49" s="564"/>
      <c r="HP49" s="590"/>
      <c r="HQ49" s="589"/>
      <c r="HR49" s="564"/>
      <c r="HS49" s="564"/>
      <c r="HT49" s="590"/>
    </row>
    <row r="50" spans="1:228">
      <c r="A50" s="649" t="s">
        <v>23</v>
      </c>
      <c r="B50" s="670">
        <f t="shared" si="0"/>
        <v>2011</v>
      </c>
      <c r="C50" s="671">
        <f>+C49</f>
        <v>18611815.335795455</v>
      </c>
      <c r="D50" s="671">
        <f>+D49</f>
        <v>445791.98409090913</v>
      </c>
      <c r="E50" s="671">
        <f t="shared" si="6"/>
        <v>18166023.351704545</v>
      </c>
      <c r="F50" s="653">
        <f>+C$29*E50+D50</f>
        <v>2647107.4842795478</v>
      </c>
      <c r="G50" s="671">
        <f>+G49</f>
        <v>4807391.106136363</v>
      </c>
      <c r="H50" s="671">
        <f>+H49</f>
        <v>115840.74954545456</v>
      </c>
      <c r="I50" s="671">
        <f t="shared" si="7"/>
        <v>4691550.356590908</v>
      </c>
      <c r="J50" s="653">
        <f>+G$29*I50+H50</f>
        <v>684351.66246961127</v>
      </c>
      <c r="K50" s="672">
        <f>+K49</f>
        <v>12445855.266306818</v>
      </c>
      <c r="L50" s="671">
        <f>+L49</f>
        <v>305419.76113636367</v>
      </c>
      <c r="M50" s="671">
        <f t="shared" si="8"/>
        <v>12140435.505170453</v>
      </c>
      <c r="N50" s="653">
        <f>+K$29*M50+L50</f>
        <v>1776568.8585013943</v>
      </c>
      <c r="O50" s="672">
        <f>+O49</f>
        <v>5110715.6287878789</v>
      </c>
      <c r="P50" s="671">
        <f>+P49</f>
        <v>119316.31818181818</v>
      </c>
      <c r="Q50" s="671">
        <f t="shared" si="11"/>
        <v>4991399.3106060605</v>
      </c>
      <c r="R50" s="653">
        <f>+O$29*Q50+P50</f>
        <v>724162.21413499163</v>
      </c>
      <c r="S50" s="589">
        <f>+S49</f>
        <v>2400663.2078787871</v>
      </c>
      <c r="T50" s="564">
        <f>+T49</f>
        <v>58315.705454545445</v>
      </c>
      <c r="U50" s="564">
        <f t="shared" si="12"/>
        <v>2342347.5024242415</v>
      </c>
      <c r="V50" s="590">
        <f>+S$29*U50+T50</f>
        <v>342155.80430759519</v>
      </c>
      <c r="W50" s="589">
        <f>+W49</f>
        <v>29696076.450757574</v>
      </c>
      <c r="X50" s="564">
        <f>+X49</f>
        <v>693293.61363636365</v>
      </c>
      <c r="Y50" s="564">
        <f t="shared" si="13"/>
        <v>29002782.837121211</v>
      </c>
      <c r="Z50" s="590">
        <f>+W$29*Y50+X50</f>
        <v>4207781.8520305604</v>
      </c>
      <c r="AA50" s="589">
        <f>+AA49</f>
        <v>19348262.263257574</v>
      </c>
      <c r="AB50" s="564">
        <f>+AB49</f>
        <v>450833.29545454547</v>
      </c>
      <c r="AC50" s="564">
        <f t="shared" si="14"/>
        <v>18897428.967803027</v>
      </c>
      <c r="AD50" s="590">
        <f>+AA$29*AC50+AB50</f>
        <v>2740778.7884859238</v>
      </c>
      <c r="AE50" s="589">
        <f>+AE49</f>
        <v>195410.17045454547</v>
      </c>
      <c r="AF50" s="564">
        <f>+AF49</f>
        <v>4597.886363636364</v>
      </c>
      <c r="AG50" s="564">
        <f t="shared" si="15"/>
        <v>190812.28409090912</v>
      </c>
      <c r="AH50" s="590">
        <f>+AE$29*AG50+AF50</f>
        <v>27720.065085062673</v>
      </c>
      <c r="AI50" s="589">
        <f>+AI49</f>
        <v>12954829.094696969</v>
      </c>
      <c r="AJ50" s="564">
        <f>+AJ49</f>
        <v>295547.43181818182</v>
      </c>
      <c r="AK50" s="564">
        <f t="shared" si="19"/>
        <v>12659281.662878787</v>
      </c>
      <c r="AL50" s="590">
        <f>+AI$29*AK50+AJ50</f>
        <v>1829569.0724506141</v>
      </c>
      <c r="AM50" s="589">
        <f>+AM49</f>
        <v>4822710.8321590908</v>
      </c>
      <c r="AN50" s="564">
        <f>+AN49</f>
        <v>110866.91568181818</v>
      </c>
      <c r="AO50" s="564">
        <f t="shared" si="16"/>
        <v>4711843.9164772723</v>
      </c>
      <c r="AP50" s="590">
        <f>+AM$29*AO50+AN50</f>
        <v>681836.95392289071</v>
      </c>
      <c r="AQ50" s="589">
        <f>+AQ49</f>
        <v>39590785.380681813</v>
      </c>
      <c r="AR50" s="564">
        <f>+AR49</f>
        <v>904932.23727272719</v>
      </c>
      <c r="AS50" s="564">
        <f t="shared" si="17"/>
        <v>38685853.143409088</v>
      </c>
      <c r="AT50" s="590">
        <f>+AQ$29*AS50+AR50</f>
        <v>5592791.9033023398</v>
      </c>
      <c r="AU50" s="672">
        <f>+AU49</f>
        <v>27625000</v>
      </c>
      <c r="AV50" s="671">
        <f>+AV49</f>
        <v>750000</v>
      </c>
      <c r="AW50" s="671">
        <f t="shared" si="1"/>
        <v>26875000</v>
      </c>
      <c r="AX50" s="653">
        <f>+AU$29*AW50+AV50</f>
        <v>750000</v>
      </c>
      <c r="AY50" s="672">
        <f>+AY49</f>
        <v>18083333.333333332</v>
      </c>
      <c r="AZ50" s="671">
        <f>+AZ49</f>
        <v>500000</v>
      </c>
      <c r="BA50" s="671">
        <f t="shared" si="2"/>
        <v>17583333.333333332</v>
      </c>
      <c r="BB50" s="653">
        <f>+AY$29*BA50+AZ50</f>
        <v>500000</v>
      </c>
      <c r="BC50" s="672">
        <f>+BC49</f>
        <v>28000000</v>
      </c>
      <c r="BD50" s="671">
        <f>+BD49</f>
        <v>750000</v>
      </c>
      <c r="BE50" s="671">
        <f t="shared" si="4"/>
        <v>27250000</v>
      </c>
      <c r="BF50" s="653">
        <f>+BC$29*BE50+BD50</f>
        <v>750000</v>
      </c>
      <c r="BG50" s="672">
        <f>+BG49</f>
        <v>18809523.80952381</v>
      </c>
      <c r="BH50" s="671">
        <f>+BH49</f>
        <v>571428.57142857148</v>
      </c>
      <c r="BI50" s="671">
        <f t="shared" si="5"/>
        <v>18238095.238095239</v>
      </c>
      <c r="BJ50" s="653">
        <f>+BG$29*BI50+BH50</f>
        <v>571428.57142857148</v>
      </c>
      <c r="BK50" s="672">
        <f>+BK49</f>
        <v>28400000</v>
      </c>
      <c r="BL50" s="671">
        <f>+BL49</f>
        <v>1200000</v>
      </c>
      <c r="BM50" s="671">
        <f t="shared" si="9"/>
        <v>27200000</v>
      </c>
      <c r="BN50" s="653">
        <f>+BK$29*BM50+BL50</f>
        <v>1200000</v>
      </c>
      <c r="BO50" s="672">
        <f>+BO49</f>
        <v>19166666.666666664</v>
      </c>
      <c r="BP50" s="671">
        <f>+BP49</f>
        <v>666666.66666666663</v>
      </c>
      <c r="BQ50" s="671">
        <f t="shared" si="10"/>
        <v>18499999.999999996</v>
      </c>
      <c r="BR50" s="653">
        <f>+BO$29*BQ50+BP50</f>
        <v>666666.66666666663</v>
      </c>
      <c r="BS50" s="589">
        <f>+BS49</f>
        <v>365679</v>
      </c>
      <c r="BT50" s="564">
        <f>+BT49</f>
        <v>8310.886363636364</v>
      </c>
      <c r="BU50" s="564">
        <f t="shared" si="18"/>
        <v>357368.11363636365</v>
      </c>
      <c r="BV50" s="590">
        <f>+BS$29*BU50+BT50</f>
        <v>51615.904340897017</v>
      </c>
      <c r="BW50" s="589">
        <f>+BW49</f>
        <v>25381014</v>
      </c>
      <c r="BX50" s="564">
        <f>+BX49</f>
        <v>432630.92045454547</v>
      </c>
      <c r="BY50" s="564">
        <f t="shared" ref="BY50:BY113" si="20">+BW50-BX50</f>
        <v>24948383.079545453</v>
      </c>
      <c r="BZ50" s="590">
        <f>+(((BW$29*BY50)*(12-BW$32)/12))+BX50</f>
        <v>1868092.474019327</v>
      </c>
      <c r="CA50" s="589">
        <f>+CA49</f>
        <v>2395092.48</v>
      </c>
      <c r="CB50" s="564">
        <f>+CB49</f>
        <v>40825.440000000002</v>
      </c>
      <c r="CC50" s="564">
        <f t="shared" ref="CC50:CC113" si="21">+CA50-CB50</f>
        <v>2354267.04</v>
      </c>
      <c r="CD50" s="590">
        <f>+(((CA$29*CC50)*(12-CA$32)/12))+CB50</f>
        <v>159693.9733603145</v>
      </c>
      <c r="CE50" s="589">
        <f>+CE49</f>
        <v>207901.28</v>
      </c>
      <c r="CF50" s="564">
        <f>+CF49</f>
        <v>3543.7718181818182</v>
      </c>
      <c r="CG50" s="564">
        <f t="shared" ref="CG50:CG113" si="22">+CE50-CF50</f>
        <v>204357.50818181818</v>
      </c>
      <c r="CH50" s="590">
        <f>+(((CE$29*CG50)*(12-CE$32)/12))+CF50</f>
        <v>22116.439386825245</v>
      </c>
      <c r="CI50" s="589"/>
      <c r="CJ50" s="564"/>
      <c r="CK50" s="564"/>
      <c r="CL50" s="590"/>
      <c r="CM50" s="589"/>
      <c r="CN50" s="564"/>
      <c r="CO50" s="564"/>
      <c r="CP50" s="590"/>
      <c r="CQ50" s="589"/>
      <c r="CR50" s="564"/>
      <c r="CS50" s="564"/>
      <c r="CT50" s="590"/>
      <c r="CU50" s="589"/>
      <c r="CV50" s="564"/>
      <c r="CW50" s="564"/>
      <c r="CX50" s="590"/>
      <c r="CY50" s="589"/>
      <c r="CZ50" s="564"/>
      <c r="DA50" s="564"/>
      <c r="DB50" s="590"/>
      <c r="DC50" s="589"/>
      <c r="DD50" s="564"/>
      <c r="DE50" s="564"/>
      <c r="DF50" s="590"/>
      <c r="DG50" s="589"/>
      <c r="DH50" s="564"/>
      <c r="DI50" s="564"/>
      <c r="DJ50" s="590"/>
      <c r="DK50" s="589"/>
      <c r="DL50" s="564"/>
      <c r="DM50" s="564"/>
      <c r="DN50" s="590"/>
      <c r="DO50" s="589"/>
      <c r="DP50" s="564"/>
      <c r="DQ50" s="564"/>
      <c r="DR50" s="590"/>
      <c r="DS50" s="589"/>
      <c r="DT50" s="564"/>
      <c r="DU50" s="564"/>
      <c r="DV50" s="590"/>
      <c r="DW50" s="589"/>
      <c r="DX50" s="564"/>
      <c r="DY50" s="564"/>
      <c r="DZ50" s="590"/>
      <c r="EA50" s="589"/>
      <c r="EB50" s="564"/>
      <c r="EC50" s="564"/>
      <c r="ED50" s="590"/>
      <c r="EE50" s="589"/>
      <c r="EF50" s="564"/>
      <c r="EG50" s="564"/>
      <c r="EH50" s="590"/>
      <c r="EI50" s="589"/>
      <c r="EJ50" s="564"/>
      <c r="EK50" s="564"/>
      <c r="EL50" s="590"/>
      <c r="EM50" s="589"/>
      <c r="EN50" s="564"/>
      <c r="EO50" s="564"/>
      <c r="EP50" s="590"/>
      <c r="EQ50" s="678">
        <f t="shared" si="3"/>
        <v>23356343.450077895</v>
      </c>
      <c r="ER50" s="675">
        <f>+EQ50</f>
        <v>23356343.450077895</v>
      </c>
      <c r="ES50" s="648"/>
      <c r="ET50" s="696"/>
      <c r="EV50" s="589"/>
      <c r="EW50" s="564"/>
      <c r="EX50" s="564"/>
      <c r="EY50" s="590"/>
      <c r="EZ50" s="589"/>
      <c r="FA50" s="564"/>
      <c r="FB50" s="564"/>
      <c r="FC50" s="590"/>
      <c r="FD50" s="589"/>
      <c r="FE50" s="564"/>
      <c r="FF50" s="564"/>
      <c r="FG50" s="590"/>
      <c r="FH50" s="589"/>
      <c r="FI50" s="564"/>
      <c r="FJ50" s="564"/>
      <c r="FK50" s="590"/>
      <c r="FL50" s="589"/>
      <c r="FM50" s="564"/>
      <c r="FN50" s="564"/>
      <c r="FO50" s="590"/>
      <c r="FP50" s="589"/>
      <c r="FQ50" s="564"/>
      <c r="FR50" s="564"/>
      <c r="FS50" s="590"/>
      <c r="FT50" s="589"/>
      <c r="FU50" s="564"/>
      <c r="FV50" s="564"/>
      <c r="FW50" s="590"/>
      <c r="FX50" s="589"/>
      <c r="FY50" s="564"/>
      <c r="FZ50" s="564"/>
      <c r="GA50" s="590"/>
      <c r="GB50" s="589"/>
      <c r="GC50" s="564"/>
      <c r="GD50" s="564"/>
      <c r="GE50" s="590"/>
      <c r="GF50" s="589"/>
      <c r="GG50" s="564"/>
      <c r="GH50" s="564"/>
      <c r="GI50" s="590"/>
      <c r="GJ50" s="589"/>
      <c r="GK50" s="564"/>
      <c r="GL50" s="564"/>
      <c r="GM50" s="590"/>
      <c r="GN50" s="589"/>
      <c r="GO50" s="564"/>
      <c r="GP50" s="564"/>
      <c r="GQ50" s="590"/>
      <c r="GR50" s="589"/>
      <c r="GS50" s="564"/>
      <c r="GT50" s="564"/>
      <c r="GU50" s="590"/>
      <c r="GV50" s="672"/>
      <c r="GW50" s="676"/>
      <c r="GX50" s="676"/>
      <c r="GY50" s="1366"/>
      <c r="GZ50" s="672"/>
      <c r="HA50" s="671"/>
      <c r="HB50" s="671"/>
      <c r="HC50" s="1366"/>
      <c r="HD50" s="672"/>
      <c r="HE50" s="671"/>
      <c r="HF50" s="671"/>
      <c r="HG50" s="1366"/>
      <c r="HI50" s="589"/>
      <c r="HJ50" s="564"/>
      <c r="HK50" s="564"/>
      <c r="HL50" s="590"/>
      <c r="HM50" s="589"/>
      <c r="HN50" s="564"/>
      <c r="HO50" s="564"/>
      <c r="HP50" s="590"/>
      <c r="HQ50" s="589"/>
      <c r="HR50" s="564"/>
      <c r="HS50" s="564"/>
      <c r="HT50" s="590"/>
    </row>
    <row r="51" spans="1:228">
      <c r="A51" s="649" t="s">
        <v>24</v>
      </c>
      <c r="B51" s="670">
        <f t="shared" si="0"/>
        <v>2012</v>
      </c>
      <c r="C51" s="671">
        <f>+E50</f>
        <v>18166023.351704545</v>
      </c>
      <c r="D51" s="671">
        <f>+C$31</f>
        <v>445791.98409090913</v>
      </c>
      <c r="E51" s="671">
        <f t="shared" si="6"/>
        <v>17720231.367613636</v>
      </c>
      <c r="F51" s="653">
        <f>+C$28*E51+D51</f>
        <v>2484939.0316073438</v>
      </c>
      <c r="G51" s="671">
        <f>+I50</f>
        <v>4691550.356590908</v>
      </c>
      <c r="H51" s="671">
        <f>+G$31</f>
        <v>115840.74954545456</v>
      </c>
      <c r="I51" s="671">
        <f t="shared" si="7"/>
        <v>4575709.607045453</v>
      </c>
      <c r="J51" s="653">
        <f>+G$28*I51+H51</f>
        <v>642388.31779855769</v>
      </c>
      <c r="K51" s="672">
        <f>+M50</f>
        <v>12140435.505170453</v>
      </c>
      <c r="L51" s="671">
        <f>+K$31</f>
        <v>305419.76113636367</v>
      </c>
      <c r="M51" s="671">
        <f t="shared" si="8"/>
        <v>11835015.744034089</v>
      </c>
      <c r="N51" s="653">
        <f>+K$28*M51+L51</f>
        <v>1667328.4693863534</v>
      </c>
      <c r="O51" s="672">
        <f>+Q50</f>
        <v>4991399.3106060605</v>
      </c>
      <c r="P51" s="671">
        <f>+O$31</f>
        <v>119316.31818181818</v>
      </c>
      <c r="Q51" s="671">
        <f t="shared" si="11"/>
        <v>4872082.9924242422</v>
      </c>
      <c r="R51" s="653">
        <f>+O$28*Q51+P51</f>
        <v>679968.91030397452</v>
      </c>
      <c r="S51" s="589">
        <f>+U50</f>
        <v>2342347.5024242415</v>
      </c>
      <c r="T51" s="564">
        <f>+S$31</f>
        <v>58315.705454545445</v>
      </c>
      <c r="U51" s="564">
        <f t="shared" si="12"/>
        <v>2284031.7969696959</v>
      </c>
      <c r="V51" s="590">
        <f>+S$28*U51+T51</f>
        <v>321149.55895245436</v>
      </c>
      <c r="W51" s="589">
        <f>+Y50</f>
        <v>29002782.837121211</v>
      </c>
      <c r="X51" s="564">
        <f>+W$31</f>
        <v>693293.61363636365</v>
      </c>
      <c r="Y51" s="564">
        <f t="shared" si="13"/>
        <v>28309489.223484848</v>
      </c>
      <c r="Z51" s="590">
        <f>+W$28*Y51+X51</f>
        <v>3950994.3834058</v>
      </c>
      <c r="AA51" s="589">
        <f>+AC50</f>
        <v>18897428.967803027</v>
      </c>
      <c r="AB51" s="564">
        <f>+AA$31</f>
        <v>450833.29545454547</v>
      </c>
      <c r="AC51" s="564">
        <f t="shared" si="14"/>
        <v>18446595.672348481</v>
      </c>
      <c r="AD51" s="590">
        <f>+AA$28*AC51+AB51</f>
        <v>2573566.3637567153</v>
      </c>
      <c r="AE51" s="589">
        <f>+AG50</f>
        <v>190812.28409090912</v>
      </c>
      <c r="AF51" s="564">
        <f>+AE$31</f>
        <v>4597.886363636364</v>
      </c>
      <c r="AG51" s="564">
        <f t="shared" si="15"/>
        <v>186214.39772727276</v>
      </c>
      <c r="AH51" s="590">
        <f>+AE$28*AG51+AF51</f>
        <v>26026.418048872234</v>
      </c>
      <c r="AI51" s="589">
        <f>+AK50</f>
        <v>12659281.662878787</v>
      </c>
      <c r="AJ51" s="564">
        <f>+AI$31</f>
        <v>295547.43181818182</v>
      </c>
      <c r="AK51" s="564">
        <f t="shared" si="19"/>
        <v>12363734.231060605</v>
      </c>
      <c r="AL51" s="590">
        <f>+AI$28*AK51+AJ51</f>
        <v>1718298.1640474931</v>
      </c>
      <c r="AM51" s="589">
        <f>+AO50</f>
        <v>4711843.9164772723</v>
      </c>
      <c r="AN51" s="564">
        <f>+AM$31</f>
        <v>110866.91568181818</v>
      </c>
      <c r="AO51" s="564">
        <f t="shared" si="16"/>
        <v>4600977.0007954538</v>
      </c>
      <c r="AP51" s="590">
        <f>+AM$28*AO51+AN51</f>
        <v>640322.117040543</v>
      </c>
      <c r="AQ51" s="589">
        <f>+AS50</f>
        <v>38685853.143409088</v>
      </c>
      <c r="AR51" s="564">
        <f>+AQ$31</f>
        <v>904932.23727272719</v>
      </c>
      <c r="AS51" s="564">
        <f t="shared" si="17"/>
        <v>37780920.906136364</v>
      </c>
      <c r="AT51" s="590">
        <f>+AQ$28*AS51+AR51</f>
        <v>5252553.4234725619</v>
      </c>
      <c r="AU51" s="672">
        <f>+AW50</f>
        <v>26875000</v>
      </c>
      <c r="AV51" s="671">
        <f>+AU$31</f>
        <v>750000</v>
      </c>
      <c r="AW51" s="671">
        <f t="shared" si="1"/>
        <v>26125000</v>
      </c>
      <c r="AX51" s="653">
        <f>+AU$28*AW51+AV51</f>
        <v>750000</v>
      </c>
      <c r="AY51" s="672">
        <f>+BA50</f>
        <v>17583333.333333332</v>
      </c>
      <c r="AZ51" s="671">
        <f>+AY$31</f>
        <v>500000</v>
      </c>
      <c r="BA51" s="671">
        <f t="shared" si="2"/>
        <v>17083333.333333332</v>
      </c>
      <c r="BB51" s="653">
        <f>+AY$28*BA51+AZ51</f>
        <v>500000</v>
      </c>
      <c r="BC51" s="672">
        <f>+BE50</f>
        <v>27250000</v>
      </c>
      <c r="BD51" s="671">
        <f>+BC$31</f>
        <v>750000</v>
      </c>
      <c r="BE51" s="671">
        <f t="shared" si="4"/>
        <v>26500000</v>
      </c>
      <c r="BF51" s="653">
        <f>+BC$28*BE51+BD51</f>
        <v>750000</v>
      </c>
      <c r="BG51" s="672">
        <f>+BI50</f>
        <v>18238095.238095239</v>
      </c>
      <c r="BH51" s="671">
        <f>+BG$31</f>
        <v>571428.57142857148</v>
      </c>
      <c r="BI51" s="671">
        <f t="shared" si="5"/>
        <v>17666666.666666668</v>
      </c>
      <c r="BJ51" s="653">
        <f>+BG$28*BI51+BH51</f>
        <v>571428.57142857148</v>
      </c>
      <c r="BK51" s="672">
        <f>+BM50</f>
        <v>27200000</v>
      </c>
      <c r="BL51" s="671">
        <f>+BK$31</f>
        <v>1200000</v>
      </c>
      <c r="BM51" s="671">
        <f t="shared" si="9"/>
        <v>26000000</v>
      </c>
      <c r="BN51" s="653">
        <f>+BK$28*BM51+BL51</f>
        <v>1200000</v>
      </c>
      <c r="BO51" s="672">
        <f>+BQ50</f>
        <v>18499999.999999996</v>
      </c>
      <c r="BP51" s="671">
        <f>+BO$31</f>
        <v>666666.66666666663</v>
      </c>
      <c r="BQ51" s="671">
        <f t="shared" si="10"/>
        <v>17833333.333333328</v>
      </c>
      <c r="BR51" s="653">
        <f>+BO$28*BQ51+BP51</f>
        <v>666666.66666666663</v>
      </c>
      <c r="BS51" s="589">
        <f>+BU50</f>
        <v>357368.11363636365</v>
      </c>
      <c r="BT51" s="564">
        <f>+BS$31</f>
        <v>8310.886363636364</v>
      </c>
      <c r="BU51" s="564">
        <f t="shared" si="18"/>
        <v>349057.22727272729</v>
      </c>
      <c r="BV51" s="590">
        <f>+BS$28*BU51+BT51</f>
        <v>48478.477838109844</v>
      </c>
      <c r="BW51" s="589">
        <f>+BY50</f>
        <v>24948383.079545453</v>
      </c>
      <c r="BX51" s="564">
        <f>+BW$31</f>
        <v>576841.22727272729</v>
      </c>
      <c r="BY51" s="564">
        <f t="shared" si="20"/>
        <v>24371541.852272727</v>
      </c>
      <c r="BZ51" s="590">
        <f>+BW$28*BY51+BX51</f>
        <v>3381384.6093819542</v>
      </c>
      <c r="CA51" s="589">
        <f>+CC50</f>
        <v>2354267.04</v>
      </c>
      <c r="CB51" s="564">
        <f>+CA$31</f>
        <v>54433.919999999998</v>
      </c>
      <c r="CC51" s="564">
        <f t="shared" si="21"/>
        <v>2299833.12</v>
      </c>
      <c r="CD51" s="590">
        <f>+CA$28*CC51+CB51</f>
        <v>319086.10309731733</v>
      </c>
      <c r="CE51" s="589">
        <f>+CG50</f>
        <v>204357.50818181818</v>
      </c>
      <c r="CF51" s="564">
        <f>+CE$31</f>
        <v>4725.0290909090909</v>
      </c>
      <c r="CG51" s="564">
        <f t="shared" si="22"/>
        <v>199632.4790909091</v>
      </c>
      <c r="CH51" s="590">
        <f>+CE$28*CG51+CF51</f>
        <v>27697.639994320489</v>
      </c>
      <c r="CI51" s="589">
        <f>+CI30</f>
        <v>543960</v>
      </c>
      <c r="CJ51" s="564">
        <f>+CI$31/12*(12-$CE$32)</f>
        <v>9272.045454545454</v>
      </c>
      <c r="CK51" s="564">
        <f>+CI51-CJ51</f>
        <v>534687.95454545459</v>
      </c>
      <c r="CL51" s="590">
        <f t="shared" ref="CL51:CL52" si="23">+(((CI$28*CK51)*(12-CI$32)/12))+CJ53</f>
        <v>63636.858576615727</v>
      </c>
      <c r="CM51" s="589"/>
      <c r="CN51" s="564"/>
      <c r="CO51" s="564"/>
      <c r="CP51" s="590"/>
      <c r="CQ51" s="589"/>
      <c r="CR51" s="564"/>
      <c r="CS51" s="564"/>
      <c r="CT51" s="590"/>
      <c r="CU51" s="589"/>
      <c r="CV51" s="564"/>
      <c r="CW51" s="564"/>
      <c r="CX51" s="590"/>
      <c r="CY51" s="589"/>
      <c r="CZ51" s="564"/>
      <c r="DA51" s="564"/>
      <c r="DB51" s="590"/>
      <c r="DC51" s="589"/>
      <c r="DD51" s="564"/>
      <c r="DE51" s="564"/>
      <c r="DF51" s="590"/>
      <c r="DG51" s="589"/>
      <c r="DH51" s="564"/>
      <c r="DI51" s="564"/>
      <c r="DJ51" s="590"/>
      <c r="DK51" s="589"/>
      <c r="DL51" s="564"/>
      <c r="DM51" s="564"/>
      <c r="DN51" s="590"/>
      <c r="DO51" s="589"/>
      <c r="DP51" s="564"/>
      <c r="DQ51" s="564"/>
      <c r="DR51" s="590"/>
      <c r="DS51" s="589"/>
      <c r="DT51" s="564"/>
      <c r="DU51" s="564"/>
      <c r="DV51" s="590"/>
      <c r="DW51" s="589"/>
      <c r="DX51" s="564"/>
      <c r="DY51" s="564"/>
      <c r="DZ51" s="590"/>
      <c r="EA51" s="589"/>
      <c r="EB51" s="564"/>
      <c r="EC51" s="564"/>
      <c r="ED51" s="590"/>
      <c r="EE51" s="589"/>
      <c r="EF51" s="564"/>
      <c r="EG51" s="564"/>
      <c r="EH51" s="590"/>
      <c r="EI51" s="589"/>
      <c r="EJ51" s="564"/>
      <c r="EK51" s="564"/>
      <c r="EL51" s="590"/>
      <c r="EM51" s="589"/>
      <c r="EN51" s="564"/>
      <c r="EO51" s="564"/>
      <c r="EP51" s="590"/>
      <c r="EQ51" s="678">
        <f t="shared" si="3"/>
        <v>23797818.846708983</v>
      </c>
      <c r="ER51" s="652"/>
      <c r="ES51" s="674">
        <f>+EQ51</f>
        <v>23797818.846708983</v>
      </c>
      <c r="ET51" s="575"/>
      <c r="EV51" s="589"/>
      <c r="EW51" s="564"/>
      <c r="EX51" s="564"/>
      <c r="EY51" s="590"/>
      <c r="EZ51" s="589"/>
      <c r="FA51" s="564"/>
      <c r="FB51" s="564"/>
      <c r="FC51" s="590"/>
      <c r="FD51" s="589"/>
      <c r="FE51" s="564"/>
      <c r="FF51" s="564"/>
      <c r="FG51" s="590"/>
      <c r="FH51" s="589"/>
      <c r="FI51" s="564"/>
      <c r="FJ51" s="564"/>
      <c r="FK51" s="590"/>
      <c r="FL51" s="589"/>
      <c r="FM51" s="564"/>
      <c r="FN51" s="564"/>
      <c r="FO51" s="590"/>
      <c r="FP51" s="589"/>
      <c r="FQ51" s="564"/>
      <c r="FR51" s="564"/>
      <c r="FS51" s="590"/>
      <c r="FT51" s="589"/>
      <c r="FU51" s="564"/>
      <c r="FV51" s="564"/>
      <c r="FW51" s="590"/>
      <c r="FX51" s="589"/>
      <c r="FY51" s="564"/>
      <c r="FZ51" s="564"/>
      <c r="GA51" s="590"/>
      <c r="GB51" s="589"/>
      <c r="GC51" s="564"/>
      <c r="GD51" s="564"/>
      <c r="GE51" s="590"/>
      <c r="GF51" s="589"/>
      <c r="GG51" s="564"/>
      <c r="GH51" s="564"/>
      <c r="GI51" s="590"/>
      <c r="GJ51" s="589"/>
      <c r="GK51" s="564"/>
      <c r="GL51" s="564"/>
      <c r="GM51" s="590"/>
      <c r="GN51" s="589"/>
      <c r="GO51" s="564"/>
      <c r="GP51" s="564"/>
      <c r="GQ51" s="590"/>
      <c r="GR51" s="589"/>
      <c r="GS51" s="564"/>
      <c r="GT51" s="564"/>
      <c r="GU51" s="590"/>
      <c r="GV51" s="672"/>
      <c r="GW51" s="676"/>
      <c r="GX51" s="676"/>
      <c r="GY51" s="1366"/>
      <c r="GZ51" s="672"/>
      <c r="HA51" s="671"/>
      <c r="HB51" s="671"/>
      <c r="HC51" s="1366"/>
      <c r="HD51" s="672"/>
      <c r="HE51" s="671"/>
      <c r="HF51" s="671"/>
      <c r="HG51" s="1366"/>
      <c r="HI51" s="589"/>
      <c r="HJ51" s="564"/>
      <c r="HK51" s="564"/>
      <c r="HL51" s="590"/>
      <c r="HM51" s="589"/>
      <c r="HN51" s="564"/>
      <c r="HO51" s="564"/>
      <c r="HP51" s="590"/>
      <c r="HQ51" s="589"/>
      <c r="HR51" s="564"/>
      <c r="HS51" s="564"/>
      <c r="HT51" s="590"/>
    </row>
    <row r="52" spans="1:228">
      <c r="A52" s="649" t="s">
        <v>23</v>
      </c>
      <c r="B52" s="670">
        <f t="shared" si="0"/>
        <v>2012</v>
      </c>
      <c r="C52" s="671">
        <f>+C51</f>
        <v>18166023.351704545</v>
      </c>
      <c r="D52" s="671">
        <f>+D51</f>
        <v>445791.98409090913</v>
      </c>
      <c r="E52" s="671">
        <f t="shared" si="6"/>
        <v>17720231.367613636</v>
      </c>
      <c r="F52" s="653">
        <f>+C$29*E52+D52</f>
        <v>2593087.4720049798</v>
      </c>
      <c r="G52" s="671">
        <f>+G51</f>
        <v>4691550.356590908</v>
      </c>
      <c r="H52" s="671">
        <f>+H51</f>
        <v>115840.74954545456</v>
      </c>
      <c r="I52" s="671">
        <f t="shared" si="7"/>
        <v>4575709.607045453</v>
      </c>
      <c r="J52" s="653">
        <f>+G$29*I52+H52</f>
        <v>670314.35597765679</v>
      </c>
      <c r="K52" s="672">
        <f>+K51</f>
        <v>12140435.505170453</v>
      </c>
      <c r="L52" s="671">
        <f>+L51</f>
        <v>305419.76113636367</v>
      </c>
      <c r="M52" s="671">
        <f t="shared" si="8"/>
        <v>11835015.744034089</v>
      </c>
      <c r="N52" s="653">
        <f>+K$29*M52+L52</f>
        <v>1739558.8183161104</v>
      </c>
      <c r="O52" s="672">
        <f>+O51</f>
        <v>4991399.3106060605</v>
      </c>
      <c r="P52" s="671">
        <f>+P51</f>
        <v>119316.31818181818</v>
      </c>
      <c r="Q52" s="671">
        <f t="shared" si="11"/>
        <v>4872082.9924242422</v>
      </c>
      <c r="R52" s="653">
        <f>+O$29*Q52+P52</f>
        <v>709703.74650264485</v>
      </c>
      <c r="S52" s="589">
        <f>+S51</f>
        <v>2342347.5024242415</v>
      </c>
      <c r="T52" s="564">
        <f>+T51</f>
        <v>58315.705454545445</v>
      </c>
      <c r="U52" s="564">
        <f t="shared" si="12"/>
        <v>2284031.7969696959</v>
      </c>
      <c r="V52" s="590">
        <f>+S$29*U52+T52</f>
        <v>335089.24582992587</v>
      </c>
      <c r="W52" s="589">
        <f>+W51</f>
        <v>29002782.837121211</v>
      </c>
      <c r="X52" s="564">
        <f>+X51</f>
        <v>693293.61363636365</v>
      </c>
      <c r="Y52" s="564">
        <f t="shared" si="13"/>
        <v>28309489.223484848</v>
      </c>
      <c r="Z52" s="590">
        <f>+W$29*Y52+X52</f>
        <v>4123770.1809932492</v>
      </c>
      <c r="AA52" s="589">
        <f>+AA51</f>
        <v>18897428.967803027</v>
      </c>
      <c r="AB52" s="564">
        <f>+AB51</f>
        <v>450833.29545454547</v>
      </c>
      <c r="AC52" s="564">
        <f t="shared" si="14"/>
        <v>18446595.672348481</v>
      </c>
      <c r="AD52" s="590">
        <f>+AA$29*AC52+AB52</f>
        <v>2686147.8820915367</v>
      </c>
      <c r="AE52" s="589">
        <f>+AE51</f>
        <v>190812.28409090912</v>
      </c>
      <c r="AF52" s="564">
        <f>+AF51</f>
        <v>4597.886363636364</v>
      </c>
      <c r="AG52" s="564">
        <f t="shared" si="15"/>
        <v>186214.39772727276</v>
      </c>
      <c r="AH52" s="590">
        <f>+AE$29*AG52+AF52</f>
        <v>27162.904152016257</v>
      </c>
      <c r="AI52" s="589">
        <f>+AI51</f>
        <v>12659281.662878787</v>
      </c>
      <c r="AJ52" s="564">
        <f>+AJ51</f>
        <v>295547.43181818182</v>
      </c>
      <c r="AK52" s="564">
        <f t="shared" si="19"/>
        <v>12363734.231060605</v>
      </c>
      <c r="AL52" s="590">
        <f>+AI$29*AK52+AJ52</f>
        <v>1793755.3376498569</v>
      </c>
      <c r="AM52" s="589">
        <f>+AM51</f>
        <v>4711843.9164772723</v>
      </c>
      <c r="AN52" s="564">
        <f>+AN51</f>
        <v>110866.91568181818</v>
      </c>
      <c r="AO52" s="564">
        <f t="shared" si="16"/>
        <v>4600977.0007954538</v>
      </c>
      <c r="AP52" s="590">
        <f>+AM$29*AO52+AN52</f>
        <v>668402.36478780664</v>
      </c>
      <c r="AQ52" s="589">
        <f>+AQ51</f>
        <v>38685853.143409088</v>
      </c>
      <c r="AR52" s="564">
        <f>+AR51</f>
        <v>904932.23727272719</v>
      </c>
      <c r="AS52" s="564">
        <f t="shared" si="17"/>
        <v>37780920.906136364</v>
      </c>
      <c r="AT52" s="590">
        <f>+AQ$29*AS52+AR52</f>
        <v>5483134.3672548635</v>
      </c>
      <c r="AU52" s="672">
        <f>+AU51</f>
        <v>26875000</v>
      </c>
      <c r="AV52" s="671">
        <f>+AV51</f>
        <v>750000</v>
      </c>
      <c r="AW52" s="671">
        <f t="shared" si="1"/>
        <v>26125000</v>
      </c>
      <c r="AX52" s="653">
        <f>+AU$29*AW52+AV52</f>
        <v>750000</v>
      </c>
      <c r="AY52" s="672">
        <f>+AY51</f>
        <v>17583333.333333332</v>
      </c>
      <c r="AZ52" s="671">
        <f>+AZ51</f>
        <v>500000</v>
      </c>
      <c r="BA52" s="671">
        <f t="shared" si="2"/>
        <v>17083333.333333332</v>
      </c>
      <c r="BB52" s="653">
        <f>+AY$29*BA52+AZ52</f>
        <v>500000</v>
      </c>
      <c r="BC52" s="672">
        <f>+BC51</f>
        <v>27250000</v>
      </c>
      <c r="BD52" s="671">
        <f>+BD51</f>
        <v>750000</v>
      </c>
      <c r="BE52" s="671">
        <f t="shared" si="4"/>
        <v>26500000</v>
      </c>
      <c r="BF52" s="653">
        <f>+BC$29*BE52+BD52</f>
        <v>750000</v>
      </c>
      <c r="BG52" s="672">
        <f>+BG51</f>
        <v>18238095.238095239</v>
      </c>
      <c r="BH52" s="671">
        <f>+BH51</f>
        <v>571428.57142857148</v>
      </c>
      <c r="BI52" s="671">
        <f t="shared" si="5"/>
        <v>17666666.666666668</v>
      </c>
      <c r="BJ52" s="653">
        <f>+BG$29*BI52+BH52</f>
        <v>571428.57142857148</v>
      </c>
      <c r="BK52" s="672">
        <f>+BK51</f>
        <v>27200000</v>
      </c>
      <c r="BL52" s="671">
        <f>+BL51</f>
        <v>1200000</v>
      </c>
      <c r="BM52" s="671">
        <f t="shared" si="9"/>
        <v>26000000</v>
      </c>
      <c r="BN52" s="653">
        <f>+BK$29*BM52+BL52</f>
        <v>1200000</v>
      </c>
      <c r="BO52" s="672">
        <f>+BO51</f>
        <v>18499999.999999996</v>
      </c>
      <c r="BP52" s="671">
        <f>+BP51</f>
        <v>666666.66666666663</v>
      </c>
      <c r="BQ52" s="671">
        <f t="shared" si="10"/>
        <v>17833333.333333328</v>
      </c>
      <c r="BR52" s="653">
        <f>+BO$29*BQ52+BP52</f>
        <v>666666.66666666663</v>
      </c>
      <c r="BS52" s="589">
        <f>+BS51</f>
        <v>357368.11363636365</v>
      </c>
      <c r="BT52" s="564">
        <f>+BT51</f>
        <v>8310.886363636364</v>
      </c>
      <c r="BU52" s="564">
        <f t="shared" si="18"/>
        <v>349057.22727272729</v>
      </c>
      <c r="BV52" s="590">
        <f>+BS$29*BU52+BT52</f>
        <v>50608.810899565375</v>
      </c>
      <c r="BW52" s="589">
        <f>+BW51</f>
        <v>24948383.079545453</v>
      </c>
      <c r="BX52" s="564">
        <f>+BX51</f>
        <v>576841.22727272729</v>
      </c>
      <c r="BY52" s="564">
        <f t="shared" si="20"/>
        <v>24371541.852272727</v>
      </c>
      <c r="BZ52" s="590">
        <f>+BW$29*BY52+BX52</f>
        <v>3381384.6093819542</v>
      </c>
      <c r="CA52" s="589">
        <f>+CA51</f>
        <v>2354267.04</v>
      </c>
      <c r="CB52" s="564">
        <f>+CB51</f>
        <v>54433.919999999998</v>
      </c>
      <c r="CC52" s="564">
        <f t="shared" si="21"/>
        <v>2299833.12</v>
      </c>
      <c r="CD52" s="590">
        <f>+CA$29*CC52+CB52</f>
        <v>333122.22711528075</v>
      </c>
      <c r="CE52" s="589">
        <f>+CE51</f>
        <v>204357.50818181818</v>
      </c>
      <c r="CF52" s="564">
        <f>+CF51</f>
        <v>4725.0290909090909</v>
      </c>
      <c r="CG52" s="564">
        <f t="shared" si="22"/>
        <v>199632.4790909091</v>
      </c>
      <c r="CH52" s="590">
        <f>+CE$29*CG52+CF52</f>
        <v>28916.018062783769</v>
      </c>
      <c r="CI52" s="589">
        <f>+CI51</f>
        <v>543960</v>
      </c>
      <c r="CJ52" s="564">
        <f>+CJ51</f>
        <v>9272.045454545454</v>
      </c>
      <c r="CK52" s="564">
        <f t="shared" ref="CK52:CK115" si="24">+CI52-CJ52</f>
        <v>534687.95454545459</v>
      </c>
      <c r="CL52" s="590">
        <f t="shared" si="23"/>
        <v>63636.858576615727</v>
      </c>
      <c r="CM52" s="589"/>
      <c r="CN52" s="564"/>
      <c r="CO52" s="564"/>
      <c r="CP52" s="590"/>
      <c r="CQ52" s="589"/>
      <c r="CR52" s="564"/>
      <c r="CS52" s="564"/>
      <c r="CT52" s="590"/>
      <c r="CU52" s="589"/>
      <c r="CV52" s="564"/>
      <c r="CW52" s="564"/>
      <c r="CX52" s="590"/>
      <c r="CY52" s="589"/>
      <c r="CZ52" s="564"/>
      <c r="DA52" s="564"/>
      <c r="DB52" s="590"/>
      <c r="DC52" s="589"/>
      <c r="DD52" s="564"/>
      <c r="DE52" s="564"/>
      <c r="DF52" s="590"/>
      <c r="DG52" s="589"/>
      <c r="DH52" s="564"/>
      <c r="DI52" s="564"/>
      <c r="DJ52" s="590"/>
      <c r="DK52" s="589"/>
      <c r="DL52" s="564"/>
      <c r="DM52" s="564"/>
      <c r="DN52" s="590"/>
      <c r="DO52" s="589"/>
      <c r="DP52" s="564"/>
      <c r="DQ52" s="564"/>
      <c r="DR52" s="590"/>
      <c r="DS52" s="589"/>
      <c r="DT52" s="564"/>
      <c r="DU52" s="564"/>
      <c r="DV52" s="590"/>
      <c r="DW52" s="589"/>
      <c r="DX52" s="564"/>
      <c r="DY52" s="564"/>
      <c r="DZ52" s="590"/>
      <c r="EA52" s="589"/>
      <c r="EB52" s="564"/>
      <c r="EC52" s="564"/>
      <c r="ED52" s="590"/>
      <c r="EE52" s="589"/>
      <c r="EF52" s="564"/>
      <c r="EG52" s="564"/>
      <c r="EH52" s="590"/>
      <c r="EI52" s="589"/>
      <c r="EJ52" s="564"/>
      <c r="EK52" s="564"/>
      <c r="EL52" s="590"/>
      <c r="EM52" s="589"/>
      <c r="EN52" s="564"/>
      <c r="EO52" s="564"/>
      <c r="EP52" s="590"/>
      <c r="EQ52" s="678">
        <f t="shared" si="3"/>
        <v>24687795.199596852</v>
      </c>
      <c r="ER52" s="675">
        <f>+EQ52</f>
        <v>24687795.199596852</v>
      </c>
      <c r="ES52" s="648"/>
      <c r="ET52" s="696"/>
      <c r="EV52" s="589"/>
      <c r="EW52" s="564"/>
      <c r="EX52" s="564"/>
      <c r="EY52" s="590"/>
      <c r="EZ52" s="589"/>
      <c r="FA52" s="564"/>
      <c r="FB52" s="564"/>
      <c r="FC52" s="590"/>
      <c r="FD52" s="589"/>
      <c r="FE52" s="564"/>
      <c r="FF52" s="564"/>
      <c r="FG52" s="590"/>
      <c r="FH52" s="589"/>
      <c r="FI52" s="564"/>
      <c r="FJ52" s="564"/>
      <c r="FK52" s="590"/>
      <c r="FL52" s="589"/>
      <c r="FM52" s="564"/>
      <c r="FN52" s="564"/>
      <c r="FO52" s="590"/>
      <c r="FP52" s="589"/>
      <c r="FQ52" s="564"/>
      <c r="FR52" s="564"/>
      <c r="FS52" s="590"/>
      <c r="FT52" s="589"/>
      <c r="FU52" s="564"/>
      <c r="FV52" s="564"/>
      <c r="FW52" s="590"/>
      <c r="FX52" s="589"/>
      <c r="FY52" s="564"/>
      <c r="FZ52" s="564"/>
      <c r="GA52" s="590"/>
      <c r="GB52" s="589"/>
      <c r="GC52" s="564"/>
      <c r="GD52" s="564"/>
      <c r="GE52" s="590"/>
      <c r="GF52" s="589"/>
      <c r="GG52" s="564"/>
      <c r="GH52" s="564"/>
      <c r="GI52" s="590"/>
      <c r="GJ52" s="589"/>
      <c r="GK52" s="564"/>
      <c r="GL52" s="564"/>
      <c r="GM52" s="590"/>
      <c r="GN52" s="589"/>
      <c r="GO52" s="564"/>
      <c r="GP52" s="564"/>
      <c r="GQ52" s="590"/>
      <c r="GR52" s="589"/>
      <c r="GS52" s="564"/>
      <c r="GT52" s="564"/>
      <c r="GU52" s="590"/>
      <c r="GV52" s="672"/>
      <c r="GW52" s="676"/>
      <c r="GX52" s="676"/>
      <c r="GY52" s="1366"/>
      <c r="GZ52" s="672"/>
      <c r="HA52" s="671"/>
      <c r="HB52" s="671"/>
      <c r="HC52" s="1366"/>
      <c r="HD52" s="672"/>
      <c r="HE52" s="671"/>
      <c r="HF52" s="671"/>
      <c r="HG52" s="1366"/>
      <c r="HI52" s="589"/>
      <c r="HJ52" s="564"/>
      <c r="HK52" s="564"/>
      <c r="HL52" s="590"/>
      <c r="HM52" s="589"/>
      <c r="HN52" s="564"/>
      <c r="HO52" s="564"/>
      <c r="HP52" s="590"/>
      <c r="HQ52" s="589"/>
      <c r="HR52" s="564"/>
      <c r="HS52" s="564"/>
      <c r="HT52" s="590"/>
    </row>
    <row r="53" spans="1:228">
      <c r="A53" s="649" t="s">
        <v>24</v>
      </c>
      <c r="B53" s="670">
        <f t="shared" si="0"/>
        <v>2013</v>
      </c>
      <c r="C53" s="671">
        <f>+E52</f>
        <v>17720231.367613636</v>
      </c>
      <c r="D53" s="671">
        <f>+C$31</f>
        <v>445791.98409090913</v>
      </c>
      <c r="E53" s="671">
        <f t="shared" si="6"/>
        <v>17274439.383522727</v>
      </c>
      <c r="F53" s="653">
        <f>+C$28*E53+D53</f>
        <v>2433639.7348144776</v>
      </c>
      <c r="G53" s="671">
        <f>+I52</f>
        <v>4575709.607045453</v>
      </c>
      <c r="H53" s="671">
        <f>+G$31</f>
        <v>115840.74954545456</v>
      </c>
      <c r="I53" s="671">
        <f t="shared" si="7"/>
        <v>4459868.8574999981</v>
      </c>
      <c r="J53" s="653">
        <f>+G$28*I53+H53</f>
        <v>629057.99961493479</v>
      </c>
      <c r="K53" s="672">
        <f>+M52</f>
        <v>11835015.744034089</v>
      </c>
      <c r="L53" s="671">
        <f>+K$31</f>
        <v>305419.76113636367</v>
      </c>
      <c r="M53" s="671">
        <f t="shared" si="8"/>
        <v>11529595.982897725</v>
      </c>
      <c r="N53" s="653">
        <f>+K$28*M53+L53</f>
        <v>1632182.4382057083</v>
      </c>
      <c r="O53" s="672">
        <f>+Q52</f>
        <v>4872082.9924242422</v>
      </c>
      <c r="P53" s="671">
        <f>+O$31</f>
        <v>119316.31818181818</v>
      </c>
      <c r="Q53" s="671">
        <f t="shared" si="11"/>
        <v>4752766.6742424238</v>
      </c>
      <c r="R53" s="653">
        <f>+O$28*Q53+P53</f>
        <v>666238.64274179935</v>
      </c>
      <c r="S53" s="589">
        <f>+U52</f>
        <v>2284031.7969696959</v>
      </c>
      <c r="T53" s="564">
        <f>+S$31</f>
        <v>58315.705454545445</v>
      </c>
      <c r="U53" s="564">
        <f t="shared" si="12"/>
        <v>2225716.0915151504</v>
      </c>
      <c r="V53" s="590">
        <f>+S$28*U53+T53</f>
        <v>314438.90737378434</v>
      </c>
      <c r="W53" s="589">
        <f>+Y52</f>
        <v>28309489.223484848</v>
      </c>
      <c r="X53" s="564">
        <f>+W$31</f>
        <v>693293.61363636365</v>
      </c>
      <c r="Y53" s="564">
        <f t="shared" si="13"/>
        <v>27616195.609848484</v>
      </c>
      <c r="Z53" s="590">
        <f>+W$28*Y53+X53</f>
        <v>3871213.9563910384</v>
      </c>
      <c r="AA53" s="589">
        <f>+AC52</f>
        <v>18446595.672348481</v>
      </c>
      <c r="AB53" s="564">
        <f>+AA$31</f>
        <v>450833.29545454547</v>
      </c>
      <c r="AC53" s="564">
        <f t="shared" si="14"/>
        <v>17995762.376893934</v>
      </c>
      <c r="AD53" s="590">
        <f>+AA$28*AC53+AB53</f>
        <v>2521686.940498821</v>
      </c>
      <c r="AE53" s="589">
        <f>+AG52</f>
        <v>186214.39772727276</v>
      </c>
      <c r="AF53" s="564">
        <f>+AE$31</f>
        <v>4597.886363636364</v>
      </c>
      <c r="AG53" s="564">
        <f t="shared" si="15"/>
        <v>181616.51136363641</v>
      </c>
      <c r="AH53" s="590">
        <f>+AE$28*AG53+AF53</f>
        <v>25497.318501088634</v>
      </c>
      <c r="AI53" s="589">
        <f>+AK52</f>
        <v>12363734.231060605</v>
      </c>
      <c r="AJ53" s="564">
        <f>+AI$31</f>
        <v>295547.43181818182</v>
      </c>
      <c r="AK53" s="564">
        <f t="shared" si="19"/>
        <v>12068186.799242424</v>
      </c>
      <c r="AL53" s="590">
        <f>+AI$28*AK53+AJ53</f>
        <v>1684288.1863846411</v>
      </c>
      <c r="AM53" s="589">
        <f>+AO52</f>
        <v>4600977.0007954538</v>
      </c>
      <c r="AN53" s="564">
        <f>+AM$31</f>
        <v>110866.91568181818</v>
      </c>
      <c r="AO53" s="564">
        <f t="shared" si="16"/>
        <v>4490110.0851136353</v>
      </c>
      <c r="AP53" s="590">
        <f>+AM$28*AO53+AN53</f>
        <v>627564.16038129665</v>
      </c>
      <c r="AQ53" s="589">
        <f>+AS52</f>
        <v>37780920.906136364</v>
      </c>
      <c r="AR53" s="564">
        <f>+AQ$31</f>
        <v>904932.23727272719</v>
      </c>
      <c r="AS53" s="564">
        <f t="shared" si="17"/>
        <v>36875988.668863639</v>
      </c>
      <c r="AT53" s="590">
        <f>+AQ$28*AS53+AR53</f>
        <v>5148418.784282147</v>
      </c>
      <c r="AU53" s="672">
        <f>+AW52</f>
        <v>26125000</v>
      </c>
      <c r="AV53" s="671">
        <f>+AU$31</f>
        <v>750000</v>
      </c>
      <c r="AW53" s="671">
        <f t="shared" si="1"/>
        <v>25375000</v>
      </c>
      <c r="AX53" s="653">
        <f>+AU$28*AW53+AV53</f>
        <v>750000</v>
      </c>
      <c r="AY53" s="672">
        <f>+BA52</f>
        <v>17083333.333333332</v>
      </c>
      <c r="AZ53" s="671">
        <f>+AY$31</f>
        <v>500000</v>
      </c>
      <c r="BA53" s="671">
        <f t="shared" si="2"/>
        <v>16583333.333333332</v>
      </c>
      <c r="BB53" s="653">
        <f>+AY$28*BA53+AZ53</f>
        <v>500000</v>
      </c>
      <c r="BC53" s="672">
        <f>+BE52</f>
        <v>26500000</v>
      </c>
      <c r="BD53" s="671">
        <f>+BC$31</f>
        <v>750000</v>
      </c>
      <c r="BE53" s="671">
        <f t="shared" si="4"/>
        <v>25750000</v>
      </c>
      <c r="BF53" s="653">
        <f>+BC$28*BE53+BD53</f>
        <v>750000</v>
      </c>
      <c r="BG53" s="672">
        <f>+BI52</f>
        <v>17666666.666666668</v>
      </c>
      <c r="BH53" s="671">
        <f>+BG$31</f>
        <v>571428.57142857148</v>
      </c>
      <c r="BI53" s="671">
        <f t="shared" si="5"/>
        <v>17095238.095238097</v>
      </c>
      <c r="BJ53" s="653">
        <f>+BG$28*BI53+BH53</f>
        <v>571428.57142857148</v>
      </c>
      <c r="BK53" s="672">
        <f>+BM52</f>
        <v>26000000</v>
      </c>
      <c r="BL53" s="671">
        <f>+BK$31</f>
        <v>1200000</v>
      </c>
      <c r="BM53" s="671">
        <f t="shared" si="9"/>
        <v>24800000</v>
      </c>
      <c r="BN53" s="653">
        <f>+BK$28*BM53+BL53</f>
        <v>1200000</v>
      </c>
      <c r="BO53" s="672">
        <f>+BQ52</f>
        <v>17833333.333333328</v>
      </c>
      <c r="BP53" s="671">
        <f>+BO$31</f>
        <v>666666.66666666663</v>
      </c>
      <c r="BQ53" s="671">
        <f t="shared" si="10"/>
        <v>17166666.66666666</v>
      </c>
      <c r="BR53" s="653">
        <f>+BO$28*BQ53+BP53</f>
        <v>666666.66666666663</v>
      </c>
      <c r="BS53" s="589">
        <f>+BU52</f>
        <v>349057.22727272729</v>
      </c>
      <c r="BT53" s="564">
        <f>+BS$31</f>
        <v>8310.886363636364</v>
      </c>
      <c r="BU53" s="564">
        <f t="shared" si="18"/>
        <v>340746.34090909094</v>
      </c>
      <c r="BV53" s="590">
        <f>+BS$28*BU53+BT53</f>
        <v>47522.106612527146</v>
      </c>
      <c r="BW53" s="589">
        <f>+BY52</f>
        <v>24371541.852272727</v>
      </c>
      <c r="BX53" s="564">
        <f>+BW$31</f>
        <v>576841.22727272729</v>
      </c>
      <c r="BY53" s="564">
        <f t="shared" si="20"/>
        <v>23794700.625</v>
      </c>
      <c r="BZ53" s="590">
        <f>+BW$28*BY53+BX53</f>
        <v>3315004.8843616173</v>
      </c>
      <c r="CA53" s="589">
        <f>+CC52</f>
        <v>2299833.12</v>
      </c>
      <c r="CB53" s="564">
        <f>+CA$31</f>
        <v>54433.919999999998</v>
      </c>
      <c r="CC53" s="564">
        <f t="shared" si="21"/>
        <v>2245399.2000000002</v>
      </c>
      <c r="CD53" s="590">
        <f>+CA$28*CC53+CB53</f>
        <v>312822.14610093116</v>
      </c>
      <c r="CE53" s="589">
        <f>+CG52</f>
        <v>199632.4790909091</v>
      </c>
      <c r="CF53" s="564">
        <f>+CE$31</f>
        <v>4725.0290909090909</v>
      </c>
      <c r="CG53" s="564">
        <f t="shared" si="22"/>
        <v>194907.45</v>
      </c>
      <c r="CH53" s="590">
        <f>+CE$28*CG53+CF53</f>
        <v>27153.909558736788</v>
      </c>
      <c r="CI53" s="589">
        <f>+CK52</f>
        <v>534687.95454545459</v>
      </c>
      <c r="CJ53" s="564">
        <f>+CI$31</f>
        <v>12362.727272727272</v>
      </c>
      <c r="CK53" s="564">
        <f t="shared" si="24"/>
        <v>522325.22727272729</v>
      </c>
      <c r="CL53" s="590">
        <f>+CI$28*CK53+CJ53</f>
        <v>72469.049980406911</v>
      </c>
      <c r="CM53" s="589"/>
      <c r="CN53" s="564"/>
      <c r="CO53" s="564"/>
      <c r="CP53" s="590"/>
      <c r="CQ53" s="589"/>
      <c r="CR53" s="564"/>
      <c r="CS53" s="564"/>
      <c r="CT53" s="590"/>
      <c r="CU53" s="589"/>
      <c r="CV53" s="564"/>
      <c r="CW53" s="564"/>
      <c r="CX53" s="590"/>
      <c r="CY53" s="589"/>
      <c r="CZ53" s="564"/>
      <c r="DA53" s="564"/>
      <c r="DB53" s="590"/>
      <c r="DC53" s="589"/>
      <c r="DD53" s="564"/>
      <c r="DE53" s="564"/>
      <c r="DF53" s="590"/>
      <c r="DG53" s="589"/>
      <c r="DH53" s="564"/>
      <c r="DI53" s="564"/>
      <c r="DJ53" s="590"/>
      <c r="DK53" s="589"/>
      <c r="DL53" s="564"/>
      <c r="DM53" s="564"/>
      <c r="DN53" s="590"/>
      <c r="DO53" s="589"/>
      <c r="DP53" s="564"/>
      <c r="DQ53" s="564"/>
      <c r="DR53" s="590"/>
      <c r="DS53" s="589"/>
      <c r="DT53" s="564"/>
      <c r="DU53" s="564"/>
      <c r="DV53" s="590"/>
      <c r="DW53" s="589"/>
      <c r="DX53" s="564"/>
      <c r="DY53" s="564"/>
      <c r="DZ53" s="590"/>
      <c r="EA53" s="589"/>
      <c r="EB53" s="564"/>
      <c r="EC53" s="564"/>
      <c r="ED53" s="590"/>
      <c r="EE53" s="589"/>
      <c r="EF53" s="564"/>
      <c r="EG53" s="564"/>
      <c r="EH53" s="590"/>
      <c r="EI53" s="589"/>
      <c r="EJ53" s="564"/>
      <c r="EK53" s="564"/>
      <c r="EL53" s="590"/>
      <c r="EM53" s="589"/>
      <c r="EN53" s="564"/>
      <c r="EO53" s="564"/>
      <c r="EP53" s="590"/>
      <c r="EQ53" s="678">
        <f t="shared" si="3"/>
        <v>23329199.165803954</v>
      </c>
      <c r="ER53" s="652"/>
      <c r="ES53" s="674">
        <f>+EQ53</f>
        <v>23329199.165803954</v>
      </c>
      <c r="ET53" s="575"/>
      <c r="EV53" s="589"/>
      <c r="EW53" s="564"/>
      <c r="EX53" s="564"/>
      <c r="EY53" s="590"/>
      <c r="EZ53" s="589"/>
      <c r="FA53" s="564"/>
      <c r="FB53" s="564"/>
      <c r="FC53" s="590"/>
      <c r="FD53" s="589"/>
      <c r="FE53" s="564"/>
      <c r="FF53" s="564"/>
      <c r="FG53" s="590"/>
      <c r="FH53" s="589"/>
      <c r="FI53" s="564"/>
      <c r="FJ53" s="564"/>
      <c r="FK53" s="590"/>
      <c r="FL53" s="589"/>
      <c r="FM53" s="564"/>
      <c r="FN53" s="564"/>
      <c r="FO53" s="590"/>
      <c r="FP53" s="589"/>
      <c r="FQ53" s="564"/>
      <c r="FR53" s="564"/>
      <c r="FS53" s="590"/>
      <c r="FT53" s="589"/>
      <c r="FU53" s="564"/>
      <c r="FV53" s="564"/>
      <c r="FW53" s="590"/>
      <c r="FX53" s="589"/>
      <c r="FY53" s="564"/>
      <c r="FZ53" s="564"/>
      <c r="GA53" s="590"/>
      <c r="GB53" s="589"/>
      <c r="GC53" s="564"/>
      <c r="GD53" s="564"/>
      <c r="GE53" s="590"/>
      <c r="GF53" s="589"/>
      <c r="GG53" s="564"/>
      <c r="GH53" s="564"/>
      <c r="GI53" s="590"/>
      <c r="GJ53" s="589"/>
      <c r="GK53" s="564"/>
      <c r="GL53" s="564"/>
      <c r="GM53" s="590"/>
      <c r="GN53" s="589"/>
      <c r="GO53" s="564"/>
      <c r="GP53" s="564"/>
      <c r="GQ53" s="590"/>
      <c r="GR53" s="589"/>
      <c r="GS53" s="564"/>
      <c r="GT53" s="564"/>
      <c r="GU53" s="590"/>
      <c r="GV53" s="672"/>
      <c r="GW53" s="676"/>
      <c r="GX53" s="676"/>
      <c r="GY53" s="1366"/>
      <c r="GZ53" s="672"/>
      <c r="HA53" s="671"/>
      <c r="HB53" s="671"/>
      <c r="HC53" s="1366"/>
      <c r="HD53" s="672"/>
      <c r="HE53" s="671"/>
      <c r="HF53" s="671"/>
      <c r="HG53" s="1366"/>
      <c r="HI53" s="589"/>
      <c r="HJ53" s="564"/>
      <c r="HK53" s="564"/>
      <c r="HL53" s="590"/>
      <c r="HM53" s="589"/>
      <c r="HN53" s="564"/>
      <c r="HO53" s="564"/>
      <c r="HP53" s="590"/>
      <c r="HQ53" s="589"/>
      <c r="HR53" s="564"/>
      <c r="HS53" s="564"/>
      <c r="HT53" s="590"/>
    </row>
    <row r="54" spans="1:228">
      <c r="A54" s="649" t="s">
        <v>23</v>
      </c>
      <c r="B54" s="670">
        <f t="shared" si="0"/>
        <v>2013</v>
      </c>
      <c r="C54" s="671">
        <f>+C53</f>
        <v>17720231.367613636</v>
      </c>
      <c r="D54" s="671">
        <f>+D53</f>
        <v>445791.98409090913</v>
      </c>
      <c r="E54" s="671">
        <f t="shared" si="6"/>
        <v>17274439.383522727</v>
      </c>
      <c r="F54" s="653">
        <f>+C$29*E54+D54</f>
        <v>2539067.4597304123</v>
      </c>
      <c r="G54" s="671">
        <f>+G53</f>
        <v>4575709.607045453</v>
      </c>
      <c r="H54" s="671">
        <f>+H53</f>
        <v>115840.74954545456</v>
      </c>
      <c r="I54" s="671">
        <f t="shared" si="7"/>
        <v>4459868.8574999981</v>
      </c>
      <c r="J54" s="653">
        <f>+G$29*I54+H54</f>
        <v>656277.04948570218</v>
      </c>
      <c r="K54" s="672">
        <f>+K53</f>
        <v>11835015.744034089</v>
      </c>
      <c r="L54" s="671">
        <f>+L53</f>
        <v>305419.76113636367</v>
      </c>
      <c r="M54" s="671">
        <f t="shared" si="8"/>
        <v>11529595.982897725</v>
      </c>
      <c r="N54" s="653">
        <f>+K$29*M54+L54</f>
        <v>1702548.7781308265</v>
      </c>
      <c r="O54" s="672">
        <f>+O53</f>
        <v>4872082.9924242422</v>
      </c>
      <c r="P54" s="671">
        <f>+P53</f>
        <v>119316.31818181818</v>
      </c>
      <c r="Q54" s="671">
        <f t="shared" si="11"/>
        <v>4752766.6742424238</v>
      </c>
      <c r="R54" s="653">
        <f>+O$29*Q54+P54</f>
        <v>695245.27887029806</v>
      </c>
      <c r="S54" s="589">
        <f>+S53</f>
        <v>2284031.7969696959</v>
      </c>
      <c r="T54" s="564">
        <f>+T53</f>
        <v>58315.705454545445</v>
      </c>
      <c r="U54" s="564">
        <f t="shared" si="12"/>
        <v>2225716.0915151504</v>
      </c>
      <c r="V54" s="590">
        <f>+S$29*U54+T54</f>
        <v>328022.68735225656</v>
      </c>
      <c r="W54" s="589">
        <f>+W53</f>
        <v>28309489.223484848</v>
      </c>
      <c r="X54" s="564">
        <f>+X53</f>
        <v>693293.61363636365</v>
      </c>
      <c r="Y54" s="564">
        <f t="shared" si="13"/>
        <v>27616195.609848484</v>
      </c>
      <c r="Z54" s="590">
        <f>+W$29*Y54+X54</f>
        <v>4039758.5099559375</v>
      </c>
      <c r="AA54" s="589">
        <f>+AA53</f>
        <v>18446595.672348481</v>
      </c>
      <c r="AB54" s="564">
        <f>+AB53</f>
        <v>450833.29545454547</v>
      </c>
      <c r="AC54" s="564">
        <f t="shared" si="14"/>
        <v>17995762.376893934</v>
      </c>
      <c r="AD54" s="590">
        <f>+AA$29*AC54+AB54</f>
        <v>2631516.97569715</v>
      </c>
      <c r="AE54" s="589">
        <f>+AE53</f>
        <v>186214.39772727276</v>
      </c>
      <c r="AF54" s="564">
        <f>+AF53</f>
        <v>4597.886363636364</v>
      </c>
      <c r="AG54" s="564">
        <f t="shared" si="15"/>
        <v>181616.51136363641</v>
      </c>
      <c r="AH54" s="590">
        <f>+AE$29*AG54+AF54</f>
        <v>26605.743218969841</v>
      </c>
      <c r="AI54" s="589">
        <f>+AI53</f>
        <v>12363734.231060605</v>
      </c>
      <c r="AJ54" s="564">
        <f>+AJ53</f>
        <v>295547.43181818182</v>
      </c>
      <c r="AK54" s="564">
        <f t="shared" si="19"/>
        <v>12068186.799242424</v>
      </c>
      <c r="AL54" s="590">
        <f>+AI$29*AK54+AJ54</f>
        <v>1757941.6028490998</v>
      </c>
      <c r="AM54" s="589">
        <f>+AM53</f>
        <v>4600977.0007954538</v>
      </c>
      <c r="AN54" s="564">
        <f>+AN53</f>
        <v>110866.91568181818</v>
      </c>
      <c r="AO54" s="564">
        <f t="shared" si="16"/>
        <v>4490110.0851136353</v>
      </c>
      <c r="AP54" s="590">
        <f>+AM$29*AO54+AN54</f>
        <v>654967.77565272257</v>
      </c>
      <c r="AQ54" s="589">
        <f>+AQ53</f>
        <v>37780920.906136364</v>
      </c>
      <c r="AR54" s="564">
        <f>+AR53</f>
        <v>904932.23727272719</v>
      </c>
      <c r="AS54" s="564">
        <f t="shared" si="17"/>
        <v>36875988.668863639</v>
      </c>
      <c r="AT54" s="590">
        <f>+AQ$29*AS54+AR54</f>
        <v>5373476.8312073871</v>
      </c>
      <c r="AU54" s="672">
        <f>+AU53</f>
        <v>26125000</v>
      </c>
      <c r="AV54" s="671">
        <f>+AV53</f>
        <v>750000</v>
      </c>
      <c r="AW54" s="671">
        <f t="shared" si="1"/>
        <v>25375000</v>
      </c>
      <c r="AX54" s="653">
        <f>+AU$29*AW54+AV54</f>
        <v>750000</v>
      </c>
      <c r="AY54" s="672">
        <f>+AY53</f>
        <v>17083333.333333332</v>
      </c>
      <c r="AZ54" s="671">
        <f>+AZ53</f>
        <v>500000</v>
      </c>
      <c r="BA54" s="671">
        <f t="shared" si="2"/>
        <v>16583333.333333332</v>
      </c>
      <c r="BB54" s="653">
        <f>+AY$29*BA54+AZ54</f>
        <v>500000</v>
      </c>
      <c r="BC54" s="672">
        <f>+BC53</f>
        <v>26500000</v>
      </c>
      <c r="BD54" s="671">
        <f>+BD53</f>
        <v>750000</v>
      </c>
      <c r="BE54" s="671">
        <f t="shared" si="4"/>
        <v>25750000</v>
      </c>
      <c r="BF54" s="653">
        <f>+BC$29*BE54+BD54</f>
        <v>750000</v>
      </c>
      <c r="BG54" s="672">
        <f>+BG53</f>
        <v>17666666.666666668</v>
      </c>
      <c r="BH54" s="671">
        <f>+BH53</f>
        <v>571428.57142857148</v>
      </c>
      <c r="BI54" s="671">
        <f t="shared" si="5"/>
        <v>17095238.095238097</v>
      </c>
      <c r="BJ54" s="653">
        <f>+BG$29*BI54+BH54</f>
        <v>571428.57142857148</v>
      </c>
      <c r="BK54" s="672">
        <f>+BK53</f>
        <v>26000000</v>
      </c>
      <c r="BL54" s="671">
        <f>+BL53</f>
        <v>1200000</v>
      </c>
      <c r="BM54" s="671">
        <f t="shared" si="9"/>
        <v>24800000</v>
      </c>
      <c r="BN54" s="653">
        <f>+BK$29*BM54+BL54</f>
        <v>1200000</v>
      </c>
      <c r="BO54" s="672">
        <f>+BO53</f>
        <v>17833333.333333328</v>
      </c>
      <c r="BP54" s="671">
        <f>+BP53</f>
        <v>666666.66666666663</v>
      </c>
      <c r="BQ54" s="671">
        <f t="shared" si="10"/>
        <v>17166666.66666666</v>
      </c>
      <c r="BR54" s="653">
        <f>+BO$29*BQ54+BP54</f>
        <v>666666.66666666663</v>
      </c>
      <c r="BS54" s="589">
        <f>+BS53</f>
        <v>349057.22727272729</v>
      </c>
      <c r="BT54" s="564">
        <f>+BT53</f>
        <v>8310.886363636364</v>
      </c>
      <c r="BU54" s="564">
        <f t="shared" si="18"/>
        <v>340746.34090909094</v>
      </c>
      <c r="BV54" s="590">
        <f>+BS$29*BU54+BT54</f>
        <v>49601.717458233732</v>
      </c>
      <c r="BW54" s="589">
        <f>+BW53</f>
        <v>24371541.852272727</v>
      </c>
      <c r="BX54" s="564">
        <f>+BX53</f>
        <v>576841.22727272729</v>
      </c>
      <c r="BY54" s="564">
        <f t="shared" si="20"/>
        <v>23794700.625</v>
      </c>
      <c r="BZ54" s="590">
        <f>+BW$29*BY54+BX54</f>
        <v>3315004.8843616173</v>
      </c>
      <c r="CA54" s="589">
        <f>+CA53</f>
        <v>2299833.12</v>
      </c>
      <c r="CB54" s="564">
        <f>+CB53</f>
        <v>54433.919999999998</v>
      </c>
      <c r="CC54" s="564">
        <f t="shared" si="21"/>
        <v>2245399.2000000002</v>
      </c>
      <c r="CD54" s="590">
        <f>+CA$29*CC54+CB54</f>
        <v>326526.05416580668</v>
      </c>
      <c r="CE54" s="589">
        <f>+CE53</f>
        <v>199632.4790909091</v>
      </c>
      <c r="CF54" s="564">
        <f>+CF53</f>
        <v>4725.0290909090909</v>
      </c>
      <c r="CG54" s="564">
        <f t="shared" si="22"/>
        <v>194907.45</v>
      </c>
      <c r="CH54" s="590">
        <f>+CE$29*CG54+CF54</f>
        <v>28343.450276467211</v>
      </c>
      <c r="CI54" s="589">
        <f>+CI53</f>
        <v>534687.95454545459</v>
      </c>
      <c r="CJ54" s="564">
        <f>+CJ53</f>
        <v>12362.727272727272</v>
      </c>
      <c r="CK54" s="564">
        <f t="shared" si="24"/>
        <v>522325.22727272729</v>
      </c>
      <c r="CL54" s="590">
        <f>+CI$29*CK54+CJ54</f>
        <v>72469.049980406911</v>
      </c>
      <c r="CM54" s="589"/>
      <c r="CN54" s="564"/>
      <c r="CO54" s="564"/>
      <c r="CP54" s="590"/>
      <c r="CQ54" s="589"/>
      <c r="CR54" s="564"/>
      <c r="CS54" s="564"/>
      <c r="CT54" s="590"/>
      <c r="CU54" s="589"/>
      <c r="CV54" s="564"/>
      <c r="CW54" s="564"/>
      <c r="CX54" s="590"/>
      <c r="CY54" s="589"/>
      <c r="CZ54" s="564"/>
      <c r="DA54" s="564"/>
      <c r="DB54" s="590"/>
      <c r="DC54" s="589"/>
      <c r="DD54" s="564"/>
      <c r="DE54" s="564"/>
      <c r="DF54" s="590"/>
      <c r="DG54" s="589"/>
      <c r="DH54" s="564"/>
      <c r="DI54" s="564"/>
      <c r="DJ54" s="590"/>
      <c r="DK54" s="589"/>
      <c r="DL54" s="564"/>
      <c r="DM54" s="564"/>
      <c r="DN54" s="590"/>
      <c r="DO54" s="589"/>
      <c r="DP54" s="564"/>
      <c r="DQ54" s="564"/>
      <c r="DR54" s="590"/>
      <c r="DS54" s="589"/>
      <c r="DT54" s="564"/>
      <c r="DU54" s="564"/>
      <c r="DV54" s="590"/>
      <c r="DW54" s="589"/>
      <c r="DX54" s="564"/>
      <c r="DY54" s="564"/>
      <c r="DZ54" s="590"/>
      <c r="EA54" s="589"/>
      <c r="EB54" s="564"/>
      <c r="EC54" s="564"/>
      <c r="ED54" s="590"/>
      <c r="EE54" s="589"/>
      <c r="EF54" s="564"/>
      <c r="EG54" s="564"/>
      <c r="EH54" s="590"/>
      <c r="EI54" s="589"/>
      <c r="EJ54" s="564"/>
      <c r="EK54" s="564"/>
      <c r="EL54" s="590"/>
      <c r="EM54" s="589"/>
      <c r="EN54" s="564"/>
      <c r="EO54" s="564"/>
      <c r="EP54" s="590"/>
      <c r="EQ54" s="678">
        <f t="shared" si="3"/>
        <v>24197373.848393295</v>
      </c>
      <c r="ER54" s="675">
        <f>+EQ54</f>
        <v>24197373.848393295</v>
      </c>
      <c r="ES54" s="648"/>
      <c r="ET54" s="696"/>
      <c r="EV54" s="589"/>
      <c r="EW54" s="564"/>
      <c r="EX54" s="564"/>
      <c r="EY54" s="590"/>
      <c r="EZ54" s="589"/>
      <c r="FA54" s="564"/>
      <c r="FB54" s="564"/>
      <c r="FC54" s="590"/>
      <c r="FD54" s="589"/>
      <c r="FE54" s="564"/>
      <c r="FF54" s="564"/>
      <c r="FG54" s="590"/>
      <c r="FH54" s="589"/>
      <c r="FI54" s="564"/>
      <c r="FJ54" s="564"/>
      <c r="FK54" s="590"/>
      <c r="FL54" s="589"/>
      <c r="FM54" s="564"/>
      <c r="FN54" s="564"/>
      <c r="FO54" s="590"/>
      <c r="FP54" s="589"/>
      <c r="FQ54" s="564"/>
      <c r="FR54" s="564"/>
      <c r="FS54" s="590"/>
      <c r="FT54" s="589"/>
      <c r="FU54" s="564"/>
      <c r="FV54" s="564"/>
      <c r="FW54" s="590"/>
      <c r="FX54" s="589"/>
      <c r="FY54" s="564"/>
      <c r="FZ54" s="564"/>
      <c r="GA54" s="590"/>
      <c r="GB54" s="589"/>
      <c r="GC54" s="564"/>
      <c r="GD54" s="564"/>
      <c r="GE54" s="590"/>
      <c r="GF54" s="589"/>
      <c r="GG54" s="564"/>
      <c r="GH54" s="564"/>
      <c r="GI54" s="590"/>
      <c r="GJ54" s="589"/>
      <c r="GK54" s="564"/>
      <c r="GL54" s="564"/>
      <c r="GM54" s="590"/>
      <c r="GN54" s="589"/>
      <c r="GO54" s="564"/>
      <c r="GP54" s="564"/>
      <c r="GQ54" s="590"/>
      <c r="GR54" s="589"/>
      <c r="GS54" s="564"/>
      <c r="GT54" s="564"/>
      <c r="GU54" s="590"/>
      <c r="GV54" s="672"/>
      <c r="GW54" s="676"/>
      <c r="GX54" s="676"/>
      <c r="GY54" s="1366"/>
      <c r="GZ54" s="672"/>
      <c r="HA54" s="671"/>
      <c r="HB54" s="671"/>
      <c r="HC54" s="1366"/>
      <c r="HD54" s="672"/>
      <c r="HE54" s="671"/>
      <c r="HF54" s="671"/>
      <c r="HG54" s="1366"/>
      <c r="HI54" s="589"/>
      <c r="HJ54" s="564"/>
      <c r="HK54" s="564"/>
      <c r="HL54" s="590"/>
      <c r="HM54" s="589"/>
      <c r="HN54" s="564"/>
      <c r="HO54" s="564"/>
      <c r="HP54" s="590"/>
      <c r="HQ54" s="589"/>
      <c r="HR54" s="564"/>
      <c r="HS54" s="564"/>
      <c r="HT54" s="590"/>
    </row>
    <row r="55" spans="1:228">
      <c r="A55" s="649" t="s">
        <v>24</v>
      </c>
      <c r="B55" s="670">
        <f t="shared" si="0"/>
        <v>2014</v>
      </c>
      <c r="C55" s="671">
        <f>+E54</f>
        <v>17274439.383522727</v>
      </c>
      <c r="D55" s="671">
        <f>+C$31</f>
        <v>445791.98409090913</v>
      </c>
      <c r="E55" s="671">
        <f t="shared" si="6"/>
        <v>16828647.399431817</v>
      </c>
      <c r="F55" s="653">
        <f>+C$28*E55+D55</f>
        <v>2382340.4380216114</v>
      </c>
      <c r="G55" s="671">
        <f>+I54</f>
        <v>4459868.8574999981</v>
      </c>
      <c r="H55" s="671">
        <f>+G$31</f>
        <v>115840.74954545456</v>
      </c>
      <c r="I55" s="671">
        <f t="shared" si="7"/>
        <v>4344028.1079545431</v>
      </c>
      <c r="J55" s="653">
        <f>+G$28*I55+H55</f>
        <v>615727.68143131188</v>
      </c>
      <c r="K55" s="672">
        <f>+M54</f>
        <v>11529595.982897725</v>
      </c>
      <c r="L55" s="671">
        <f>+K$31</f>
        <v>305419.76113636367</v>
      </c>
      <c r="M55" s="671">
        <f t="shared" si="8"/>
        <v>11224176.221761361</v>
      </c>
      <c r="N55" s="653">
        <f>+K$28*M55+L55</f>
        <v>1597036.4070250634</v>
      </c>
      <c r="O55" s="672">
        <f>+Q54</f>
        <v>4752766.6742424238</v>
      </c>
      <c r="P55" s="671">
        <f>+O$31</f>
        <v>119316.31818181818</v>
      </c>
      <c r="Q55" s="671">
        <f t="shared" si="11"/>
        <v>4633450.3560606055</v>
      </c>
      <c r="R55" s="653">
        <f>+O$28*Q55+P55</f>
        <v>652508.37517962395</v>
      </c>
      <c r="S55" s="589">
        <f>+U54</f>
        <v>2225716.0915151504</v>
      </c>
      <c r="T55" s="564">
        <f>+S$31</f>
        <v>58315.705454545445</v>
      </c>
      <c r="U55" s="564">
        <f t="shared" si="12"/>
        <v>2167400.3860606048</v>
      </c>
      <c r="V55" s="590">
        <f>+S$28*U55+T55</f>
        <v>307728.25579511432</v>
      </c>
      <c r="W55" s="589">
        <f>+Y54</f>
        <v>27616195.609848484</v>
      </c>
      <c r="X55" s="564">
        <f>+W$31</f>
        <v>693293.61363636365</v>
      </c>
      <c r="Y55" s="564">
        <f t="shared" si="13"/>
        <v>26922901.996212121</v>
      </c>
      <c r="Z55" s="590">
        <f>+W$28*Y55+X55</f>
        <v>3791433.5293762768</v>
      </c>
      <c r="AA55" s="589">
        <f>+AC54</f>
        <v>17995762.376893934</v>
      </c>
      <c r="AB55" s="564">
        <f>+AA$31</f>
        <v>450833.29545454547</v>
      </c>
      <c r="AC55" s="564">
        <f t="shared" si="14"/>
        <v>17544929.081439387</v>
      </c>
      <c r="AD55" s="590">
        <f>+AA$28*AC55+AB55</f>
        <v>2469807.5172409266</v>
      </c>
      <c r="AE55" s="589">
        <f>+AG54</f>
        <v>181616.51136363641</v>
      </c>
      <c r="AF55" s="564">
        <f>+AE$31</f>
        <v>4597.886363636364</v>
      </c>
      <c r="AG55" s="564">
        <f t="shared" si="15"/>
        <v>177018.62500000006</v>
      </c>
      <c r="AH55" s="590">
        <f>+AE$28*AG55+AF55</f>
        <v>24968.218953305033</v>
      </c>
      <c r="AI55" s="589">
        <f>+AK54</f>
        <v>12068186.799242424</v>
      </c>
      <c r="AJ55" s="564">
        <f>+AI$31</f>
        <v>295547.43181818182</v>
      </c>
      <c r="AK55" s="564">
        <f t="shared" si="19"/>
        <v>11772639.367424242</v>
      </c>
      <c r="AL55" s="590">
        <f>+AI$28*AK55+AJ55</f>
        <v>1650278.2087217891</v>
      </c>
      <c r="AM55" s="589">
        <f>+AO54</f>
        <v>4490110.0851136353</v>
      </c>
      <c r="AN55" s="564">
        <f>+AM$31</f>
        <v>110866.91568181818</v>
      </c>
      <c r="AO55" s="564">
        <f t="shared" si="16"/>
        <v>4379243.1694318168</v>
      </c>
      <c r="AP55" s="590">
        <f>+AM$28*AO55+AN55</f>
        <v>614806.20372205018</v>
      </c>
      <c r="AQ55" s="589">
        <f>+AS54</f>
        <v>36875988.668863639</v>
      </c>
      <c r="AR55" s="564">
        <f>+AQ$31</f>
        <v>904932.23727272719</v>
      </c>
      <c r="AS55" s="564">
        <f t="shared" si="17"/>
        <v>35971056.431590915</v>
      </c>
      <c r="AT55" s="590">
        <f>+AQ$28*AS55+AR55</f>
        <v>5044284.145091732</v>
      </c>
      <c r="AU55" s="672">
        <f>+AW54</f>
        <v>25375000</v>
      </c>
      <c r="AV55" s="671">
        <f>+AU$31</f>
        <v>750000</v>
      </c>
      <c r="AW55" s="671">
        <f t="shared" si="1"/>
        <v>24625000</v>
      </c>
      <c r="AX55" s="653">
        <f>+AU$28*AW55+AV55</f>
        <v>750000</v>
      </c>
      <c r="AY55" s="672">
        <f>+BA54</f>
        <v>16583333.333333332</v>
      </c>
      <c r="AZ55" s="671">
        <f>+AY$31</f>
        <v>500000</v>
      </c>
      <c r="BA55" s="671">
        <f t="shared" si="2"/>
        <v>16083333.333333332</v>
      </c>
      <c r="BB55" s="653">
        <f>+AY$28*BA55+AZ55</f>
        <v>500000</v>
      </c>
      <c r="BC55" s="672">
        <f>+BE54</f>
        <v>25750000</v>
      </c>
      <c r="BD55" s="671">
        <f>+BC$31</f>
        <v>750000</v>
      </c>
      <c r="BE55" s="671">
        <f t="shared" si="4"/>
        <v>25000000</v>
      </c>
      <c r="BF55" s="653">
        <f>+BC$28*BE55+BD55</f>
        <v>750000</v>
      </c>
      <c r="BG55" s="672">
        <f>+BI54</f>
        <v>17095238.095238097</v>
      </c>
      <c r="BH55" s="671">
        <f>+BG$31</f>
        <v>571428.57142857148</v>
      </c>
      <c r="BI55" s="671">
        <f t="shared" si="5"/>
        <v>16523809.523809526</v>
      </c>
      <c r="BJ55" s="653">
        <f>+BG$28*BI55+BH55</f>
        <v>571428.57142857148</v>
      </c>
      <c r="BK55" s="672">
        <f>+BM54</f>
        <v>24800000</v>
      </c>
      <c r="BL55" s="671">
        <f>+BK$31</f>
        <v>1200000</v>
      </c>
      <c r="BM55" s="671">
        <f t="shared" si="9"/>
        <v>23600000</v>
      </c>
      <c r="BN55" s="653">
        <f>+BK$28*BM55+BL55</f>
        <v>1200000</v>
      </c>
      <c r="BO55" s="672">
        <f>+BQ54</f>
        <v>17166666.66666666</v>
      </c>
      <c r="BP55" s="671">
        <f>+BO$31</f>
        <v>666666.66666666663</v>
      </c>
      <c r="BQ55" s="671">
        <f t="shared" si="10"/>
        <v>16499999.999999994</v>
      </c>
      <c r="BR55" s="653">
        <f>+BO$28*BQ55+BP55</f>
        <v>666666.66666666663</v>
      </c>
      <c r="BS55" s="589">
        <f>+BU54</f>
        <v>340746.34090909094</v>
      </c>
      <c r="BT55" s="564">
        <f>+BS$31</f>
        <v>8310.886363636364</v>
      </c>
      <c r="BU55" s="564">
        <f t="shared" si="18"/>
        <v>332435.45454545459</v>
      </c>
      <c r="BV55" s="590">
        <f>+BS$28*BU55+BT55</f>
        <v>46565.735386944449</v>
      </c>
      <c r="BW55" s="589">
        <f>+BY54</f>
        <v>23794700.625</v>
      </c>
      <c r="BX55" s="564">
        <f>+BW$31</f>
        <v>576841.22727272729</v>
      </c>
      <c r="BY55" s="564">
        <f t="shared" si="20"/>
        <v>23217859.397727273</v>
      </c>
      <c r="BZ55" s="590">
        <f>+BW$28*BY55+BX55</f>
        <v>3248625.1593412803</v>
      </c>
      <c r="CA55" s="589">
        <f>+CC54</f>
        <v>2245399.2000000002</v>
      </c>
      <c r="CB55" s="564">
        <f>+CA$31</f>
        <v>54433.919999999998</v>
      </c>
      <c r="CC55" s="564">
        <f t="shared" si="21"/>
        <v>2190965.2800000003</v>
      </c>
      <c r="CD55" s="590">
        <f>+CA$28*CC55+CB55</f>
        <v>306558.18910454499</v>
      </c>
      <c r="CE55" s="589">
        <f>+CG54</f>
        <v>194907.45</v>
      </c>
      <c r="CF55" s="564">
        <f>+CE$31</f>
        <v>4725.0290909090909</v>
      </c>
      <c r="CG55" s="564">
        <f t="shared" si="22"/>
        <v>190182.42090909093</v>
      </c>
      <c r="CH55" s="590">
        <f>+CE$28*CG55+CF55</f>
        <v>26610.179123153088</v>
      </c>
      <c r="CI55" s="589">
        <f>+CK54</f>
        <v>522325.22727272729</v>
      </c>
      <c r="CJ55" s="564">
        <f>+CI$31</f>
        <v>12362.727272727272</v>
      </c>
      <c r="CK55" s="564">
        <f t="shared" si="24"/>
        <v>509962.5</v>
      </c>
      <c r="CL55" s="590">
        <f>+CI$28*CK55+CJ55</f>
        <v>71046.415123420418</v>
      </c>
      <c r="CM55" s="589"/>
      <c r="CN55" s="564"/>
      <c r="CO55" s="564"/>
      <c r="CP55" s="590"/>
      <c r="CQ55" s="589"/>
      <c r="CR55" s="564"/>
      <c r="CS55" s="564"/>
      <c r="CT55" s="590"/>
      <c r="CU55" s="589"/>
      <c r="CV55" s="564"/>
      <c r="CW55" s="564"/>
      <c r="CX55" s="590"/>
      <c r="CY55" s="589"/>
      <c r="CZ55" s="564"/>
      <c r="DA55" s="564"/>
      <c r="DB55" s="590"/>
      <c r="DC55" s="589"/>
      <c r="DD55" s="564"/>
      <c r="DE55" s="564"/>
      <c r="DF55" s="590"/>
      <c r="DG55" s="589"/>
      <c r="DH55" s="564"/>
      <c r="DI55" s="564"/>
      <c r="DJ55" s="590"/>
      <c r="DK55" s="589"/>
      <c r="DL55" s="564"/>
      <c r="DM55" s="564"/>
      <c r="DN55" s="590"/>
      <c r="DO55" s="589"/>
      <c r="DP55" s="564"/>
      <c r="DQ55" s="564"/>
      <c r="DR55" s="590"/>
      <c r="DS55" s="589"/>
      <c r="DT55" s="564"/>
      <c r="DU55" s="564"/>
      <c r="DV55" s="590"/>
      <c r="DW55" s="589"/>
      <c r="DX55" s="564"/>
      <c r="DY55" s="564"/>
      <c r="DZ55" s="590"/>
      <c r="EA55" s="589"/>
      <c r="EB55" s="564"/>
      <c r="EC55" s="564"/>
      <c r="ED55" s="590"/>
      <c r="EE55" s="589"/>
      <c r="EF55" s="564"/>
      <c r="EG55" s="564"/>
      <c r="EH55" s="590"/>
      <c r="EI55" s="589"/>
      <c r="EJ55" s="564"/>
      <c r="EK55" s="564"/>
      <c r="EL55" s="590"/>
      <c r="EM55" s="589"/>
      <c r="EN55" s="564"/>
      <c r="EO55" s="564"/>
      <c r="EP55" s="590"/>
      <c r="EQ55" s="678">
        <f t="shared" si="3"/>
        <v>22850324.658638149</v>
      </c>
      <c r="ER55" s="652"/>
      <c r="ES55" s="674">
        <f>+EQ55</f>
        <v>22850324.658638149</v>
      </c>
      <c r="ET55" s="575"/>
      <c r="EV55" s="589">
        <f>+EV30</f>
        <v>12707126</v>
      </c>
      <c r="EW55" s="564">
        <f>+EV$31/12*(12-$EV$32)</f>
        <v>1058927.1666666667</v>
      </c>
      <c r="EX55" s="564">
        <f>+EV55-EW55</f>
        <v>11648198.833333334</v>
      </c>
      <c r="EY55" s="590">
        <f>+(((EV$28*EX55)*(12-EV$32)/12))+EW55</f>
        <v>2430733.0910687041</v>
      </c>
      <c r="EZ55" s="589">
        <f>+EZ30</f>
        <v>8944044</v>
      </c>
      <c r="FA55" s="564">
        <f>+EZ$31/12*(12-$EZ$32)</f>
        <v>0</v>
      </c>
      <c r="FB55" s="564">
        <f>+EZ55-FA55</f>
        <v>8944044</v>
      </c>
      <c r="FC55" s="590">
        <f>+(((EZ$28*FB55)*(12-EZ$32)/12))+FA55</f>
        <v>0</v>
      </c>
      <c r="FD55" s="589">
        <f>+FD30</f>
        <v>1404585.91</v>
      </c>
      <c r="FE55" s="564">
        <f>+FD$31/12*(12-$FD$32)</f>
        <v>11704.882583333332</v>
      </c>
      <c r="FF55" s="564">
        <f>+FD55-FE55</f>
        <v>1392881.0274166665</v>
      </c>
      <c r="FG55" s="590">
        <f>+(((FD$28*FF55)*(12-FD$32)/12))+FE55</f>
        <v>28108.813120039165</v>
      </c>
      <c r="FH55" s="589">
        <f>+FH30</f>
        <v>169603</v>
      </c>
      <c r="FI55" s="564">
        <f>+FH$31/12*(12-$FH$32)</f>
        <v>0</v>
      </c>
      <c r="FJ55" s="564">
        <f>+FH55-FI55</f>
        <v>169603</v>
      </c>
      <c r="FK55" s="590">
        <f>+(((FH$28*FJ55)*(12-FH$32)/12))+FI55</f>
        <v>0</v>
      </c>
      <c r="FL55" s="589"/>
      <c r="FM55" s="564"/>
      <c r="FN55" s="564"/>
      <c r="FO55" s="590"/>
      <c r="FP55" s="589"/>
      <c r="FQ55" s="564"/>
      <c r="FR55" s="564"/>
      <c r="FS55" s="590"/>
      <c r="FT55" s="589"/>
      <c r="FU55" s="564"/>
      <c r="FV55" s="564"/>
      <c r="FW55" s="590"/>
      <c r="FX55" s="589"/>
      <c r="FY55" s="564"/>
      <c r="FZ55" s="564"/>
      <c r="GA55" s="590"/>
      <c r="GB55" s="589"/>
      <c r="GC55" s="564"/>
      <c r="GD55" s="564"/>
      <c r="GE55" s="590"/>
      <c r="GF55" s="589"/>
      <c r="GG55" s="564"/>
      <c r="GH55" s="564"/>
      <c r="GI55" s="590"/>
      <c r="GJ55" s="589"/>
      <c r="GK55" s="564"/>
      <c r="GL55" s="564"/>
      <c r="GM55" s="590"/>
      <c r="GN55" s="589"/>
      <c r="GO55" s="564"/>
      <c r="GP55" s="564"/>
      <c r="GQ55" s="590"/>
      <c r="GR55" s="589"/>
      <c r="GS55" s="564"/>
      <c r="GT55" s="564"/>
      <c r="GU55" s="590"/>
      <c r="GV55" s="672"/>
      <c r="GW55" s="676"/>
      <c r="GX55" s="676"/>
      <c r="GY55" s="1366"/>
      <c r="GZ55" s="672"/>
      <c r="HA55" s="671"/>
      <c r="HB55" s="671"/>
      <c r="HC55" s="1366"/>
      <c r="HD55" s="672"/>
      <c r="HE55" s="671"/>
      <c r="HF55" s="671"/>
      <c r="HG55" s="1366"/>
      <c r="HH55" s="676"/>
      <c r="HI55" s="589"/>
      <c r="HJ55" s="564"/>
      <c r="HK55" s="564"/>
      <c r="HL55" s="590"/>
      <c r="HM55" s="589"/>
      <c r="HN55" s="564"/>
      <c r="HO55" s="564"/>
      <c r="HP55" s="590"/>
      <c r="HQ55" s="589"/>
      <c r="HR55" s="564"/>
      <c r="HS55" s="564"/>
      <c r="HT55" s="590"/>
    </row>
    <row r="56" spans="1:228">
      <c r="A56" s="649" t="s">
        <v>23</v>
      </c>
      <c r="B56" s="670">
        <f t="shared" si="0"/>
        <v>2014</v>
      </c>
      <c r="C56" s="671">
        <f>+C55</f>
        <v>17274439.383522727</v>
      </c>
      <c r="D56" s="671">
        <f>+D55</f>
        <v>445791.98409090913</v>
      </c>
      <c r="E56" s="671">
        <f t="shared" si="6"/>
        <v>16828647.399431817</v>
      </c>
      <c r="F56" s="653">
        <f>+C$29*E56+D56</f>
        <v>2485047.4474558444</v>
      </c>
      <c r="G56" s="671">
        <f>+G55</f>
        <v>4459868.8574999981</v>
      </c>
      <c r="H56" s="671">
        <f>+H55</f>
        <v>115840.74954545456</v>
      </c>
      <c r="I56" s="671">
        <f t="shared" si="7"/>
        <v>4344028.1079545431</v>
      </c>
      <c r="J56" s="653">
        <f>+G$29*I56+H56</f>
        <v>642239.7429937477</v>
      </c>
      <c r="K56" s="672">
        <f>+K55</f>
        <v>11529595.982897725</v>
      </c>
      <c r="L56" s="671">
        <f>+L55</f>
        <v>305419.76113636367</v>
      </c>
      <c r="M56" s="671">
        <f t="shared" si="8"/>
        <v>11224176.221761361</v>
      </c>
      <c r="N56" s="653">
        <f>+K$29*M56+L56</f>
        <v>1665538.7379455427</v>
      </c>
      <c r="O56" s="672">
        <f>+O55</f>
        <v>4752766.6742424238</v>
      </c>
      <c r="P56" s="671">
        <f>+P55</f>
        <v>119316.31818181818</v>
      </c>
      <c r="Q56" s="671">
        <f t="shared" si="11"/>
        <v>4633450.3560606055</v>
      </c>
      <c r="R56" s="653">
        <f>+O$29*Q56+P56</f>
        <v>680786.81123795127</v>
      </c>
      <c r="S56" s="589">
        <f>+S55</f>
        <v>2225716.0915151504</v>
      </c>
      <c r="T56" s="564">
        <f>+T55</f>
        <v>58315.705454545445</v>
      </c>
      <c r="U56" s="564">
        <f t="shared" si="12"/>
        <v>2167400.3860606048</v>
      </c>
      <c r="V56" s="590">
        <f>+S$29*U56+T56</f>
        <v>320956.1288745873</v>
      </c>
      <c r="W56" s="589">
        <f>+W55</f>
        <v>27616195.609848484</v>
      </c>
      <c r="X56" s="564">
        <f>+X55</f>
        <v>693293.61363636365</v>
      </c>
      <c r="Y56" s="564">
        <f t="shared" si="13"/>
        <v>26922901.996212121</v>
      </c>
      <c r="Z56" s="590">
        <f>+W$29*Y56+X56</f>
        <v>3955746.8389186263</v>
      </c>
      <c r="AA56" s="589">
        <f>+AA55</f>
        <v>17995762.376893934</v>
      </c>
      <c r="AB56" s="564">
        <f>+AB55</f>
        <v>450833.29545454547</v>
      </c>
      <c r="AC56" s="564">
        <f t="shared" si="14"/>
        <v>17544929.081439387</v>
      </c>
      <c r="AD56" s="590">
        <f>+AA$29*AC56+AB56</f>
        <v>2576886.0693027629</v>
      </c>
      <c r="AE56" s="589">
        <f>+AE55</f>
        <v>181616.51136363641</v>
      </c>
      <c r="AF56" s="564">
        <f>+AF55</f>
        <v>4597.886363636364</v>
      </c>
      <c r="AG56" s="564">
        <f t="shared" si="15"/>
        <v>177018.62500000006</v>
      </c>
      <c r="AH56" s="590">
        <f>+AE$29*AG56+AF56</f>
        <v>26048.582285923425</v>
      </c>
      <c r="AI56" s="589">
        <f>+AI55</f>
        <v>12068186.799242424</v>
      </c>
      <c r="AJ56" s="564">
        <f>+AJ55</f>
        <v>295547.43181818182</v>
      </c>
      <c r="AK56" s="564">
        <f t="shared" si="19"/>
        <v>11772639.367424242</v>
      </c>
      <c r="AL56" s="590">
        <f>+AI$29*AK56+AJ56</f>
        <v>1722127.8680483426</v>
      </c>
      <c r="AM56" s="589">
        <f>+AM55</f>
        <v>4490110.0851136353</v>
      </c>
      <c r="AN56" s="564">
        <f>+AN55</f>
        <v>110866.91568181818</v>
      </c>
      <c r="AO56" s="564">
        <f t="shared" si="16"/>
        <v>4379243.1694318168</v>
      </c>
      <c r="AP56" s="590">
        <f>+AM$29*AO56+AN56</f>
        <v>641533.18651763839</v>
      </c>
      <c r="AQ56" s="589">
        <f>+AQ55</f>
        <v>36875988.668863639</v>
      </c>
      <c r="AR56" s="564">
        <f>+AR55</f>
        <v>904932.23727272719</v>
      </c>
      <c r="AS56" s="564">
        <f t="shared" si="17"/>
        <v>35971056.431590915</v>
      </c>
      <c r="AT56" s="590">
        <f>+AQ$29*AS56+AR56</f>
        <v>5263819.2951599117</v>
      </c>
      <c r="AU56" s="672">
        <f>+AU55</f>
        <v>25375000</v>
      </c>
      <c r="AV56" s="671">
        <f>+AV55</f>
        <v>750000</v>
      </c>
      <c r="AW56" s="671">
        <f t="shared" si="1"/>
        <v>24625000</v>
      </c>
      <c r="AX56" s="653">
        <f>+AU$29*AW56+AV56</f>
        <v>750000</v>
      </c>
      <c r="AY56" s="672">
        <f>+AY55</f>
        <v>16583333.333333332</v>
      </c>
      <c r="AZ56" s="671">
        <f>+AZ55</f>
        <v>500000</v>
      </c>
      <c r="BA56" s="671">
        <f t="shared" si="2"/>
        <v>16083333.333333332</v>
      </c>
      <c r="BB56" s="653">
        <f>+AY$29*BA56+AZ56</f>
        <v>500000</v>
      </c>
      <c r="BC56" s="672">
        <f>+BC55</f>
        <v>25750000</v>
      </c>
      <c r="BD56" s="671">
        <f>+BD55</f>
        <v>750000</v>
      </c>
      <c r="BE56" s="671">
        <f t="shared" si="4"/>
        <v>25000000</v>
      </c>
      <c r="BF56" s="653">
        <f>+BC$29*BE56+BD56</f>
        <v>750000</v>
      </c>
      <c r="BG56" s="672">
        <f>+BG55</f>
        <v>17095238.095238097</v>
      </c>
      <c r="BH56" s="671">
        <f>+BH55</f>
        <v>571428.57142857148</v>
      </c>
      <c r="BI56" s="671">
        <f t="shared" si="5"/>
        <v>16523809.523809526</v>
      </c>
      <c r="BJ56" s="653">
        <f>+BG$29*BI56+BH56</f>
        <v>571428.57142857148</v>
      </c>
      <c r="BK56" s="672">
        <f>+BK55</f>
        <v>24800000</v>
      </c>
      <c r="BL56" s="671">
        <f>+BL55</f>
        <v>1200000</v>
      </c>
      <c r="BM56" s="671">
        <f t="shared" si="9"/>
        <v>23600000</v>
      </c>
      <c r="BN56" s="653">
        <f>+BK$29*BM56+BL56</f>
        <v>1200000</v>
      </c>
      <c r="BO56" s="672">
        <f>+BO55</f>
        <v>17166666.66666666</v>
      </c>
      <c r="BP56" s="671">
        <f>+BP55</f>
        <v>666666.66666666663</v>
      </c>
      <c r="BQ56" s="671">
        <f t="shared" si="10"/>
        <v>16499999.999999994</v>
      </c>
      <c r="BR56" s="653">
        <f>+BO$29*BQ56+BP56</f>
        <v>666666.66666666663</v>
      </c>
      <c r="BS56" s="589">
        <f>+BS55</f>
        <v>340746.34090909094</v>
      </c>
      <c r="BT56" s="564">
        <f>+BT55</f>
        <v>8310.886363636364</v>
      </c>
      <c r="BU56" s="564">
        <f t="shared" si="18"/>
        <v>332435.45454545459</v>
      </c>
      <c r="BV56" s="590">
        <f>+BS$29*BU56+BT56</f>
        <v>48594.624016902089</v>
      </c>
      <c r="BW56" s="589">
        <f>+BW55</f>
        <v>23794700.625</v>
      </c>
      <c r="BX56" s="564">
        <f>+BX55</f>
        <v>576841.22727272729</v>
      </c>
      <c r="BY56" s="564">
        <f t="shared" si="20"/>
        <v>23217859.397727273</v>
      </c>
      <c r="BZ56" s="590">
        <f>+BW$29*BY56+BX56</f>
        <v>3248625.1593412803</v>
      </c>
      <c r="CA56" s="589">
        <f>+CA55</f>
        <v>2245399.2000000002</v>
      </c>
      <c r="CB56" s="564">
        <f>+CB55</f>
        <v>54433.919999999998</v>
      </c>
      <c r="CC56" s="564">
        <f t="shared" si="21"/>
        <v>2190965.2800000003</v>
      </c>
      <c r="CD56" s="590">
        <f>+CA$29*CC56+CB56</f>
        <v>319929.88121633255</v>
      </c>
      <c r="CE56" s="589">
        <f>+CE55</f>
        <v>194907.45</v>
      </c>
      <c r="CF56" s="564">
        <f>+CF55</f>
        <v>4725.0290909090909</v>
      </c>
      <c r="CG56" s="564">
        <f t="shared" si="22"/>
        <v>190182.42090909093</v>
      </c>
      <c r="CH56" s="590">
        <f>+CE$29*CG56+CF56</f>
        <v>27770.882490150652</v>
      </c>
      <c r="CI56" s="589">
        <f>+CI55</f>
        <v>522325.22727272729</v>
      </c>
      <c r="CJ56" s="564">
        <f>+CJ55</f>
        <v>12362.727272727272</v>
      </c>
      <c r="CK56" s="564">
        <f t="shared" si="24"/>
        <v>509962.5</v>
      </c>
      <c r="CL56" s="590">
        <f>+CI$29*CK56+CJ56</f>
        <v>71046.415123420418</v>
      </c>
      <c r="CM56" s="589"/>
      <c r="CN56" s="564"/>
      <c r="CO56" s="564"/>
      <c r="CP56" s="590"/>
      <c r="CQ56" s="589"/>
      <c r="CR56" s="564"/>
      <c r="CS56" s="564"/>
      <c r="CT56" s="590"/>
      <c r="CU56" s="589"/>
      <c r="CV56" s="564"/>
      <c r="CW56" s="564"/>
      <c r="CX56" s="590"/>
      <c r="CY56" s="589"/>
      <c r="CZ56" s="564"/>
      <c r="DA56" s="564"/>
      <c r="DB56" s="590"/>
      <c r="DC56" s="589"/>
      <c r="DD56" s="564"/>
      <c r="DE56" s="564"/>
      <c r="DF56" s="590"/>
      <c r="DG56" s="589"/>
      <c r="DH56" s="564"/>
      <c r="DI56" s="564"/>
      <c r="DJ56" s="590"/>
      <c r="DK56" s="589"/>
      <c r="DL56" s="564"/>
      <c r="DM56" s="564"/>
      <c r="DN56" s="590"/>
      <c r="DO56" s="589"/>
      <c r="DP56" s="564"/>
      <c r="DQ56" s="564"/>
      <c r="DR56" s="590"/>
      <c r="DS56" s="589"/>
      <c r="DT56" s="564"/>
      <c r="DU56" s="564"/>
      <c r="DV56" s="590"/>
      <c r="DW56" s="589"/>
      <c r="DX56" s="564"/>
      <c r="DY56" s="564"/>
      <c r="DZ56" s="590"/>
      <c r="EA56" s="589"/>
      <c r="EB56" s="564"/>
      <c r="EC56" s="564"/>
      <c r="ED56" s="590"/>
      <c r="EE56" s="589"/>
      <c r="EF56" s="564"/>
      <c r="EG56" s="564"/>
      <c r="EH56" s="590"/>
      <c r="EI56" s="589"/>
      <c r="EJ56" s="564"/>
      <c r="EK56" s="564"/>
      <c r="EL56" s="590"/>
      <c r="EM56" s="589"/>
      <c r="EN56" s="564"/>
      <c r="EO56" s="564"/>
      <c r="EP56" s="590"/>
      <c r="EQ56" s="678">
        <f t="shared" si="3"/>
        <v>23696697.670928966</v>
      </c>
      <c r="ER56" s="675">
        <f>+EQ56</f>
        <v>23696697.670928966</v>
      </c>
      <c r="ES56" s="648"/>
      <c r="ET56" s="696"/>
      <c r="EV56" s="589">
        <f>+EV55</f>
        <v>12707126</v>
      </c>
      <c r="EW56" s="564">
        <f>+EW55</f>
        <v>1058927.1666666667</v>
      </c>
      <c r="EX56" s="564">
        <f t="shared" ref="EX56:EX76" si="25">+EV56-EW56</f>
        <v>11648198.833333334</v>
      </c>
      <c r="EY56" s="590">
        <f>+(((EV$29*EX56)*(12-EV$32)/12))+EW56</f>
        <v>2430733.0910687041</v>
      </c>
      <c r="EZ56" s="589">
        <f>+EZ55</f>
        <v>8944044</v>
      </c>
      <c r="FA56" s="564">
        <f>+FA55</f>
        <v>0</v>
      </c>
      <c r="FB56" s="564">
        <f t="shared" ref="FB56:FB76" si="26">+EZ56-FA56</f>
        <v>8944044</v>
      </c>
      <c r="FC56" s="590">
        <f>+(((EZ$29*FB56)*(12-EZ$32)/12))+FA56</f>
        <v>0</v>
      </c>
      <c r="FD56" s="589">
        <f>+FD55</f>
        <v>1404585.91</v>
      </c>
      <c r="FE56" s="564">
        <f>+FE55</f>
        <v>11704.882583333332</v>
      </c>
      <c r="FF56" s="564">
        <f t="shared" ref="FF56:FF76" si="27">+FD56-FE56</f>
        <v>1392881.0274166665</v>
      </c>
      <c r="FG56" s="590">
        <f>+(((FD$29*FF56)*(12-FD$32)/12))+FE56</f>
        <v>28108.813120039165</v>
      </c>
      <c r="FH56" s="589">
        <f>+FH55</f>
        <v>169603</v>
      </c>
      <c r="FI56" s="564">
        <f>+FI55</f>
        <v>0</v>
      </c>
      <c r="FJ56" s="564">
        <f t="shared" ref="FJ56:FJ76" si="28">+FH56-FI56</f>
        <v>169603</v>
      </c>
      <c r="FK56" s="590">
        <f>+(((FH$29*FJ56)*(12-FH$32)/12))+FI56</f>
        <v>0</v>
      </c>
      <c r="FL56" s="589"/>
      <c r="FM56" s="564"/>
      <c r="FN56" s="564"/>
      <c r="FO56" s="590"/>
      <c r="FP56" s="589"/>
      <c r="FQ56" s="564"/>
      <c r="FR56" s="564"/>
      <c r="FS56" s="590"/>
      <c r="FT56" s="589"/>
      <c r="FU56" s="564"/>
      <c r="FV56" s="564"/>
      <c r="FW56" s="590"/>
      <c r="FX56" s="589"/>
      <c r="FY56" s="564"/>
      <c r="FZ56" s="564"/>
      <c r="GA56" s="590"/>
      <c r="GB56" s="589"/>
      <c r="GC56" s="564"/>
      <c r="GD56" s="564"/>
      <c r="GE56" s="590"/>
      <c r="GF56" s="589"/>
      <c r="GG56" s="564"/>
      <c r="GH56" s="564"/>
      <c r="GI56" s="590"/>
      <c r="GJ56" s="589"/>
      <c r="GK56" s="564"/>
      <c r="GL56" s="564"/>
      <c r="GM56" s="590"/>
      <c r="GN56" s="589"/>
      <c r="GO56" s="564"/>
      <c r="GP56" s="564"/>
      <c r="GQ56" s="590"/>
      <c r="GR56" s="589"/>
      <c r="GS56" s="564"/>
      <c r="GT56" s="564"/>
      <c r="GU56" s="590"/>
      <c r="GV56" s="672"/>
      <c r="GW56" s="676"/>
      <c r="GX56" s="676"/>
      <c r="GY56" s="1366"/>
      <c r="GZ56" s="672"/>
      <c r="HA56" s="671"/>
      <c r="HB56" s="671"/>
      <c r="HC56" s="1366"/>
      <c r="HD56" s="672"/>
      <c r="HE56" s="671"/>
      <c r="HF56" s="671"/>
      <c r="HG56" s="1366"/>
      <c r="HH56" s="676"/>
      <c r="HI56" s="589"/>
      <c r="HJ56" s="564"/>
      <c r="HK56" s="564"/>
      <c r="HL56" s="590"/>
      <c r="HM56" s="589"/>
      <c r="HN56" s="564"/>
      <c r="HO56" s="564"/>
      <c r="HP56" s="590"/>
      <c r="HQ56" s="589"/>
      <c r="HR56" s="564"/>
      <c r="HS56" s="564"/>
      <c r="HT56" s="590"/>
    </row>
    <row r="57" spans="1:228">
      <c r="A57" s="649" t="s">
        <v>24</v>
      </c>
      <c r="B57" s="670">
        <f t="shared" si="0"/>
        <v>2015</v>
      </c>
      <c r="C57" s="671">
        <f>+E56</f>
        <v>16828647.399431817</v>
      </c>
      <c r="D57" s="671">
        <f>+C$31</f>
        <v>445791.98409090913</v>
      </c>
      <c r="E57" s="671">
        <f t="shared" si="6"/>
        <v>16382855.415340908</v>
      </c>
      <c r="F57" s="653">
        <f>+C$28*E57+D57</f>
        <v>2331041.1412287448</v>
      </c>
      <c r="G57" s="671">
        <f>+I56</f>
        <v>4344028.1079545431</v>
      </c>
      <c r="H57" s="671">
        <f>+G$31</f>
        <v>115840.74954545456</v>
      </c>
      <c r="I57" s="671">
        <f t="shared" si="7"/>
        <v>4228187.3584090881</v>
      </c>
      <c r="J57" s="653">
        <f>+G$28*I57+H57</f>
        <v>602397.36324768898</v>
      </c>
      <c r="K57" s="672">
        <f>+M56</f>
        <v>11224176.221761361</v>
      </c>
      <c r="L57" s="671">
        <f>+K$31</f>
        <v>305419.76113636367</v>
      </c>
      <c r="M57" s="671">
        <f t="shared" si="8"/>
        <v>10918756.460624997</v>
      </c>
      <c r="N57" s="653">
        <f>+K$28*M57+L57</f>
        <v>1561890.3758444185</v>
      </c>
      <c r="O57" s="672">
        <f>+Q56</f>
        <v>4633450.3560606055</v>
      </c>
      <c r="P57" s="671">
        <f>+O$31</f>
        <v>119316.31818181818</v>
      </c>
      <c r="Q57" s="671">
        <f t="shared" si="11"/>
        <v>4514134.0378787871</v>
      </c>
      <c r="R57" s="653">
        <f>+O$28*Q57+P57</f>
        <v>638778.10761744878</v>
      </c>
      <c r="S57" s="589">
        <f>+U56</f>
        <v>2167400.3860606048</v>
      </c>
      <c r="T57" s="564">
        <f>+S$31</f>
        <v>58315.705454545445</v>
      </c>
      <c r="U57" s="564">
        <f t="shared" si="12"/>
        <v>2109084.6806060593</v>
      </c>
      <c r="V57" s="590">
        <f>+S$28*U57+T57</f>
        <v>301017.60421644431</v>
      </c>
      <c r="W57" s="589">
        <f>+Y56</f>
        <v>26922901.996212121</v>
      </c>
      <c r="X57" s="564">
        <f>+W$31</f>
        <v>693293.61363636365</v>
      </c>
      <c r="Y57" s="564">
        <f t="shared" si="13"/>
        <v>26229608.382575758</v>
      </c>
      <c r="Z57" s="590">
        <f>+W$28*Y57+X57</f>
        <v>3711653.1023615152</v>
      </c>
      <c r="AA57" s="589">
        <f>+AC56</f>
        <v>17544929.081439387</v>
      </c>
      <c r="AB57" s="564">
        <f>+AA$31</f>
        <v>450833.29545454547</v>
      </c>
      <c r="AC57" s="564">
        <f t="shared" si="14"/>
        <v>17094095.78598484</v>
      </c>
      <c r="AD57" s="590">
        <f>+AA$28*AC57+AB57</f>
        <v>2417928.0939830323</v>
      </c>
      <c r="AE57" s="589">
        <f>+AG56</f>
        <v>177018.62500000006</v>
      </c>
      <c r="AF57" s="564">
        <f>+AE$31</f>
        <v>4597.886363636364</v>
      </c>
      <c r="AG57" s="564">
        <f t="shared" si="15"/>
        <v>172420.73863636371</v>
      </c>
      <c r="AH57" s="590">
        <f>+AE$28*AG57+AF57</f>
        <v>24439.119405521433</v>
      </c>
      <c r="AI57" s="589">
        <f>+AK56</f>
        <v>11772639.367424242</v>
      </c>
      <c r="AJ57" s="564">
        <f>+AI$31</f>
        <v>295547.43181818182</v>
      </c>
      <c r="AK57" s="564">
        <f t="shared" si="19"/>
        <v>11477091.935606061</v>
      </c>
      <c r="AL57" s="590">
        <f>+AI$28*AK57+AJ57</f>
        <v>1616268.231058937</v>
      </c>
      <c r="AM57" s="589">
        <f>+AO56</f>
        <v>4379243.1694318168</v>
      </c>
      <c r="AN57" s="564">
        <f>+AM$31</f>
        <v>110866.91568181818</v>
      </c>
      <c r="AO57" s="564">
        <f t="shared" si="16"/>
        <v>4268376.2537499983</v>
      </c>
      <c r="AP57" s="590">
        <f>+AM$28*AO57+AN57</f>
        <v>602048.24706280383</v>
      </c>
      <c r="AQ57" s="589">
        <f>+AS56</f>
        <v>35971056.431590915</v>
      </c>
      <c r="AR57" s="564">
        <f>+AQ$31</f>
        <v>904932.23727272719</v>
      </c>
      <c r="AS57" s="564">
        <f t="shared" si="17"/>
        <v>35066124.19431819</v>
      </c>
      <c r="AT57" s="590">
        <f>+AQ$28*AS57+AR57</f>
        <v>4940149.5059013171</v>
      </c>
      <c r="AU57" s="672">
        <f>+AW56</f>
        <v>24625000</v>
      </c>
      <c r="AV57" s="671">
        <f>+AU$31</f>
        <v>750000</v>
      </c>
      <c r="AW57" s="671">
        <f t="shared" si="1"/>
        <v>23875000</v>
      </c>
      <c r="AX57" s="653">
        <f>+AU$28*AW57+AV57</f>
        <v>750000</v>
      </c>
      <c r="AY57" s="672">
        <f>+BA56</f>
        <v>16083333.333333332</v>
      </c>
      <c r="AZ57" s="671">
        <f>+AY$31</f>
        <v>500000</v>
      </c>
      <c r="BA57" s="671">
        <f t="shared" si="2"/>
        <v>15583333.333333332</v>
      </c>
      <c r="BB57" s="653">
        <f>+AY$28*BA57+AZ57</f>
        <v>500000</v>
      </c>
      <c r="BC57" s="672">
        <f>+BE56</f>
        <v>25000000</v>
      </c>
      <c r="BD57" s="671">
        <f>+BC$31</f>
        <v>750000</v>
      </c>
      <c r="BE57" s="671">
        <f t="shared" si="4"/>
        <v>24250000</v>
      </c>
      <c r="BF57" s="653">
        <f>+BC$28*BE57+BD57</f>
        <v>750000</v>
      </c>
      <c r="BG57" s="672">
        <f>+BI56</f>
        <v>16523809.523809526</v>
      </c>
      <c r="BH57" s="671">
        <f>+BG$31</f>
        <v>571428.57142857148</v>
      </c>
      <c r="BI57" s="671">
        <f t="shared" si="5"/>
        <v>15952380.952380955</v>
      </c>
      <c r="BJ57" s="653">
        <f>+BG$28*BI57+BH57</f>
        <v>571428.57142857148</v>
      </c>
      <c r="BK57" s="672">
        <f>+BM56</f>
        <v>23600000</v>
      </c>
      <c r="BL57" s="671">
        <f>+BK$31</f>
        <v>1200000</v>
      </c>
      <c r="BM57" s="671">
        <f t="shared" si="9"/>
        <v>22400000</v>
      </c>
      <c r="BN57" s="653">
        <f>+BK$28*BM57+BL57</f>
        <v>1200000</v>
      </c>
      <c r="BO57" s="672">
        <f>+BQ56</f>
        <v>16499999.999999994</v>
      </c>
      <c r="BP57" s="671">
        <f>+BO$31</f>
        <v>666666.66666666663</v>
      </c>
      <c r="BQ57" s="671">
        <f t="shared" si="10"/>
        <v>15833333.333333328</v>
      </c>
      <c r="BR57" s="653">
        <f>+BO$28*BQ57+BP57</f>
        <v>666666.66666666663</v>
      </c>
      <c r="BS57" s="589">
        <f>+BU56</f>
        <v>332435.45454545459</v>
      </c>
      <c r="BT57" s="564">
        <f>+BS$31</f>
        <v>8310.886363636364</v>
      </c>
      <c r="BU57" s="564">
        <f t="shared" si="18"/>
        <v>324124.56818181823</v>
      </c>
      <c r="BV57" s="590">
        <f>+BS$28*BU57+BT57</f>
        <v>45609.364161361736</v>
      </c>
      <c r="BW57" s="589">
        <f>+BY56</f>
        <v>23217859.397727273</v>
      </c>
      <c r="BX57" s="564">
        <f>+BW$31</f>
        <v>576841.22727272729</v>
      </c>
      <c r="BY57" s="564">
        <f t="shared" si="20"/>
        <v>22641018.170454547</v>
      </c>
      <c r="BZ57" s="590">
        <f>+BW$28*BY57+BX57</f>
        <v>3182245.4343209444</v>
      </c>
      <c r="CA57" s="589">
        <f>+CC56</f>
        <v>2190965.2800000003</v>
      </c>
      <c r="CB57" s="564">
        <f>+CA$31</f>
        <v>54433.919999999998</v>
      </c>
      <c r="CC57" s="564">
        <f t="shared" si="21"/>
        <v>2136531.3600000003</v>
      </c>
      <c r="CD57" s="590">
        <f>+CA$28*CC57+CB57</f>
        <v>300294.23210815876</v>
      </c>
      <c r="CE57" s="589">
        <f>+CG56</f>
        <v>190182.42090909093</v>
      </c>
      <c r="CF57" s="564">
        <f>+CE$31</f>
        <v>4725.0290909090909</v>
      </c>
      <c r="CG57" s="564">
        <f t="shared" si="22"/>
        <v>185457.39181818184</v>
      </c>
      <c r="CH57" s="590">
        <f>+CE$28*CG57+CF57</f>
        <v>26066.448687569387</v>
      </c>
      <c r="CI57" s="589">
        <f>+CK56</f>
        <v>509962.5</v>
      </c>
      <c r="CJ57" s="564">
        <f>+CI$31</f>
        <v>12362.727272727272</v>
      </c>
      <c r="CK57" s="564">
        <f t="shared" si="24"/>
        <v>497599.77272727271</v>
      </c>
      <c r="CL57" s="590">
        <f>+CI$28*CK57+CJ57</f>
        <v>69623.780266433911</v>
      </c>
      <c r="CM57" s="589"/>
      <c r="CN57" s="564"/>
      <c r="CO57" s="564"/>
      <c r="CP57" s="590"/>
      <c r="CQ57" s="589"/>
      <c r="CR57" s="564"/>
      <c r="CS57" s="564"/>
      <c r="CT57" s="590"/>
      <c r="CU57" s="589"/>
      <c r="CV57" s="564"/>
      <c r="CW57" s="564"/>
      <c r="CX57" s="590"/>
      <c r="CY57" s="589"/>
      <c r="CZ57" s="564"/>
      <c r="DA57" s="564"/>
      <c r="DB57" s="590"/>
      <c r="DC57" s="589"/>
      <c r="DD57" s="564"/>
      <c r="DE57" s="564"/>
      <c r="DF57" s="590"/>
      <c r="DG57" s="589"/>
      <c r="DH57" s="564"/>
      <c r="DI57" s="564"/>
      <c r="DJ57" s="590"/>
      <c r="DK57" s="589"/>
      <c r="DL57" s="564"/>
      <c r="DM57" s="564"/>
      <c r="DN57" s="590"/>
      <c r="DO57" s="589"/>
      <c r="DP57" s="564"/>
      <c r="DQ57" s="564"/>
      <c r="DR57" s="590"/>
      <c r="DS57" s="589"/>
      <c r="DT57" s="564"/>
      <c r="DU57" s="564"/>
      <c r="DV57" s="590"/>
      <c r="DW57" s="589"/>
      <c r="DX57" s="564"/>
      <c r="DY57" s="564"/>
      <c r="DZ57" s="590"/>
      <c r="EA57" s="589"/>
      <c r="EB57" s="564"/>
      <c r="EC57" s="564"/>
      <c r="ED57" s="590"/>
      <c r="EE57" s="589"/>
      <c r="EF57" s="564"/>
      <c r="EG57" s="564"/>
      <c r="EH57" s="590"/>
      <c r="EI57" s="589"/>
      <c r="EJ57" s="564"/>
      <c r="EK57" s="564"/>
      <c r="EL57" s="590"/>
      <c r="EM57" s="589"/>
      <c r="EN57" s="564"/>
      <c r="EO57" s="564"/>
      <c r="EP57" s="590"/>
      <c r="EQ57" s="678">
        <f t="shared" si="3"/>
        <v>22371450.151472338</v>
      </c>
      <c r="ER57" s="652"/>
      <c r="ES57" s="674">
        <f>+EQ57</f>
        <v>22371450.151472338</v>
      </c>
      <c r="ET57" s="575"/>
      <c r="EV57" s="589">
        <f>+EX56</f>
        <v>11648198.833333334</v>
      </c>
      <c r="EW57" s="564">
        <f>+EV$31</f>
        <v>1270712.6000000001</v>
      </c>
      <c r="EX57" s="564">
        <f t="shared" si="25"/>
        <v>10377486.233333334</v>
      </c>
      <c r="EY57" s="590">
        <f>+EV$28*EX57+EW57</f>
        <v>2737297.8428152688</v>
      </c>
      <c r="EZ57" s="589">
        <f>+FB56</f>
        <v>8944044</v>
      </c>
      <c r="FA57" s="564">
        <f>+EZ$31</f>
        <v>894404.4</v>
      </c>
      <c r="FB57" s="564">
        <f t="shared" si="26"/>
        <v>8049639.5999999996</v>
      </c>
      <c r="FC57" s="590">
        <f>+EZ$28*FB57+FA57</f>
        <v>2032009.6332809874</v>
      </c>
      <c r="FD57" s="589">
        <f>+FF56</f>
        <v>1392881.0274166665</v>
      </c>
      <c r="FE57" s="564">
        <f>+FD$31</f>
        <v>140458.59099999999</v>
      </c>
      <c r="FF57" s="564">
        <f t="shared" si="27"/>
        <v>1252422.4364166665</v>
      </c>
      <c r="FG57" s="590">
        <f>+FD$28*FF57+FE57</f>
        <v>317455.62300949823</v>
      </c>
      <c r="FH57" s="589">
        <f>+FJ56</f>
        <v>169603</v>
      </c>
      <c r="FI57" s="564">
        <f>+FH$31</f>
        <v>16960.3</v>
      </c>
      <c r="FJ57" s="564">
        <f t="shared" si="28"/>
        <v>152642.70000000001</v>
      </c>
      <c r="FK57" s="590">
        <f>+FH$28*FJ57+FI57</f>
        <v>38532.338373263294</v>
      </c>
      <c r="FL57" s="589">
        <f>+FL30</f>
        <v>12537.86</v>
      </c>
      <c r="FM57" s="564">
        <f>+FL$31/12*(12-$FL$32)</f>
        <v>1044.8216666666667</v>
      </c>
      <c r="FN57" s="564">
        <f>+FL57-FM57</f>
        <v>11493.038333333334</v>
      </c>
      <c r="FO57" s="590">
        <f>+(((FL$28*FN57)*(12-FL$32)/12))+FM57</f>
        <v>2398.35437164837</v>
      </c>
      <c r="FP57" s="589">
        <f>+FP30</f>
        <v>40332599.799999997</v>
      </c>
      <c r="FQ57" s="564">
        <f>+FP$31/12*(12-$FP$32)</f>
        <v>3024944.9849999994</v>
      </c>
      <c r="FR57" s="564">
        <f t="shared" ref="FR57:FR74" si="29">+FP57-FQ57</f>
        <v>37307654.814999998</v>
      </c>
      <c r="FS57" s="590">
        <f>+(((FP$28*FR57)*(12-FP$32)/12))+FQ57</f>
        <v>6979288.173139561</v>
      </c>
      <c r="FT57" s="589">
        <f>+FT30</f>
        <v>530533.42000000004</v>
      </c>
      <c r="FU57" s="564">
        <f>+FT$31/12*(12-$FT$32)</f>
        <v>22105.559166666666</v>
      </c>
      <c r="FV57" s="564">
        <f t="shared" ref="FV57:FV74" si="30">+FT57-FU57</f>
        <v>508427.8608333334</v>
      </c>
      <c r="FW57" s="590">
        <f>+(((FT$28*FV57)*(12-FT$32)/12))+FU57</f>
        <v>52044.280234266684</v>
      </c>
      <c r="FX57" s="589">
        <f>+FX30</f>
        <v>-539066.93999999971</v>
      </c>
      <c r="FY57" s="564">
        <f>+FX$31/12*(12-$FX$32)</f>
        <v>-22461.122499999987</v>
      </c>
      <c r="FZ57" s="564">
        <f t="shared" ref="FZ57:FZ76" si="31">+FX57-FY57</f>
        <v>-516605.81749999971</v>
      </c>
      <c r="GA57" s="590">
        <f>+(((FX$28*FZ57)*(12-FX$32)/12))+FY57</f>
        <v>-52881.401685097619</v>
      </c>
      <c r="GB57" s="589">
        <f>+GB30</f>
        <v>33275227.509999998</v>
      </c>
      <c r="GC57" s="564">
        <f>+GB$31/12*(12-$GB$32)</f>
        <v>554587.12516666658</v>
      </c>
      <c r="GD57" s="564">
        <f t="shared" ref="GD57:GD76" si="32">+GB57-GC57</f>
        <v>32720640.384833332</v>
      </c>
      <c r="GE57" s="590">
        <f>+(((GB$28*GD57)*(12-GB$32)/12))+GC57</f>
        <v>1325287.7111094962</v>
      </c>
      <c r="GF57" s="589">
        <f>+GF30</f>
        <v>497855.79</v>
      </c>
      <c r="GG57" s="564">
        <f>+GF$31/12*(12-$GF$32)</f>
        <v>4148.7982499999998</v>
      </c>
      <c r="GH57" s="564">
        <f>+GF57-GG57</f>
        <v>493706.99174999999</v>
      </c>
      <c r="GI57" s="590">
        <f>+(((GF$28*GH57)*(12-GF$32)/12))+GG57</f>
        <v>9963.17509823195</v>
      </c>
      <c r="GJ57" s="589"/>
      <c r="GK57" s="564"/>
      <c r="GL57" s="564"/>
      <c r="GM57" s="590"/>
      <c r="GN57" s="589"/>
      <c r="GO57" s="564"/>
      <c r="GP57" s="564"/>
      <c r="GQ57" s="590"/>
      <c r="GR57" s="589"/>
      <c r="GS57" s="564"/>
      <c r="GT57" s="564"/>
      <c r="GU57" s="590"/>
      <c r="GV57" s="672"/>
      <c r="GW57" s="676"/>
      <c r="GX57" s="676"/>
      <c r="GY57" s="1366"/>
      <c r="GZ57" s="672"/>
      <c r="HA57" s="671"/>
      <c r="HB57" s="671"/>
      <c r="HC57" s="1366"/>
      <c r="HD57" s="672"/>
      <c r="HE57" s="671"/>
      <c r="HF57" s="671"/>
      <c r="HG57" s="1366"/>
      <c r="HH57" s="676"/>
      <c r="HI57" s="589"/>
      <c r="HJ57" s="564"/>
      <c r="HK57" s="564"/>
      <c r="HL57" s="590"/>
      <c r="HM57" s="589"/>
      <c r="HN57" s="564"/>
      <c r="HO57" s="564"/>
      <c r="HP57" s="590"/>
      <c r="HQ57" s="589"/>
      <c r="HR57" s="564"/>
      <c r="HS57" s="564"/>
      <c r="HT57" s="590"/>
    </row>
    <row r="58" spans="1:228">
      <c r="A58" s="649" t="s">
        <v>23</v>
      </c>
      <c r="B58" s="670">
        <f t="shared" si="0"/>
        <v>2015</v>
      </c>
      <c r="C58" s="671">
        <f>+C57</f>
        <v>16828647.399431817</v>
      </c>
      <c r="D58" s="671">
        <f>+D57</f>
        <v>445791.98409090913</v>
      </c>
      <c r="E58" s="671">
        <f t="shared" si="6"/>
        <v>16382855.415340908</v>
      </c>
      <c r="F58" s="653">
        <f>+C$29*E58+D58</f>
        <v>2431027.4351812769</v>
      </c>
      <c r="G58" s="671">
        <f>+G57</f>
        <v>4344028.1079545431</v>
      </c>
      <c r="H58" s="671">
        <f>+H57</f>
        <v>115840.74954545456</v>
      </c>
      <c r="I58" s="671">
        <f t="shared" si="7"/>
        <v>4228187.3584090881</v>
      </c>
      <c r="J58" s="653">
        <f>+G$29*I58+H58</f>
        <v>628202.43650179321</v>
      </c>
      <c r="K58" s="672">
        <f>+K57</f>
        <v>11224176.221761361</v>
      </c>
      <c r="L58" s="671">
        <f>+L57</f>
        <v>305419.76113636367</v>
      </c>
      <c r="M58" s="671">
        <f t="shared" si="8"/>
        <v>10918756.460624997</v>
      </c>
      <c r="N58" s="653">
        <f>+K$29*M58+L58</f>
        <v>1628528.6977602588</v>
      </c>
      <c r="O58" s="672">
        <f>+O57</f>
        <v>4633450.3560606055</v>
      </c>
      <c r="P58" s="671">
        <f>+P57</f>
        <v>119316.31818181818</v>
      </c>
      <c r="Q58" s="671">
        <f t="shared" si="11"/>
        <v>4514134.0378787871</v>
      </c>
      <c r="R58" s="653">
        <f>+O$29*Q58+P58</f>
        <v>666328.34360560449</v>
      </c>
      <c r="S58" s="589">
        <f>+S57</f>
        <v>2167400.3860606048</v>
      </c>
      <c r="T58" s="564">
        <f>+T57</f>
        <v>58315.705454545445</v>
      </c>
      <c r="U58" s="564">
        <f t="shared" si="12"/>
        <v>2109084.6806060593</v>
      </c>
      <c r="V58" s="590">
        <f>+S$29*U58+T58</f>
        <v>313889.57039691799</v>
      </c>
      <c r="W58" s="589">
        <f>+W57</f>
        <v>26922901.996212121</v>
      </c>
      <c r="X58" s="564">
        <f>+X57</f>
        <v>693293.61363636365</v>
      </c>
      <c r="Y58" s="564">
        <f t="shared" si="13"/>
        <v>26229608.382575758</v>
      </c>
      <c r="Z58" s="590">
        <f>+W$29*Y58+X58</f>
        <v>3871735.1678813146</v>
      </c>
      <c r="AA58" s="589">
        <f>+AA57</f>
        <v>17544929.081439387</v>
      </c>
      <c r="AB58" s="564">
        <f>+AB57</f>
        <v>450833.29545454547</v>
      </c>
      <c r="AC58" s="564">
        <f t="shared" si="14"/>
        <v>17094095.78598484</v>
      </c>
      <c r="AD58" s="590">
        <f>+AA$29*AC58+AB58</f>
        <v>2522255.1629083762</v>
      </c>
      <c r="AE58" s="589">
        <f>+AE57</f>
        <v>177018.62500000006</v>
      </c>
      <c r="AF58" s="564">
        <f>+AF57</f>
        <v>4597.886363636364</v>
      </c>
      <c r="AG58" s="564">
        <f t="shared" si="15"/>
        <v>172420.73863636371</v>
      </c>
      <c r="AH58" s="590">
        <f>+AE$29*AG58+AF58</f>
        <v>25491.421352877009</v>
      </c>
      <c r="AI58" s="589">
        <f>+AI57</f>
        <v>11772639.367424242</v>
      </c>
      <c r="AJ58" s="564">
        <f>+AJ57</f>
        <v>295547.43181818182</v>
      </c>
      <c r="AK58" s="564">
        <f t="shared" si="19"/>
        <v>11477091.935606061</v>
      </c>
      <c r="AL58" s="590">
        <f>+AI$29*AK58+AJ58</f>
        <v>1686314.1332475855</v>
      </c>
      <c r="AM58" s="589">
        <f>+AM57</f>
        <v>4379243.1694318168</v>
      </c>
      <c r="AN58" s="564">
        <f>+AN57</f>
        <v>110866.91568181818</v>
      </c>
      <c r="AO58" s="564">
        <f t="shared" si="16"/>
        <v>4268376.2537499983</v>
      </c>
      <c r="AP58" s="590">
        <f>+AM$29*AO58+AN58</f>
        <v>628098.59738255432</v>
      </c>
      <c r="AQ58" s="589">
        <f>+AQ57</f>
        <v>35971056.431590915</v>
      </c>
      <c r="AR58" s="564">
        <f>+AR57</f>
        <v>904932.23727272719</v>
      </c>
      <c r="AS58" s="564">
        <f t="shared" si="17"/>
        <v>35066124.19431819</v>
      </c>
      <c r="AT58" s="590">
        <f>+AQ$29*AS58+AR58</f>
        <v>5154161.7591124354</v>
      </c>
      <c r="AU58" s="672">
        <f>+AU57</f>
        <v>24625000</v>
      </c>
      <c r="AV58" s="671">
        <f>+AV57</f>
        <v>750000</v>
      </c>
      <c r="AW58" s="671">
        <f t="shared" si="1"/>
        <v>23875000</v>
      </c>
      <c r="AX58" s="653">
        <f>+AU$29*AW58+AV58</f>
        <v>750000</v>
      </c>
      <c r="AY58" s="672">
        <f>+AY57</f>
        <v>16083333.333333332</v>
      </c>
      <c r="AZ58" s="671">
        <f>+AZ57</f>
        <v>500000</v>
      </c>
      <c r="BA58" s="671">
        <f t="shared" si="2"/>
        <v>15583333.333333332</v>
      </c>
      <c r="BB58" s="653">
        <f>+AY$29*BA58+AZ58</f>
        <v>500000</v>
      </c>
      <c r="BC58" s="672">
        <f>+BC57</f>
        <v>25000000</v>
      </c>
      <c r="BD58" s="671">
        <f>+BD57</f>
        <v>750000</v>
      </c>
      <c r="BE58" s="671">
        <f t="shared" si="4"/>
        <v>24250000</v>
      </c>
      <c r="BF58" s="653">
        <f>+BC$29*BE58+BD58</f>
        <v>750000</v>
      </c>
      <c r="BG58" s="672">
        <f>+BG57</f>
        <v>16523809.523809526</v>
      </c>
      <c r="BH58" s="671">
        <f>+BH57</f>
        <v>571428.57142857148</v>
      </c>
      <c r="BI58" s="671">
        <f t="shared" si="5"/>
        <v>15952380.952380955</v>
      </c>
      <c r="BJ58" s="653">
        <f>+BG$29*BI58+BH58</f>
        <v>571428.57142857148</v>
      </c>
      <c r="BK58" s="672">
        <f>+BK57</f>
        <v>23600000</v>
      </c>
      <c r="BL58" s="671">
        <f>+BL57</f>
        <v>1200000</v>
      </c>
      <c r="BM58" s="671">
        <f t="shared" si="9"/>
        <v>22400000</v>
      </c>
      <c r="BN58" s="653">
        <f>+BK$29*BM58+BL58</f>
        <v>1200000</v>
      </c>
      <c r="BO58" s="672">
        <f>+BO57</f>
        <v>16499999.999999994</v>
      </c>
      <c r="BP58" s="671">
        <f>+BP57</f>
        <v>666666.66666666663</v>
      </c>
      <c r="BQ58" s="671">
        <f t="shared" si="10"/>
        <v>15833333.333333328</v>
      </c>
      <c r="BR58" s="653">
        <f>+BO$29*BQ58+BP58</f>
        <v>666666.66666666663</v>
      </c>
      <c r="BS58" s="589">
        <f>+BS57</f>
        <v>332435.45454545459</v>
      </c>
      <c r="BT58" s="564">
        <f>+BT57</f>
        <v>8310.886363636364</v>
      </c>
      <c r="BU58" s="564">
        <f t="shared" si="18"/>
        <v>324124.56818181823</v>
      </c>
      <c r="BV58" s="590">
        <f>+BS$29*BU58+BT58</f>
        <v>47587.530575570447</v>
      </c>
      <c r="BW58" s="589">
        <f>+BW57</f>
        <v>23217859.397727273</v>
      </c>
      <c r="BX58" s="564">
        <f>+BX57</f>
        <v>576841.22727272729</v>
      </c>
      <c r="BY58" s="564">
        <f t="shared" si="20"/>
        <v>22641018.170454547</v>
      </c>
      <c r="BZ58" s="590">
        <f>+BW$29*BY58+BX58</f>
        <v>3182245.4343209444</v>
      </c>
      <c r="CA58" s="589">
        <f>+CA57</f>
        <v>2190965.2800000003</v>
      </c>
      <c r="CB58" s="564">
        <f>+CB57</f>
        <v>54433.919999999998</v>
      </c>
      <c r="CC58" s="564">
        <f t="shared" si="21"/>
        <v>2136531.3600000003</v>
      </c>
      <c r="CD58" s="590">
        <f>+CA$29*CC58+CB58</f>
        <v>313333.70826685848</v>
      </c>
      <c r="CE58" s="589">
        <f>+CE57</f>
        <v>190182.42090909093</v>
      </c>
      <c r="CF58" s="564">
        <f>+CF57</f>
        <v>4725.0290909090909</v>
      </c>
      <c r="CG58" s="564">
        <f t="shared" si="22"/>
        <v>185457.39181818184</v>
      </c>
      <c r="CH58" s="590">
        <f>+CE$29*CG58+CF58</f>
        <v>27198.31470383409</v>
      </c>
      <c r="CI58" s="589">
        <f>+CI57</f>
        <v>509962.5</v>
      </c>
      <c r="CJ58" s="564">
        <f>+CJ57</f>
        <v>12362.727272727272</v>
      </c>
      <c r="CK58" s="564">
        <f t="shared" si="24"/>
        <v>497599.77272727271</v>
      </c>
      <c r="CL58" s="590">
        <f>+CI$29*CK58+CJ58</f>
        <v>69623.780266433911</v>
      </c>
      <c r="CM58" s="589"/>
      <c r="CN58" s="564"/>
      <c r="CO58" s="564"/>
      <c r="CP58" s="590"/>
      <c r="CQ58" s="589"/>
      <c r="CR58" s="564"/>
      <c r="CS58" s="564"/>
      <c r="CT58" s="590"/>
      <c r="CU58" s="589"/>
      <c r="CV58" s="564"/>
      <c r="CW58" s="564"/>
      <c r="CX58" s="590"/>
      <c r="CY58" s="589"/>
      <c r="CZ58" s="564"/>
      <c r="DA58" s="564"/>
      <c r="DB58" s="590"/>
      <c r="DC58" s="589"/>
      <c r="DD58" s="564"/>
      <c r="DE58" s="564"/>
      <c r="DF58" s="590"/>
      <c r="DG58" s="589"/>
      <c r="DH58" s="564"/>
      <c r="DI58" s="564"/>
      <c r="DJ58" s="590"/>
      <c r="DK58" s="589"/>
      <c r="DL58" s="564"/>
      <c r="DM58" s="564"/>
      <c r="DN58" s="590"/>
      <c r="DO58" s="589"/>
      <c r="DP58" s="564"/>
      <c r="DQ58" s="564"/>
      <c r="DR58" s="590"/>
      <c r="DS58" s="589"/>
      <c r="DT58" s="564"/>
      <c r="DU58" s="564"/>
      <c r="DV58" s="590"/>
      <c r="DW58" s="589"/>
      <c r="DX58" s="564"/>
      <c r="DY58" s="564"/>
      <c r="DZ58" s="590"/>
      <c r="EA58" s="589"/>
      <c r="EB58" s="564"/>
      <c r="EC58" s="564"/>
      <c r="ED58" s="590"/>
      <c r="EE58" s="589"/>
      <c r="EF58" s="564"/>
      <c r="EG58" s="564"/>
      <c r="EH58" s="590"/>
      <c r="EI58" s="589"/>
      <c r="EJ58" s="564"/>
      <c r="EK58" s="564"/>
      <c r="EL58" s="590"/>
      <c r="EM58" s="589"/>
      <c r="EN58" s="564"/>
      <c r="EO58" s="564"/>
      <c r="EP58" s="590"/>
      <c r="EQ58" s="678">
        <f t="shared" si="3"/>
        <v>23196021.493464634</v>
      </c>
      <c r="ER58" s="675">
        <f>+EQ58</f>
        <v>23196021.493464634</v>
      </c>
      <c r="ES58" s="648"/>
      <c r="ET58" s="696"/>
      <c r="EV58" s="589">
        <f>+EV57</f>
        <v>11648198.833333334</v>
      </c>
      <c r="EW58" s="564">
        <f>+EW57</f>
        <v>1270712.6000000001</v>
      </c>
      <c r="EX58" s="564">
        <f t="shared" si="25"/>
        <v>10377486.233333334</v>
      </c>
      <c r="EY58" s="590">
        <f>+EV$29*EX58+EW58</f>
        <v>2737297.8428152688</v>
      </c>
      <c r="EZ58" s="589">
        <f>+EZ57</f>
        <v>8944044</v>
      </c>
      <c r="FA58" s="564">
        <f>+FA57</f>
        <v>894404.4</v>
      </c>
      <c r="FB58" s="564">
        <f t="shared" si="26"/>
        <v>8049639.5999999996</v>
      </c>
      <c r="FC58" s="590">
        <f>+EZ$29*FB58+FA58</f>
        <v>2032009.6332809874</v>
      </c>
      <c r="FD58" s="589">
        <f>+FD57</f>
        <v>1392881.0274166665</v>
      </c>
      <c r="FE58" s="564">
        <f>+FE57</f>
        <v>140458.59099999999</v>
      </c>
      <c r="FF58" s="564">
        <f t="shared" si="27"/>
        <v>1252422.4364166665</v>
      </c>
      <c r="FG58" s="590">
        <f>+FD$29*FF58+FE58</f>
        <v>317455.62300949823</v>
      </c>
      <c r="FH58" s="589">
        <f>+FH57</f>
        <v>169603</v>
      </c>
      <c r="FI58" s="564">
        <f>+FI57</f>
        <v>16960.3</v>
      </c>
      <c r="FJ58" s="564">
        <f t="shared" si="28"/>
        <v>152642.70000000001</v>
      </c>
      <c r="FK58" s="590">
        <f>+FH$29*FJ58+FI58</f>
        <v>38532.338373263294</v>
      </c>
      <c r="FL58" s="589">
        <f>+FL57</f>
        <v>12537.86</v>
      </c>
      <c r="FM58" s="564">
        <f>+FM57</f>
        <v>1044.8216666666667</v>
      </c>
      <c r="FN58" s="564">
        <f t="shared" ref="FN58:FN74" si="33">+FL58-FM58</f>
        <v>11493.038333333334</v>
      </c>
      <c r="FO58" s="590">
        <f>+(((FL$29*FN58)*(12-FL$32)/12))+FM58</f>
        <v>2398.35437164837</v>
      </c>
      <c r="FP58" s="589">
        <f>+FP57</f>
        <v>40332599.799999997</v>
      </c>
      <c r="FQ58" s="564">
        <f>+FQ57</f>
        <v>3024944.9849999994</v>
      </c>
      <c r="FR58" s="564">
        <f t="shared" si="29"/>
        <v>37307654.814999998</v>
      </c>
      <c r="FS58" s="590">
        <f>+(((FP$29*FR58)*(12-FP$32)/12))+FQ58</f>
        <v>6979288.173139561</v>
      </c>
      <c r="FT58" s="589">
        <f>+FT57</f>
        <v>530533.42000000004</v>
      </c>
      <c r="FU58" s="564">
        <f>+FU57</f>
        <v>22105.559166666666</v>
      </c>
      <c r="FV58" s="564">
        <f t="shared" si="30"/>
        <v>508427.8608333334</v>
      </c>
      <c r="FW58" s="590">
        <f>+(((FT$29*FV58)*(12-FT$32)/12))+FU58</f>
        <v>52044.280234266684</v>
      </c>
      <c r="FX58" s="589">
        <f>+FX57</f>
        <v>-539066.93999999971</v>
      </c>
      <c r="FY58" s="564">
        <f>+FY57</f>
        <v>-22461.122499999987</v>
      </c>
      <c r="FZ58" s="564">
        <f t="shared" si="31"/>
        <v>-516605.81749999971</v>
      </c>
      <c r="GA58" s="590">
        <f>+(((FX$29*FZ58)*(12-FX$32)/12))+FY58</f>
        <v>-52881.401685097619</v>
      </c>
      <c r="GB58" s="589">
        <f>+GB57</f>
        <v>33275227.509999998</v>
      </c>
      <c r="GC58" s="564">
        <f>+GC57</f>
        <v>554587.12516666658</v>
      </c>
      <c r="GD58" s="564">
        <f t="shared" si="32"/>
        <v>32720640.384833332</v>
      </c>
      <c r="GE58" s="590">
        <f>+(((GB$29*GD58)*(12-GB$32)/12))+GC58</f>
        <v>1325287.7111094962</v>
      </c>
      <c r="GF58" s="589">
        <f>+GF57</f>
        <v>497855.79</v>
      </c>
      <c r="GG58" s="564">
        <f>+GG57</f>
        <v>4148.7982499999998</v>
      </c>
      <c r="GH58" s="564">
        <f>+GF58-GG58</f>
        <v>493706.99174999999</v>
      </c>
      <c r="GI58" s="590">
        <f>+(((GF$29*GH58)*(12-GF$32)/12))+GG58</f>
        <v>9963.17509823195</v>
      </c>
      <c r="GJ58" s="589"/>
      <c r="GK58" s="564"/>
      <c r="GL58" s="564"/>
      <c r="GM58" s="590"/>
      <c r="GN58" s="589"/>
      <c r="GO58" s="564"/>
      <c r="GP58" s="564"/>
      <c r="GQ58" s="590"/>
      <c r="GR58" s="589"/>
      <c r="GS58" s="564"/>
      <c r="GT58" s="564"/>
      <c r="GU58" s="590"/>
      <c r="GV58" s="672"/>
      <c r="GW58" s="676"/>
      <c r="GX58" s="676"/>
      <c r="GY58" s="1366"/>
      <c r="GZ58" s="672"/>
      <c r="HA58" s="671"/>
      <c r="HB58" s="671"/>
      <c r="HC58" s="1366"/>
      <c r="HD58" s="672"/>
      <c r="HE58" s="671"/>
      <c r="HF58" s="671"/>
      <c r="HG58" s="1366"/>
      <c r="HH58" s="676"/>
      <c r="HI58" s="589"/>
      <c r="HJ58" s="564"/>
      <c r="HK58" s="564"/>
      <c r="HL58" s="590"/>
      <c r="HM58" s="589"/>
      <c r="HN58" s="564"/>
      <c r="HO58" s="564"/>
      <c r="HP58" s="590"/>
      <c r="HQ58" s="589"/>
      <c r="HR58" s="564"/>
      <c r="HS58" s="564"/>
      <c r="HT58" s="590"/>
    </row>
    <row r="59" spans="1:228">
      <c r="A59" s="649" t="s">
        <v>24</v>
      </c>
      <c r="B59" s="670">
        <f t="shared" si="0"/>
        <v>2016</v>
      </c>
      <c r="C59" s="671">
        <f>+E58</f>
        <v>16382855.415340908</v>
      </c>
      <c r="D59" s="671">
        <f>+C$31</f>
        <v>445791.98409090913</v>
      </c>
      <c r="E59" s="671">
        <f t="shared" si="6"/>
        <v>15937063.431249999</v>
      </c>
      <c r="F59" s="653">
        <f>+C$28*E59+D59</f>
        <v>2279741.8444358786</v>
      </c>
      <c r="G59" s="671">
        <f>+I58</f>
        <v>4228187.3584090881</v>
      </c>
      <c r="H59" s="671">
        <f>+G$31</f>
        <v>115840.74954545456</v>
      </c>
      <c r="I59" s="671">
        <f t="shared" si="7"/>
        <v>4112346.6088636336</v>
      </c>
      <c r="J59" s="653">
        <f>+G$28*I59+H59</f>
        <v>589067.04506406607</v>
      </c>
      <c r="K59" s="672">
        <f>+M58</f>
        <v>10918756.460624997</v>
      </c>
      <c r="L59" s="671">
        <f>+K$31</f>
        <v>305419.76113636367</v>
      </c>
      <c r="M59" s="671">
        <f t="shared" si="8"/>
        <v>10613336.699488632</v>
      </c>
      <c r="N59" s="653">
        <f>+K$28*M59+L59</f>
        <v>1526744.3446637734</v>
      </c>
      <c r="O59" s="672">
        <f>+Q58</f>
        <v>4514134.0378787871</v>
      </c>
      <c r="P59" s="671">
        <f>+O$31</f>
        <v>119316.31818181818</v>
      </c>
      <c r="Q59" s="671">
        <f t="shared" si="11"/>
        <v>4394817.7196969688</v>
      </c>
      <c r="R59" s="653">
        <f>+O$28*Q59+P59</f>
        <v>625047.8400552735</v>
      </c>
      <c r="S59" s="589">
        <f>+U58</f>
        <v>2109084.6806060593</v>
      </c>
      <c r="T59" s="564">
        <f>+S$31</f>
        <v>58315.705454545445</v>
      </c>
      <c r="U59" s="564">
        <f t="shared" si="12"/>
        <v>2050768.9751515137</v>
      </c>
      <c r="V59" s="590">
        <f>+S$28*U59+T59</f>
        <v>294306.95263777423</v>
      </c>
      <c r="W59" s="589">
        <f>+Y58</f>
        <v>26229608.382575758</v>
      </c>
      <c r="X59" s="564">
        <f>+W$31</f>
        <v>693293.61363636365</v>
      </c>
      <c r="Y59" s="564">
        <f t="shared" si="13"/>
        <v>25536314.768939395</v>
      </c>
      <c r="Z59" s="590">
        <f>+W$28*Y59+X59</f>
        <v>3631872.6753467536</v>
      </c>
      <c r="AA59" s="589">
        <f>+AC58</f>
        <v>17094095.78598484</v>
      </c>
      <c r="AB59" s="564">
        <f>+AA$31</f>
        <v>450833.29545454547</v>
      </c>
      <c r="AC59" s="564">
        <f t="shared" si="14"/>
        <v>16643262.490530295</v>
      </c>
      <c r="AD59" s="590">
        <f>+AA$28*AC59+AB59</f>
        <v>2366048.6707251379</v>
      </c>
      <c r="AE59" s="589">
        <f>+AG58</f>
        <v>172420.73863636371</v>
      </c>
      <c r="AF59" s="564">
        <f>+AE$31</f>
        <v>4597.886363636364</v>
      </c>
      <c r="AG59" s="564">
        <f t="shared" si="15"/>
        <v>167822.85227272735</v>
      </c>
      <c r="AH59" s="590">
        <f>+AE$28*AG59+AF59</f>
        <v>23910.019857737832</v>
      </c>
      <c r="AI59" s="589">
        <f>+AK58</f>
        <v>11477091.935606061</v>
      </c>
      <c r="AJ59" s="564">
        <f>+AI$31</f>
        <v>295547.43181818182</v>
      </c>
      <c r="AK59" s="564">
        <f t="shared" si="19"/>
        <v>11181544.503787879</v>
      </c>
      <c r="AL59" s="590">
        <f>+AI$28*AK59+AJ59</f>
        <v>1582258.253396085</v>
      </c>
      <c r="AM59" s="589">
        <f>+AO58</f>
        <v>4268376.2537499983</v>
      </c>
      <c r="AN59" s="564">
        <f>+AM$31</f>
        <v>110866.91568181818</v>
      </c>
      <c r="AO59" s="564">
        <f t="shared" si="16"/>
        <v>4157509.3380681803</v>
      </c>
      <c r="AP59" s="590">
        <f>+AM$28*AO59+AN59</f>
        <v>589290.29040355748</v>
      </c>
      <c r="AQ59" s="589">
        <f>+AS58</f>
        <v>35066124.19431819</v>
      </c>
      <c r="AR59" s="564">
        <f>+AQ$31</f>
        <v>904932.23727272719</v>
      </c>
      <c r="AS59" s="564">
        <f t="shared" si="17"/>
        <v>34161191.957045466</v>
      </c>
      <c r="AT59" s="590">
        <f>+AQ$28*AS59+AR59</f>
        <v>4836014.8667109022</v>
      </c>
      <c r="AU59" s="672">
        <f>+AW58</f>
        <v>23875000</v>
      </c>
      <c r="AV59" s="671">
        <f>+AU$31</f>
        <v>750000</v>
      </c>
      <c r="AW59" s="671">
        <f t="shared" si="1"/>
        <v>23125000</v>
      </c>
      <c r="AX59" s="653">
        <f>+AU$28*AW59+AV59</f>
        <v>750000</v>
      </c>
      <c r="AY59" s="672">
        <f>+BA58</f>
        <v>15583333.333333332</v>
      </c>
      <c r="AZ59" s="671">
        <f>+AY$31</f>
        <v>500000</v>
      </c>
      <c r="BA59" s="671">
        <f t="shared" si="2"/>
        <v>15083333.333333332</v>
      </c>
      <c r="BB59" s="653">
        <f>+AY$28*BA59+AZ59</f>
        <v>500000</v>
      </c>
      <c r="BC59" s="672">
        <f>+BE58</f>
        <v>24250000</v>
      </c>
      <c r="BD59" s="671">
        <f>+BC$31</f>
        <v>750000</v>
      </c>
      <c r="BE59" s="671">
        <f t="shared" si="4"/>
        <v>23500000</v>
      </c>
      <c r="BF59" s="653">
        <f>+BC$28*BE59+BD59</f>
        <v>750000</v>
      </c>
      <c r="BG59" s="672">
        <f>+BI58</f>
        <v>15952380.952380955</v>
      </c>
      <c r="BH59" s="671">
        <f>+BG$31</f>
        <v>571428.57142857148</v>
      </c>
      <c r="BI59" s="671">
        <f t="shared" si="5"/>
        <v>15380952.380952384</v>
      </c>
      <c r="BJ59" s="653">
        <f>+BG$28*BI59+BH59</f>
        <v>571428.57142857148</v>
      </c>
      <c r="BK59" s="672">
        <f>+BM58</f>
        <v>22400000</v>
      </c>
      <c r="BL59" s="671">
        <f>+BK$31</f>
        <v>1200000</v>
      </c>
      <c r="BM59" s="671">
        <f t="shared" si="9"/>
        <v>21200000</v>
      </c>
      <c r="BN59" s="653">
        <f>+BK$28*BM59+BL59</f>
        <v>1200000</v>
      </c>
      <c r="BO59" s="672">
        <f>+BQ58</f>
        <v>15833333.333333328</v>
      </c>
      <c r="BP59" s="671">
        <f>+BO$31</f>
        <v>666666.66666666663</v>
      </c>
      <c r="BQ59" s="671">
        <f t="shared" si="10"/>
        <v>15166666.666666662</v>
      </c>
      <c r="BR59" s="653">
        <f>+BO$28*BQ59+BP59</f>
        <v>666666.66666666663</v>
      </c>
      <c r="BS59" s="589">
        <f>+BU58</f>
        <v>324124.56818181823</v>
      </c>
      <c r="BT59" s="564">
        <f>+BS$31</f>
        <v>8310.886363636364</v>
      </c>
      <c r="BU59" s="564">
        <f t="shared" si="18"/>
        <v>315813.68181818188</v>
      </c>
      <c r="BV59" s="590">
        <f>+BS$28*BU59+BT59</f>
        <v>44652.992935779039</v>
      </c>
      <c r="BW59" s="589">
        <f>+BY58</f>
        <v>22641018.170454547</v>
      </c>
      <c r="BX59" s="564">
        <f>+BW$31</f>
        <v>576841.22727272729</v>
      </c>
      <c r="BY59" s="564">
        <f t="shared" si="20"/>
        <v>22064176.94318182</v>
      </c>
      <c r="BZ59" s="590">
        <f>+BW$28*BY59+BX59</f>
        <v>3115865.7093006074</v>
      </c>
      <c r="CA59" s="589">
        <f>+CC58</f>
        <v>2136531.3600000003</v>
      </c>
      <c r="CB59" s="564">
        <f>+CA$31</f>
        <v>54433.919999999998</v>
      </c>
      <c r="CC59" s="564">
        <f t="shared" si="21"/>
        <v>2082097.4400000004</v>
      </c>
      <c r="CD59" s="590">
        <f>+CA$28*CC59+CB59</f>
        <v>294030.27511177259</v>
      </c>
      <c r="CE59" s="589">
        <f>+CG58</f>
        <v>185457.39181818184</v>
      </c>
      <c r="CF59" s="564">
        <f>+CE$31</f>
        <v>4725.0290909090909</v>
      </c>
      <c r="CG59" s="564">
        <f t="shared" si="22"/>
        <v>180732.36272727276</v>
      </c>
      <c r="CH59" s="590">
        <f>+CE$28*CG59+CF59</f>
        <v>25522.718251985683</v>
      </c>
      <c r="CI59" s="589">
        <f>+CK58</f>
        <v>497599.77272727271</v>
      </c>
      <c r="CJ59" s="564">
        <f>+CI$31</f>
        <v>12362.727272727272</v>
      </c>
      <c r="CK59" s="564">
        <f t="shared" si="24"/>
        <v>485237.04545454541</v>
      </c>
      <c r="CL59" s="590">
        <f>+CI$28*CK59+CJ59</f>
        <v>68201.145409447403</v>
      </c>
      <c r="CM59" s="589">
        <f>+CM30</f>
        <v>21282432.550000001</v>
      </c>
      <c r="CN59" s="564">
        <f>+CM$31/12*(12-$CM$32)</f>
        <v>120922.91221590909</v>
      </c>
      <c r="CO59" s="564">
        <f t="shared" ref="CO59:CO115" si="34">+CM59-CN59</f>
        <v>21161509.63778409</v>
      </c>
      <c r="CP59" s="590">
        <f>+(((CM$28*CO59)*(12-CM$32)/12))+CN59</f>
        <v>729710.5319100807</v>
      </c>
      <c r="CQ59" s="589">
        <f>+CQ30</f>
        <v>88780382.429999992</v>
      </c>
      <c r="CR59" s="564">
        <f>+CQ$31/12*(12-$CQ$32)</f>
        <v>504433.99107954535</v>
      </c>
      <c r="CS59" s="564">
        <f t="shared" ref="CS59:CS60" si="35">+CQ59-CR59</f>
        <v>88275948.438920453</v>
      </c>
      <c r="CT59" s="590">
        <f>+(((CQ$28*CS59)*(12-CQ$32)/12))+CR59</f>
        <v>3044012.0006947089</v>
      </c>
      <c r="CU59" s="589">
        <f>+CU30</f>
        <v>29752596.390000001</v>
      </c>
      <c r="CV59" s="564">
        <f>+CU$31/12*(12-CU$32)</f>
        <v>0</v>
      </c>
      <c r="CW59" s="564">
        <f t="shared" ref="CW59:CW60" si="36">+CU59-CV59</f>
        <v>29752596.390000001</v>
      </c>
      <c r="CX59" s="590">
        <f>+(((CU$28*CW59)*(12-CU$32)/12))+CV59</f>
        <v>0</v>
      </c>
      <c r="DB59" s="590"/>
      <c r="DF59" s="590"/>
      <c r="DJ59" s="590"/>
      <c r="DN59" s="590"/>
      <c r="DR59" s="590"/>
      <c r="DV59" s="590"/>
      <c r="DZ59" s="590"/>
      <c r="ED59" s="590"/>
      <c r="EH59" s="590"/>
      <c r="EL59" s="590"/>
      <c r="EP59" s="590"/>
      <c r="EQ59" s="678">
        <f>+R59+J59+F59+N59+V59+Z59+AD59+AH59+AL59+AP59+AT59+BV59+BZ59+CD59+CH59+CL59+CP59+CT59+CX59</f>
        <v>25666298.176911317</v>
      </c>
      <c r="ER59" s="652"/>
      <c r="ES59" s="674">
        <f>+EQ59</f>
        <v>25666298.176911317</v>
      </c>
      <c r="ET59" s="575"/>
      <c r="EV59" s="589">
        <f>+EX58</f>
        <v>10377486.233333334</v>
      </c>
      <c r="EW59" s="564">
        <f>+EV$31</f>
        <v>1270712.6000000001</v>
      </c>
      <c r="EX59" s="564">
        <f t="shared" si="25"/>
        <v>9106773.6333333347</v>
      </c>
      <c r="EY59" s="590">
        <f>+EV$28*EX59+EW59</f>
        <v>2557715.9763480932</v>
      </c>
      <c r="EZ59" s="589">
        <f>+FB58</f>
        <v>8049639.5999999996</v>
      </c>
      <c r="FA59" s="564">
        <f>+EZ$31</f>
        <v>894404.4</v>
      </c>
      <c r="FB59" s="564">
        <f t="shared" si="26"/>
        <v>7155235.1999999993</v>
      </c>
      <c r="FC59" s="590">
        <f>+EZ$28*FB59+FA59</f>
        <v>1905609.0518053221</v>
      </c>
      <c r="FD59" s="589">
        <f>+FF58</f>
        <v>1252422.4364166665</v>
      </c>
      <c r="FE59" s="564">
        <f>+FD$31</f>
        <v>140458.59099999999</v>
      </c>
      <c r="FF59" s="564">
        <f t="shared" si="27"/>
        <v>1111963.8454166665</v>
      </c>
      <c r="FG59" s="590">
        <f>+FD$28*FF59+FE59</f>
        <v>297605.48857852642</v>
      </c>
      <c r="FH59" s="589">
        <f>+FJ58</f>
        <v>152642.70000000001</v>
      </c>
      <c r="FI59" s="564">
        <f>+FH$31</f>
        <v>16960.3</v>
      </c>
      <c r="FJ59" s="564">
        <f t="shared" si="28"/>
        <v>135682.40000000002</v>
      </c>
      <c r="FK59" s="590">
        <f>+FH$28*FJ59+FI59</f>
        <v>36135.445220678484</v>
      </c>
      <c r="FL59" s="589">
        <f>+FN58</f>
        <v>11493.038333333334</v>
      </c>
      <c r="FM59" s="564">
        <f>+FL$31</f>
        <v>1253.7860000000001</v>
      </c>
      <c r="FN59" s="564">
        <f t="shared" si="33"/>
        <v>10239.252333333334</v>
      </c>
      <c r="FO59" s="590">
        <f>+FL$28*FN59+FM59</f>
        <v>2700.8355100531662</v>
      </c>
      <c r="FP59" s="589">
        <f>+FR58</f>
        <v>37307654.814999998</v>
      </c>
      <c r="FQ59" s="564">
        <f>+FP$31</f>
        <v>4033259.9799999995</v>
      </c>
      <c r="FR59" s="564">
        <f t="shared" si="29"/>
        <v>33274394.834999997</v>
      </c>
      <c r="FS59" s="590">
        <f>+FP$28*FR59+FQ59</f>
        <v>8735722.1496794783</v>
      </c>
      <c r="FT59" s="589">
        <f>+FV58</f>
        <v>508427.8608333334</v>
      </c>
      <c r="FU59" s="564">
        <f>+FT$31</f>
        <v>53053.342000000004</v>
      </c>
      <c r="FV59" s="564">
        <f t="shared" si="30"/>
        <v>455374.51883333339</v>
      </c>
      <c r="FW59" s="590">
        <f>+FT$28*FV59+FU59</f>
        <v>117408.57546009326</v>
      </c>
      <c r="FX59" s="589">
        <f>+FZ58</f>
        <v>-516605.81749999971</v>
      </c>
      <c r="FY59" s="564">
        <f>+FX$31</f>
        <v>-53906.693999999974</v>
      </c>
      <c r="FZ59" s="564">
        <f t="shared" si="31"/>
        <v>-462699.12349999975</v>
      </c>
      <c r="GA59" s="590">
        <f>+FX$28*FZ59+FY59</f>
        <v>-119297.06803961855</v>
      </c>
      <c r="GB59" s="589">
        <f>+GD58</f>
        <v>32720640.384833332</v>
      </c>
      <c r="GC59" s="564">
        <f>+GB$31</f>
        <v>3327522.7509999997</v>
      </c>
      <c r="GD59" s="564">
        <f t="shared" si="32"/>
        <v>29393117.633833334</v>
      </c>
      <c r="GE59" s="590">
        <f>+GB$28*GD59+GC59</f>
        <v>7481468.282013895</v>
      </c>
      <c r="GF59" s="589">
        <f>+GH58</f>
        <v>493706.99174999999</v>
      </c>
      <c r="GG59" s="564">
        <f>+GF$31</f>
        <v>49785.578999999998</v>
      </c>
      <c r="GH59" s="564">
        <f t="shared" ref="GH59:GH76" si="37">+GF59-GG59</f>
        <v>443921.41275000002</v>
      </c>
      <c r="GI59" s="590">
        <f>+GF$28*GH59+GG59</f>
        <v>112522.21658932627</v>
      </c>
      <c r="GJ59" s="589">
        <f>+GJ30</f>
        <v>1756061.9100000001</v>
      </c>
      <c r="GK59" s="564">
        <f>+GJ$31/12*(12-$GJ$32)</f>
        <v>87803.09550000001</v>
      </c>
      <c r="GL59" s="564">
        <f t="shared" ref="GL59:GL76" si="38">+GJ59-GK59</f>
        <v>1668258.8145000001</v>
      </c>
      <c r="GM59" s="590">
        <f>+(((GJ$28*GL59)*(12-GJ$32)/12))+GK59</f>
        <v>205685.38912730329</v>
      </c>
      <c r="GQ59" s="590"/>
      <c r="GU59" s="590"/>
      <c r="GY59" s="1366"/>
      <c r="GZ59" s="649"/>
      <c r="HA59" s="652"/>
      <c r="HB59" s="652"/>
      <c r="HC59" s="1366"/>
      <c r="HD59" s="649"/>
      <c r="HE59" s="652"/>
      <c r="HF59" s="652"/>
      <c r="HG59" s="1366"/>
      <c r="HH59" s="676"/>
      <c r="HI59" s="589"/>
      <c r="HJ59" s="564"/>
      <c r="HK59" s="564"/>
      <c r="HL59" s="590"/>
      <c r="HM59" s="589"/>
      <c r="HN59" s="564"/>
      <c r="HO59" s="564"/>
      <c r="HP59" s="590"/>
      <c r="HQ59" s="589"/>
      <c r="HR59" s="564"/>
      <c r="HS59" s="564"/>
      <c r="HT59" s="590"/>
    </row>
    <row r="60" spans="1:228">
      <c r="A60" s="649" t="s">
        <v>23</v>
      </c>
      <c r="B60" s="670">
        <f t="shared" si="0"/>
        <v>2016</v>
      </c>
      <c r="C60" s="671">
        <f>+C59</f>
        <v>16382855.415340908</v>
      </c>
      <c r="D60" s="671">
        <f>+D59</f>
        <v>445791.98409090913</v>
      </c>
      <c r="E60" s="671">
        <f t="shared" si="6"/>
        <v>15937063.431249999</v>
      </c>
      <c r="F60" s="653">
        <f>+C$29*E60+D60</f>
        <v>2377007.4229067089</v>
      </c>
      <c r="G60" s="671">
        <f>+G59</f>
        <v>4228187.3584090881</v>
      </c>
      <c r="H60" s="671">
        <f>+H59</f>
        <v>115840.74954545456</v>
      </c>
      <c r="I60" s="671">
        <f t="shared" si="7"/>
        <v>4112346.6088636336</v>
      </c>
      <c r="J60" s="653">
        <f>+G$29*I60+H60</f>
        <v>614165.13000983873</v>
      </c>
      <c r="K60" s="672">
        <f>+K59</f>
        <v>10918756.460624997</v>
      </c>
      <c r="L60" s="671">
        <f>+L59</f>
        <v>305419.76113636367</v>
      </c>
      <c r="M60" s="671">
        <f t="shared" si="8"/>
        <v>10613336.699488632</v>
      </c>
      <c r="N60" s="653">
        <f>+K$29*M60+L60</f>
        <v>1591518.6575749749</v>
      </c>
      <c r="O60" s="672">
        <f>+O59</f>
        <v>4514134.0378787871</v>
      </c>
      <c r="P60" s="671">
        <f>+P59</f>
        <v>119316.31818181818</v>
      </c>
      <c r="Q60" s="671">
        <f t="shared" si="11"/>
        <v>4394817.7196969688</v>
      </c>
      <c r="R60" s="653">
        <f>+O$29*Q60+P60</f>
        <v>651869.8759732577</v>
      </c>
      <c r="S60" s="589">
        <f>+S59</f>
        <v>2109084.6806060593</v>
      </c>
      <c r="T60" s="564">
        <f>+T59</f>
        <v>58315.705454545445</v>
      </c>
      <c r="U60" s="564">
        <f t="shared" si="12"/>
        <v>2050768.9751515137</v>
      </c>
      <c r="V60" s="590">
        <f>+S$29*U60+T60</f>
        <v>306823.01191924867</v>
      </c>
      <c r="W60" s="589">
        <f>+W59</f>
        <v>26229608.382575758</v>
      </c>
      <c r="X60" s="564">
        <f>+X59</f>
        <v>693293.61363636365</v>
      </c>
      <c r="Y60" s="564">
        <f t="shared" si="13"/>
        <v>25536314.768939395</v>
      </c>
      <c r="Z60" s="590">
        <f>+W$29*Y60+X60</f>
        <v>3787723.4968440034</v>
      </c>
      <c r="AA60" s="589">
        <f>+AA59</f>
        <v>17094095.78598484</v>
      </c>
      <c r="AB60" s="564">
        <f>+AB59</f>
        <v>450833.29545454547</v>
      </c>
      <c r="AC60" s="564">
        <f t="shared" si="14"/>
        <v>16643262.490530295</v>
      </c>
      <c r="AD60" s="590">
        <f>+AA$29*AC60+AB60</f>
        <v>2467624.2565139895</v>
      </c>
      <c r="AE60" s="589">
        <f>+AE59</f>
        <v>172420.73863636371</v>
      </c>
      <c r="AF60" s="564">
        <f>+AF59</f>
        <v>4597.886363636364</v>
      </c>
      <c r="AG60" s="564">
        <f t="shared" si="15"/>
        <v>167822.85227272735</v>
      </c>
      <c r="AH60" s="590">
        <f>+AE$29*AG60+AF60</f>
        <v>24934.260419830593</v>
      </c>
      <c r="AI60" s="589">
        <f>+AI59</f>
        <v>11477091.935606061</v>
      </c>
      <c r="AJ60" s="564">
        <f>+AJ59</f>
        <v>295547.43181818182</v>
      </c>
      <c r="AK60" s="564">
        <f t="shared" si="19"/>
        <v>11181544.503787879</v>
      </c>
      <c r="AL60" s="590">
        <f>+AI$29*AK60+AJ60</f>
        <v>1650500.3984468284</v>
      </c>
      <c r="AM60" s="589">
        <f>+AM59</f>
        <v>4268376.2537499983</v>
      </c>
      <c r="AN60" s="564">
        <f>+AN59</f>
        <v>110866.91568181818</v>
      </c>
      <c r="AO60" s="564">
        <f t="shared" si="16"/>
        <v>4157509.3380681803</v>
      </c>
      <c r="AP60" s="590">
        <f>+AM$29*AO60+AN60</f>
        <v>614664.00824747037</v>
      </c>
      <c r="AQ60" s="589">
        <f>+AQ59</f>
        <v>35066124.19431819</v>
      </c>
      <c r="AR60" s="564">
        <f>+AR59</f>
        <v>904932.23727272719</v>
      </c>
      <c r="AS60" s="564">
        <f t="shared" si="17"/>
        <v>34161191.957045466</v>
      </c>
      <c r="AT60" s="590">
        <f>+AQ$29*AS60+AR60</f>
        <v>5044504.223064959</v>
      </c>
      <c r="AU60" s="672">
        <f>+AU59</f>
        <v>23875000</v>
      </c>
      <c r="AV60" s="671">
        <f>+AV59</f>
        <v>750000</v>
      </c>
      <c r="AW60" s="671">
        <f t="shared" si="1"/>
        <v>23125000</v>
      </c>
      <c r="AX60" s="653">
        <f>+AU$29*AW60+AV60</f>
        <v>750000</v>
      </c>
      <c r="AY60" s="672">
        <f>+AY59</f>
        <v>15583333.333333332</v>
      </c>
      <c r="AZ60" s="671">
        <f>+AZ59</f>
        <v>500000</v>
      </c>
      <c r="BA60" s="671">
        <f t="shared" si="2"/>
        <v>15083333.333333332</v>
      </c>
      <c r="BB60" s="653">
        <f>+AY$29*BA60+AZ60</f>
        <v>500000</v>
      </c>
      <c r="BC60" s="672">
        <f>+BC59</f>
        <v>24250000</v>
      </c>
      <c r="BD60" s="671">
        <f>+BD59</f>
        <v>750000</v>
      </c>
      <c r="BE60" s="671">
        <f t="shared" si="4"/>
        <v>23500000</v>
      </c>
      <c r="BF60" s="653">
        <f>+BC$29*BE60+BD60</f>
        <v>750000</v>
      </c>
      <c r="BG60" s="672">
        <f>+BG59</f>
        <v>15952380.952380955</v>
      </c>
      <c r="BH60" s="671">
        <f>+BH59</f>
        <v>571428.57142857148</v>
      </c>
      <c r="BI60" s="671">
        <f t="shared" si="5"/>
        <v>15380952.380952384</v>
      </c>
      <c r="BJ60" s="653">
        <f>+BG$29*BI60+BH60</f>
        <v>571428.57142857148</v>
      </c>
      <c r="BK60" s="672">
        <f>+BK59</f>
        <v>22400000</v>
      </c>
      <c r="BL60" s="671">
        <f>+BL59</f>
        <v>1200000</v>
      </c>
      <c r="BM60" s="671">
        <f t="shared" si="9"/>
        <v>21200000</v>
      </c>
      <c r="BN60" s="653">
        <f>+BK$29*BM60+BL60</f>
        <v>1200000</v>
      </c>
      <c r="BO60" s="672">
        <f>+BO59</f>
        <v>15833333.333333328</v>
      </c>
      <c r="BP60" s="671">
        <f>+BP59</f>
        <v>666666.66666666663</v>
      </c>
      <c r="BQ60" s="671">
        <f t="shared" si="10"/>
        <v>15166666.666666662</v>
      </c>
      <c r="BR60" s="653">
        <f>+BO$29*BQ60+BP60</f>
        <v>666666.66666666663</v>
      </c>
      <c r="BS60" s="589">
        <f>+BS59</f>
        <v>324124.56818181823</v>
      </c>
      <c r="BT60" s="564">
        <f>+BT59</f>
        <v>8310.886363636364</v>
      </c>
      <c r="BU60" s="564">
        <f t="shared" si="18"/>
        <v>315813.68181818188</v>
      </c>
      <c r="BV60" s="590">
        <f>+BS$29*BU60+BT60</f>
        <v>46580.437134238804</v>
      </c>
      <c r="BW60" s="589">
        <f>+BW59</f>
        <v>22641018.170454547</v>
      </c>
      <c r="BX60" s="564">
        <f>+BX59</f>
        <v>576841.22727272729</v>
      </c>
      <c r="BY60" s="564">
        <f t="shared" si="20"/>
        <v>22064176.94318182</v>
      </c>
      <c r="BZ60" s="590">
        <f>+BW$29*BY60+BX60</f>
        <v>3115865.7093006074</v>
      </c>
      <c r="CA60" s="589">
        <f>+CA59</f>
        <v>2136531.3600000003</v>
      </c>
      <c r="CB60" s="564">
        <f>+CB59</f>
        <v>54433.919999999998</v>
      </c>
      <c r="CC60" s="564">
        <f t="shared" si="21"/>
        <v>2082097.4400000004</v>
      </c>
      <c r="CD60" s="590">
        <f>+CA$29*CC60+CB60</f>
        <v>306737.53531738441</v>
      </c>
      <c r="CE60" s="589">
        <f>+CE59</f>
        <v>185457.39181818184</v>
      </c>
      <c r="CF60" s="564">
        <f>+CF59</f>
        <v>4725.0290909090909</v>
      </c>
      <c r="CG60" s="564">
        <f t="shared" si="22"/>
        <v>180732.36272727276</v>
      </c>
      <c r="CH60" s="590">
        <f>+CE$29*CG60+CF60</f>
        <v>26625.746917517532</v>
      </c>
      <c r="CI60" s="589">
        <f>+CI59</f>
        <v>497599.77272727271</v>
      </c>
      <c r="CJ60" s="564">
        <f>+CJ59</f>
        <v>12362.727272727272</v>
      </c>
      <c r="CK60" s="564">
        <f t="shared" si="24"/>
        <v>485237.04545454541</v>
      </c>
      <c r="CL60" s="590">
        <f>+CI$29*CK60+CJ60</f>
        <v>68201.145409447403</v>
      </c>
      <c r="CM60" s="589">
        <f>+CM59</f>
        <v>21282432.550000001</v>
      </c>
      <c r="CN60" s="564">
        <f>+CN59</f>
        <v>120922.91221590909</v>
      </c>
      <c r="CO60" s="564">
        <f t="shared" si="34"/>
        <v>21161509.63778409</v>
      </c>
      <c r="CP60" s="590">
        <f>+(((CM$29*CO60)*(12-CM$32)/12))+CN60</f>
        <v>729710.5319100807</v>
      </c>
      <c r="CQ60" s="589">
        <f>+CQ59</f>
        <v>88780382.429999992</v>
      </c>
      <c r="CR60" s="564">
        <f>+CR59</f>
        <v>504433.99107954535</v>
      </c>
      <c r="CS60" s="564">
        <f t="shared" si="35"/>
        <v>88275948.438920453</v>
      </c>
      <c r="CT60" s="590">
        <f>+(((CQ$29*CS60)*(12-CQ$32)/12))+CR60</f>
        <v>3044012.0006947089</v>
      </c>
      <c r="CU60" s="589">
        <f>+CU59</f>
        <v>29752596.390000001</v>
      </c>
      <c r="CV60" s="564">
        <f>+CV59</f>
        <v>0</v>
      </c>
      <c r="CW60" s="564">
        <f t="shared" si="36"/>
        <v>29752596.390000001</v>
      </c>
      <c r="CX60" s="590">
        <f>+(((CU$29*CW60)*(12-CU$32)/12))+CV60</f>
        <v>0</v>
      </c>
      <c r="DB60" s="590"/>
      <c r="DF60" s="590"/>
      <c r="DJ60" s="590"/>
      <c r="DO60" s="589"/>
      <c r="DP60" s="564"/>
      <c r="DQ60" s="564"/>
      <c r="DR60" s="590"/>
      <c r="DS60" s="589"/>
      <c r="DT60" s="564"/>
      <c r="DU60" s="564"/>
      <c r="DV60" s="590"/>
      <c r="DW60" s="589"/>
      <c r="DX60" s="564"/>
      <c r="DY60" s="564"/>
      <c r="DZ60" s="590"/>
      <c r="EA60" s="589"/>
      <c r="EB60" s="564"/>
      <c r="EC60" s="564"/>
      <c r="ED60" s="590"/>
      <c r="EE60" s="589"/>
      <c r="EF60" s="564"/>
      <c r="EG60" s="564"/>
      <c r="EH60" s="590"/>
      <c r="EI60" s="589"/>
      <c r="EJ60" s="564"/>
      <c r="EK60" s="564"/>
      <c r="EL60" s="590"/>
      <c r="EM60" s="589"/>
      <c r="EN60" s="564"/>
      <c r="EO60" s="564"/>
      <c r="EP60" s="590"/>
      <c r="EQ60" s="678">
        <f t="shared" ref="EQ60" si="39">+R60+J60+F60+N60+V60+Z60+AD60+AH60+AL60+AP60+AT60+BV60+BZ60+CD60+CH60+CL60+CP60+CT60+CX60</f>
        <v>26469067.848605096</v>
      </c>
      <c r="ER60" s="675">
        <f>+EQ60</f>
        <v>26469067.848605096</v>
      </c>
      <c r="ES60" s="648"/>
      <c r="ET60" s="696"/>
      <c r="EV60" s="589">
        <f>+EV59</f>
        <v>10377486.233333334</v>
      </c>
      <c r="EW60" s="564">
        <f>+EW59</f>
        <v>1270712.6000000001</v>
      </c>
      <c r="EX60" s="564">
        <f t="shared" si="25"/>
        <v>9106773.6333333347</v>
      </c>
      <c r="EY60" s="590">
        <f>+EV$29*EX60+EW60</f>
        <v>2557715.9763480932</v>
      </c>
      <c r="EZ60" s="589">
        <f>+EZ59</f>
        <v>8049639.5999999996</v>
      </c>
      <c r="FA60" s="564">
        <f>+FA59</f>
        <v>894404.4</v>
      </c>
      <c r="FB60" s="564">
        <f t="shared" si="26"/>
        <v>7155235.1999999993</v>
      </c>
      <c r="FC60" s="590">
        <f>+EZ$29*FB60+FA60</f>
        <v>1905609.0518053221</v>
      </c>
      <c r="FD60" s="589">
        <f>+FD59</f>
        <v>1252422.4364166665</v>
      </c>
      <c r="FE60" s="564">
        <f>+FE59</f>
        <v>140458.59099999999</v>
      </c>
      <c r="FF60" s="564">
        <f t="shared" si="27"/>
        <v>1111963.8454166665</v>
      </c>
      <c r="FG60" s="590">
        <f>+FD$29*FF60+FE60</f>
        <v>297605.48857852642</v>
      </c>
      <c r="FH60" s="589">
        <f>+FH59</f>
        <v>152642.70000000001</v>
      </c>
      <c r="FI60" s="564">
        <f>+FI59</f>
        <v>16960.3</v>
      </c>
      <c r="FJ60" s="564">
        <f t="shared" si="28"/>
        <v>135682.40000000002</v>
      </c>
      <c r="FK60" s="590">
        <f>+FH$29*FJ60+FI60</f>
        <v>36135.445220678484</v>
      </c>
      <c r="FL60" s="589">
        <f>+FL59</f>
        <v>11493.038333333334</v>
      </c>
      <c r="FM60" s="564">
        <f>+FM59</f>
        <v>1253.7860000000001</v>
      </c>
      <c r="FN60" s="564">
        <f t="shared" si="33"/>
        <v>10239.252333333334</v>
      </c>
      <c r="FO60" s="590">
        <f>+FL$29*FN60+FM60</f>
        <v>2700.8355100531662</v>
      </c>
      <c r="FP60" s="589">
        <f>+FP59</f>
        <v>37307654.814999998</v>
      </c>
      <c r="FQ60" s="564">
        <f>+FQ59</f>
        <v>4033259.9799999995</v>
      </c>
      <c r="FR60" s="564">
        <f t="shared" si="29"/>
        <v>33274394.834999997</v>
      </c>
      <c r="FS60" s="590">
        <f>+FP$29*FR60+FQ60</f>
        <v>8735722.1496794783</v>
      </c>
      <c r="FT60" s="589">
        <f>+FT59</f>
        <v>508427.8608333334</v>
      </c>
      <c r="FU60" s="564">
        <f>+FU59</f>
        <v>53053.342000000004</v>
      </c>
      <c r="FV60" s="564">
        <f t="shared" si="30"/>
        <v>455374.51883333339</v>
      </c>
      <c r="FW60" s="590">
        <f>+FT$29*FV60+FU60</f>
        <v>117408.57546009326</v>
      </c>
      <c r="FX60" s="589">
        <f>+FX59</f>
        <v>-516605.81749999971</v>
      </c>
      <c r="FY60" s="564">
        <f>+FY59</f>
        <v>-53906.693999999974</v>
      </c>
      <c r="FZ60" s="564">
        <f t="shared" si="31"/>
        <v>-462699.12349999975</v>
      </c>
      <c r="GA60" s="590">
        <f>+FX$29*FZ60+FY60</f>
        <v>-119297.06803961855</v>
      </c>
      <c r="GB60" s="589">
        <f>+GB59</f>
        <v>32720640.384833332</v>
      </c>
      <c r="GC60" s="564">
        <f>+GC59</f>
        <v>3327522.7509999997</v>
      </c>
      <c r="GD60" s="564">
        <f t="shared" si="32"/>
        <v>29393117.633833334</v>
      </c>
      <c r="GE60" s="590">
        <f>+GB$29*GD60+GC60</f>
        <v>7481468.282013895</v>
      </c>
      <c r="GF60" s="589">
        <f>+GF59</f>
        <v>493706.99174999999</v>
      </c>
      <c r="GG60" s="564">
        <f>+GG59</f>
        <v>49785.578999999998</v>
      </c>
      <c r="GH60" s="564">
        <f t="shared" si="37"/>
        <v>443921.41275000002</v>
      </c>
      <c r="GI60" s="590">
        <f>+GF$29*GH60+GG60</f>
        <v>112522.21658932627</v>
      </c>
      <c r="GJ60" s="589">
        <f>+GJ59</f>
        <v>1756061.9100000001</v>
      </c>
      <c r="GK60" s="564">
        <f>+GK59</f>
        <v>87803.09550000001</v>
      </c>
      <c r="GL60" s="564">
        <f t="shared" si="38"/>
        <v>1668258.8145000001</v>
      </c>
      <c r="GM60" s="590">
        <f>+(((GJ$29*GL60)*(12-GJ$32)/12))+GK60</f>
        <v>205685.38912730329</v>
      </c>
      <c r="GN60" s="589"/>
      <c r="GO60" s="564"/>
      <c r="GP60" s="564"/>
      <c r="GQ60" s="590"/>
      <c r="GR60" s="589"/>
      <c r="GS60" s="564"/>
      <c r="GT60" s="564"/>
      <c r="GU60" s="590"/>
      <c r="GV60" s="672"/>
      <c r="GW60" s="676"/>
      <c r="GX60" s="676"/>
      <c r="GY60" s="1366"/>
      <c r="GZ60" s="672"/>
      <c r="HA60" s="671"/>
      <c r="HB60" s="671"/>
      <c r="HC60" s="1366"/>
      <c r="HD60" s="672"/>
      <c r="HE60" s="671"/>
      <c r="HF60" s="671"/>
      <c r="HG60" s="1366"/>
      <c r="HI60" s="589"/>
      <c r="HJ60" s="564"/>
      <c r="HK60" s="564"/>
      <c r="HL60" s="590"/>
      <c r="HM60" s="589"/>
      <c r="HN60" s="564"/>
      <c r="HO60" s="564"/>
      <c r="HP60" s="590"/>
      <c r="HQ60" s="589"/>
      <c r="HR60" s="564"/>
      <c r="HS60" s="564"/>
      <c r="HT60" s="590"/>
    </row>
    <row r="61" spans="1:228">
      <c r="A61" s="649" t="s">
        <v>24</v>
      </c>
      <c r="B61" s="670">
        <f t="shared" si="0"/>
        <v>2017</v>
      </c>
      <c r="C61" s="671">
        <f>+E60</f>
        <v>15937063.431249999</v>
      </c>
      <c r="D61" s="671">
        <f>+C$31</f>
        <v>445791.98409090913</v>
      </c>
      <c r="E61" s="671">
        <f t="shared" si="6"/>
        <v>15491271.447159089</v>
      </c>
      <c r="F61" s="653">
        <f>+C$28*E61+D61</f>
        <v>2228442.5476430124</v>
      </c>
      <c r="G61" s="671">
        <f>+I60</f>
        <v>4112346.6088636336</v>
      </c>
      <c r="H61" s="671">
        <f>+G$31</f>
        <v>115840.74954545456</v>
      </c>
      <c r="I61" s="671">
        <f t="shared" si="7"/>
        <v>3996505.8593181791</v>
      </c>
      <c r="J61" s="653">
        <f>+G$28*I61+H61</f>
        <v>575736.72688044328</v>
      </c>
      <c r="K61" s="672">
        <f>+M60</f>
        <v>10613336.699488632</v>
      </c>
      <c r="L61" s="671">
        <f>+K$31</f>
        <v>305419.76113636367</v>
      </c>
      <c r="M61" s="671">
        <f t="shared" si="8"/>
        <v>10307916.938352268</v>
      </c>
      <c r="N61" s="653">
        <f>+K$28*M61+L61</f>
        <v>1491598.3134831286</v>
      </c>
      <c r="O61" s="672">
        <f>+Q60</f>
        <v>4394817.7196969688</v>
      </c>
      <c r="P61" s="671">
        <f>+O$31</f>
        <v>119316.31818181818</v>
      </c>
      <c r="Q61" s="671">
        <f t="shared" si="11"/>
        <v>4275501.4015151504</v>
      </c>
      <c r="R61" s="653">
        <f>+O$28*Q61+P61</f>
        <v>611317.57249309821</v>
      </c>
      <c r="S61" s="589">
        <f>+U60</f>
        <v>2050768.9751515137</v>
      </c>
      <c r="T61" s="564">
        <f>+S$31</f>
        <v>58315.705454545445</v>
      </c>
      <c r="U61" s="564">
        <f t="shared" si="12"/>
        <v>1992453.2696969681</v>
      </c>
      <c r="V61" s="590">
        <f>+S$28*U61+T61</f>
        <v>287596.30105910421</v>
      </c>
      <c r="W61" s="589">
        <f>+Y60</f>
        <v>25536314.768939395</v>
      </c>
      <c r="X61" s="564">
        <f>+W$31</f>
        <v>693293.61363636365</v>
      </c>
      <c r="Y61" s="564">
        <f t="shared" si="13"/>
        <v>24843021.155303031</v>
      </c>
      <c r="Z61" s="590">
        <f>+W$28*Y61+X61</f>
        <v>3552092.248331992</v>
      </c>
      <c r="AA61" s="589">
        <f>+AC60</f>
        <v>16643262.490530295</v>
      </c>
      <c r="AB61" s="564">
        <f>+AA$31</f>
        <v>450833.29545454547</v>
      </c>
      <c r="AC61" s="564">
        <f t="shared" si="14"/>
        <v>16192429.19507575</v>
      </c>
      <c r="AD61" s="590">
        <f>+AA$28*AC61+AB61</f>
        <v>2314169.247467244</v>
      </c>
      <c r="AE61" s="589">
        <f>+AG60</f>
        <v>167822.85227272735</v>
      </c>
      <c r="AF61" s="564">
        <f>+AE$31</f>
        <v>4597.886363636364</v>
      </c>
      <c r="AG61" s="564">
        <f t="shared" si="15"/>
        <v>163224.965909091</v>
      </c>
      <c r="AH61" s="590">
        <f>+AE$28*AG61+AF61</f>
        <v>23380.920309954232</v>
      </c>
      <c r="AI61" s="589">
        <f>+AK60</f>
        <v>11181544.503787879</v>
      </c>
      <c r="AJ61" s="564">
        <f>+AI$31</f>
        <v>295547.43181818182</v>
      </c>
      <c r="AK61" s="564">
        <f t="shared" si="19"/>
        <v>10885997.071969697</v>
      </c>
      <c r="AL61" s="590">
        <f>+AI$28*AK61+AJ61</f>
        <v>1548248.275733233</v>
      </c>
      <c r="AM61" s="589">
        <f>+AO60</f>
        <v>4157509.3380681803</v>
      </c>
      <c r="AN61" s="564">
        <f>+AM$31</f>
        <v>110866.91568181818</v>
      </c>
      <c r="AO61" s="564">
        <f t="shared" si="16"/>
        <v>4046642.4223863622</v>
      </c>
      <c r="AP61" s="590">
        <f>+AM$28*AO61+AN61</f>
        <v>576532.33374431112</v>
      </c>
      <c r="AQ61" s="589">
        <f>+AS60</f>
        <v>34161191.957045466</v>
      </c>
      <c r="AR61" s="564">
        <f>+AQ$31</f>
        <v>904932.23727272719</v>
      </c>
      <c r="AS61" s="564">
        <f t="shared" si="17"/>
        <v>33256259.719772737</v>
      </c>
      <c r="AT61" s="590">
        <f>+AQ$28*AS61+AR61</f>
        <v>4731880.2275204863</v>
      </c>
      <c r="AU61" s="672">
        <f>+AW60</f>
        <v>23125000</v>
      </c>
      <c r="AV61" s="671">
        <f>+AU$31</f>
        <v>750000</v>
      </c>
      <c r="AW61" s="671">
        <f t="shared" si="1"/>
        <v>22375000</v>
      </c>
      <c r="AX61" s="653">
        <f>+AU$28*AW61+AV61</f>
        <v>750000</v>
      </c>
      <c r="AY61" s="672">
        <f>+BA60</f>
        <v>15083333.333333332</v>
      </c>
      <c r="AZ61" s="671">
        <f>+AY$31</f>
        <v>500000</v>
      </c>
      <c r="BA61" s="671">
        <f t="shared" si="2"/>
        <v>14583333.333333332</v>
      </c>
      <c r="BB61" s="653">
        <f>+AY$28*BA61+AZ61</f>
        <v>500000</v>
      </c>
      <c r="BC61" s="672">
        <f>+BE60</f>
        <v>23500000</v>
      </c>
      <c r="BD61" s="671">
        <f>+BC$31</f>
        <v>750000</v>
      </c>
      <c r="BE61" s="671">
        <f t="shared" si="4"/>
        <v>22750000</v>
      </c>
      <c r="BF61" s="653">
        <f>+BC$28*BE61+BD61</f>
        <v>750000</v>
      </c>
      <c r="BG61" s="672">
        <f>+BI60</f>
        <v>15380952.380952384</v>
      </c>
      <c r="BH61" s="671">
        <f>+BG$31</f>
        <v>571428.57142857148</v>
      </c>
      <c r="BI61" s="671">
        <f t="shared" si="5"/>
        <v>14809523.809523813</v>
      </c>
      <c r="BJ61" s="653">
        <f>+BG$28*BI61+BH61</f>
        <v>571428.57142857148</v>
      </c>
      <c r="BK61" s="672">
        <f>+BM60</f>
        <v>21200000</v>
      </c>
      <c r="BL61" s="671">
        <f>+BK$31</f>
        <v>1200000</v>
      </c>
      <c r="BM61" s="671">
        <f t="shared" si="9"/>
        <v>20000000</v>
      </c>
      <c r="BN61" s="653">
        <f>+BK$28*BM61+BL61</f>
        <v>1200000</v>
      </c>
      <c r="BO61" s="672">
        <f>+BQ60</f>
        <v>15166666.666666662</v>
      </c>
      <c r="BP61" s="671">
        <f>+BO$31</f>
        <v>666666.66666666663</v>
      </c>
      <c r="BQ61" s="671">
        <f t="shared" si="10"/>
        <v>14499999.999999996</v>
      </c>
      <c r="BR61" s="653">
        <f>+BO$28*BQ61+BP61</f>
        <v>666666.66666666663</v>
      </c>
      <c r="BS61" s="589">
        <f>+BU60</f>
        <v>315813.68181818188</v>
      </c>
      <c r="BT61" s="564">
        <f>+BS$31</f>
        <v>8310.886363636364</v>
      </c>
      <c r="BU61" s="564">
        <f t="shared" si="18"/>
        <v>307502.79545454553</v>
      </c>
      <c r="BV61" s="590">
        <f>+BS$28*BU61+BT61</f>
        <v>43696.621710196341</v>
      </c>
      <c r="BW61" s="589">
        <f>+BY60</f>
        <v>22064176.94318182</v>
      </c>
      <c r="BX61" s="564">
        <f>+BW$31</f>
        <v>576841.22727272729</v>
      </c>
      <c r="BY61" s="564">
        <f t="shared" si="20"/>
        <v>21487335.715909094</v>
      </c>
      <c r="BZ61" s="590">
        <f>+BW$28*BY61+BX61</f>
        <v>3049485.9842802705</v>
      </c>
      <c r="CA61" s="589">
        <f>+CC60</f>
        <v>2082097.4400000004</v>
      </c>
      <c r="CB61" s="564">
        <f>+CA$31</f>
        <v>54433.919999999998</v>
      </c>
      <c r="CC61" s="564">
        <f t="shared" si="21"/>
        <v>2027663.5200000005</v>
      </c>
      <c r="CD61" s="590">
        <f>+CA$28*CC61+CB61</f>
        <v>287766.31811538636</v>
      </c>
      <c r="CE61" s="589">
        <f>+CG60</f>
        <v>180732.36272727276</v>
      </c>
      <c r="CF61" s="564">
        <f>+CE$31</f>
        <v>4725.0290909090909</v>
      </c>
      <c r="CG61" s="564">
        <f t="shared" si="22"/>
        <v>176007.33363636368</v>
      </c>
      <c r="CH61" s="590">
        <f>+CE$28*CG61+CF61</f>
        <v>24978.987816401983</v>
      </c>
      <c r="CI61" s="589">
        <f>+CK60</f>
        <v>485237.04545454541</v>
      </c>
      <c r="CJ61" s="564">
        <f>+CI$31</f>
        <v>12362.727272727272</v>
      </c>
      <c r="CK61" s="564">
        <f t="shared" si="24"/>
        <v>472874.31818181812</v>
      </c>
      <c r="CL61" s="590">
        <f>+CI$28*CK61+CJ61</f>
        <v>66778.51055246091</v>
      </c>
      <c r="CM61" s="589">
        <f>+CO60</f>
        <v>21161509.63778409</v>
      </c>
      <c r="CN61" s="564">
        <f>+CM$31</f>
        <v>483691.64886363636</v>
      </c>
      <c r="CO61" s="564">
        <f t="shared" si="34"/>
        <v>20677817.988920454</v>
      </c>
      <c r="CP61" s="590">
        <f>+CM$28*CO61+CN61</f>
        <v>2863181.5452682846</v>
      </c>
      <c r="CQ61" s="589">
        <f>+CS60</f>
        <v>88275948.438920453</v>
      </c>
      <c r="CR61" s="564">
        <f>+CQ$31</f>
        <v>2017735.9643181816</v>
      </c>
      <c r="CS61" s="564">
        <f t="shared" ref="CS61:CS115" si="40">+CQ61-CR61</f>
        <v>86258212.474602267</v>
      </c>
      <c r="CT61" s="590">
        <f>+CQ$28*CS61+CR61</f>
        <v>11943858.013328305</v>
      </c>
      <c r="CU61" s="589">
        <f>+CW60</f>
        <v>29752596.390000001</v>
      </c>
      <c r="CV61" s="564">
        <f>+CU$31</f>
        <v>676195.37250000006</v>
      </c>
      <c r="CW61" s="564">
        <f t="shared" ref="CW61:CW115" si="41">+CU61-CV61</f>
        <v>29076401.017500002</v>
      </c>
      <c r="CX61" s="590">
        <f>+CU$28*CW61+CV61</f>
        <v>4022148.145757929</v>
      </c>
      <c r="CY61" s="589">
        <f>+CY30</f>
        <v>32283.850000000057</v>
      </c>
      <c r="CZ61" s="564">
        <f>+CY$31/12*(12-$CY$32)</f>
        <v>366.86193181818248</v>
      </c>
      <c r="DA61" s="564">
        <f t="shared" ref="DA61:DA124" si="42">+CY61-CZ61</f>
        <v>31916.988068181876</v>
      </c>
      <c r="DB61" s="590">
        <f>+(((CY$28*DA61)*(12-CY$32)/12))+CZ61</f>
        <v>2203.277908412033</v>
      </c>
      <c r="DC61" s="589">
        <f>+DC30</f>
        <v>1959349.5999999999</v>
      </c>
      <c r="DD61" s="564">
        <f>+DC$31/12*(12-$DC$32)</f>
        <v>33398.00454545454</v>
      </c>
      <c r="DE61" s="564">
        <f t="shared" ref="DE61:DE124" si="43">+DC61-DD61</f>
        <v>1925951.5954545452</v>
      </c>
      <c r="DF61" s="590">
        <f>+(((DC$28*DE61)*(12-DC$32)/12))+DD61</f>
        <v>199618.96526785908</v>
      </c>
      <c r="DG61" s="589">
        <f>+DG30</f>
        <v>1084136.8699999999</v>
      </c>
      <c r="DH61" s="564">
        <f>+DG$31/12*(12-DG$32)</f>
        <v>12319.73715909091</v>
      </c>
      <c r="DI61" s="564">
        <f t="shared" ref="DI61:DI124" si="44">+DG61-DH61</f>
        <v>1071817.1328409091</v>
      </c>
      <c r="DJ61" s="590">
        <f>+(((DG$28*DI61)*(12-DG$32)/12))+DH61</f>
        <v>73989.156044460731</v>
      </c>
      <c r="DK61" s="589">
        <f>+DK30</f>
        <v>24184987.59</v>
      </c>
      <c r="DL61" s="564">
        <f>+DK$31/12*(12-DK$32)</f>
        <v>458049.00738636358</v>
      </c>
      <c r="DM61" s="564">
        <f t="shared" ref="DM61:DM124" si="45">+DK61-DL61</f>
        <v>23726938.582613636</v>
      </c>
      <c r="DN61" s="590">
        <f>+(((DK$28*DM61)*(12-DK$32)/12))+DL61</f>
        <v>2733353.984769776</v>
      </c>
      <c r="DR61" s="590"/>
      <c r="DV61" s="590"/>
      <c r="DZ61" s="590"/>
      <c r="ED61" s="590"/>
      <c r="EH61" s="590"/>
      <c r="EL61" s="590"/>
      <c r="EP61" s="590"/>
      <c r="EQ61" s="678">
        <f>+R61+J61+F61+N61+V61+Z61+AD61+AH61+AL61+AP61+AT61+BV61+BZ61+CD61+CH61+CL61+CP61+CT61+CX61+DB61+DF61+DJ61+DN61</f>
        <v>43252054.225485757</v>
      </c>
      <c r="ER61" s="652"/>
      <c r="ES61" s="674">
        <f>+EQ61</f>
        <v>43252054.225485757</v>
      </c>
      <c r="EV61" s="589">
        <f>+EX60</f>
        <v>9106773.6333333347</v>
      </c>
      <c r="EW61" s="564">
        <f>+EW59</f>
        <v>1270712.6000000001</v>
      </c>
      <c r="EX61" s="564">
        <f t="shared" si="25"/>
        <v>7836061.0333333351</v>
      </c>
      <c r="EY61" s="590">
        <f>+EV$28*EX61+EW61</f>
        <v>2378134.1098809177</v>
      </c>
      <c r="EZ61" s="589">
        <f>+FB60</f>
        <v>7155235.1999999993</v>
      </c>
      <c r="FA61" s="564">
        <f>+FA59</f>
        <v>894404.4</v>
      </c>
      <c r="FB61" s="564">
        <f t="shared" si="26"/>
        <v>6260830.7999999989</v>
      </c>
      <c r="FC61" s="590">
        <f>+EZ$28*FB61+FA61</f>
        <v>1779208.4703296567</v>
      </c>
      <c r="FD61" s="589">
        <f>+FF60</f>
        <v>1111963.8454166665</v>
      </c>
      <c r="FE61" s="564">
        <f>+FE59</f>
        <v>140458.59099999999</v>
      </c>
      <c r="FF61" s="564">
        <f t="shared" si="27"/>
        <v>971505.25441666646</v>
      </c>
      <c r="FG61" s="590">
        <f>+FD$28*FF61+FE61</f>
        <v>277755.35414755472</v>
      </c>
      <c r="FH61" s="589">
        <f>+FJ60</f>
        <v>135682.40000000002</v>
      </c>
      <c r="FI61" s="564">
        <f>+FI59</f>
        <v>16960.3</v>
      </c>
      <c r="FJ61" s="564">
        <f t="shared" si="28"/>
        <v>118722.10000000002</v>
      </c>
      <c r="FK61" s="590">
        <f>+FH$28*FJ61+FI61</f>
        <v>33738.552068093675</v>
      </c>
      <c r="FL61" s="589">
        <f>+FN60</f>
        <v>10239.252333333334</v>
      </c>
      <c r="FM61" s="564">
        <f>+FM59</f>
        <v>1253.7860000000001</v>
      </c>
      <c r="FN61" s="564">
        <f t="shared" si="33"/>
        <v>8985.4663333333338</v>
      </c>
      <c r="FO61" s="590">
        <f>+FL$28*FN61+FM61</f>
        <v>2523.6457741282884</v>
      </c>
      <c r="FP61" s="589">
        <f>+FR60</f>
        <v>33274394.834999997</v>
      </c>
      <c r="FQ61" s="564">
        <f>+FQ59</f>
        <v>4033259.9799999995</v>
      </c>
      <c r="FR61" s="564">
        <f t="shared" si="29"/>
        <v>29241134.854999997</v>
      </c>
      <c r="FS61" s="590">
        <f>+FP$28*FR61+FQ61</f>
        <v>8165726.7351728752</v>
      </c>
      <c r="FT61" s="589">
        <f>+FV60</f>
        <v>455374.51883333339</v>
      </c>
      <c r="FU61" s="564">
        <f>+FU59</f>
        <v>53053.342000000004</v>
      </c>
      <c r="FV61" s="564">
        <f t="shared" si="30"/>
        <v>402321.17683333339</v>
      </c>
      <c r="FW61" s="590">
        <f>+FT$28*FV61+FU61</f>
        <v>109910.87835794647</v>
      </c>
      <c r="FX61" s="589">
        <f>+FZ60</f>
        <v>-462699.12349999975</v>
      </c>
      <c r="FY61" s="564">
        <f>+FY59</f>
        <v>-53906.693999999974</v>
      </c>
      <c r="FZ61" s="564">
        <f t="shared" si="31"/>
        <v>-408792.42949999979</v>
      </c>
      <c r="GA61" s="590">
        <f>+FX$28*FZ61+FY61</f>
        <v>-111678.7720350028</v>
      </c>
      <c r="GB61" s="589">
        <f>+GD60</f>
        <v>29393117.633833334</v>
      </c>
      <c r="GC61" s="564">
        <f>+GC59</f>
        <v>3327522.7509999997</v>
      </c>
      <c r="GD61" s="564">
        <f t="shared" si="32"/>
        <v>26065594.882833336</v>
      </c>
      <c r="GE61" s="590">
        <f>+GB$28*GD61+GC61</f>
        <v>7011210.2973708119</v>
      </c>
      <c r="GF61" s="589">
        <f>+GH60</f>
        <v>443921.41275000002</v>
      </c>
      <c r="GG61" s="564">
        <f>+GG59</f>
        <v>49785.578999999998</v>
      </c>
      <c r="GH61" s="564">
        <f t="shared" si="37"/>
        <v>394135.83374999999</v>
      </c>
      <c r="GI61" s="590">
        <f>+GF$28*GH61+GG61</f>
        <v>105486.33199986911</v>
      </c>
      <c r="GJ61" s="589">
        <f>+GL60</f>
        <v>1668258.8145000001</v>
      </c>
      <c r="GK61" s="564">
        <f>+GJ31</f>
        <v>175606.19100000002</v>
      </c>
      <c r="GL61" s="564">
        <f t="shared" si="38"/>
        <v>1492652.6235</v>
      </c>
      <c r="GM61" s="590">
        <f>+GJ$28*GL61+GK61</f>
        <v>386553.45328043745</v>
      </c>
      <c r="GN61" s="589">
        <f>+GN30</f>
        <v>36868090.68999999</v>
      </c>
      <c r="GO61" s="564">
        <f>+GN$31/12*(12-$GN$32)</f>
        <v>2150638.6235833326</v>
      </c>
      <c r="GP61" s="564">
        <f>+GN61-GO61</f>
        <v>34717452.066416658</v>
      </c>
      <c r="GQ61" s="590">
        <f>+(((GN$28*GP61)*(12-GN$32)/12))+GO61</f>
        <v>5012705.53834063</v>
      </c>
      <c r="GU61" s="590"/>
      <c r="GY61" s="1366"/>
      <c r="GZ61" s="649"/>
      <c r="HA61" s="652"/>
      <c r="HB61" s="652"/>
      <c r="HC61" s="1366"/>
      <c r="HD61" s="649"/>
      <c r="HE61" s="652"/>
      <c r="HF61" s="652"/>
      <c r="HG61" s="1366"/>
      <c r="HH61" s="676"/>
      <c r="HI61" s="589"/>
      <c r="HJ61" s="564"/>
      <c r="HK61" s="564"/>
      <c r="HL61" s="590"/>
      <c r="HM61" s="589">
        <f>+HM30</f>
        <v>1159350</v>
      </c>
      <c r="HN61" s="564">
        <f>+HM$31/12*(12-$HM$32)</f>
        <v>1159350</v>
      </c>
      <c r="HO61" s="564">
        <f>+HN61/2</f>
        <v>579675</v>
      </c>
      <c r="HP61" s="590">
        <f>+HM$28*HO61+HN61</f>
        <v>1207659.3677645056</v>
      </c>
      <c r="HQ61" s="589">
        <f>+HQ30</f>
        <v>0</v>
      </c>
      <c r="HR61" s="564">
        <f>+HQ$31/12*(12-$HM$32)</f>
        <v>0</v>
      </c>
      <c r="HS61" s="564">
        <f>+HR61/2</f>
        <v>0</v>
      </c>
      <c r="HT61" s="590">
        <f>+HQ$28*HS61+HR61</f>
        <v>0</v>
      </c>
    </row>
    <row r="62" spans="1:228" ht="13">
      <c r="A62" s="649" t="s">
        <v>23</v>
      </c>
      <c r="B62" s="670">
        <f t="shared" si="0"/>
        <v>2017</v>
      </c>
      <c r="C62" s="671">
        <f>+C61</f>
        <v>15937063.431249999</v>
      </c>
      <c r="D62" s="671">
        <f>+D61</f>
        <v>445791.98409090913</v>
      </c>
      <c r="E62" s="671">
        <f t="shared" si="6"/>
        <v>15491271.447159089</v>
      </c>
      <c r="F62" s="653">
        <f>+C$29*E62+D62</f>
        <v>2322987.4106321409</v>
      </c>
      <c r="G62" s="671">
        <f>+G61</f>
        <v>4112346.6088636336</v>
      </c>
      <c r="H62" s="671">
        <f>+H61</f>
        <v>115840.74954545456</v>
      </c>
      <c r="I62" s="671">
        <f t="shared" si="7"/>
        <v>3996505.8593181791</v>
      </c>
      <c r="J62" s="653">
        <f>+G$29*I62+H62</f>
        <v>600127.82351788424</v>
      </c>
      <c r="K62" s="672">
        <f>+K61</f>
        <v>10613336.699488632</v>
      </c>
      <c r="L62" s="671">
        <f>+L61</f>
        <v>305419.76113636367</v>
      </c>
      <c r="M62" s="671">
        <f t="shared" si="8"/>
        <v>10307916.938352268</v>
      </c>
      <c r="N62" s="653">
        <f>+K$29*M62+L62</f>
        <v>1554508.6173896911</v>
      </c>
      <c r="O62" s="672">
        <f>+O61</f>
        <v>4394817.7196969688</v>
      </c>
      <c r="P62" s="671">
        <f>+P61</f>
        <v>119316.31818181818</v>
      </c>
      <c r="Q62" s="671">
        <f t="shared" si="11"/>
        <v>4275501.4015151504</v>
      </c>
      <c r="R62" s="653">
        <f>+O$29*Q62+P62</f>
        <v>637411.40834091092</v>
      </c>
      <c r="S62" s="589">
        <f>+S61</f>
        <v>2050768.9751515137</v>
      </c>
      <c r="T62" s="564">
        <f>+T61</f>
        <v>58315.705454545445</v>
      </c>
      <c r="U62" s="564">
        <f t="shared" si="12"/>
        <v>1992453.2696969681</v>
      </c>
      <c r="V62" s="590">
        <f>+S$29*U62+T62</f>
        <v>299756.45344157936</v>
      </c>
      <c r="W62" s="589">
        <f>+W61</f>
        <v>25536314.768939395</v>
      </c>
      <c r="X62" s="564">
        <f>+X61</f>
        <v>693293.61363636365</v>
      </c>
      <c r="Y62" s="564">
        <f t="shared" si="13"/>
        <v>24843021.155303031</v>
      </c>
      <c r="Z62" s="590">
        <f>+W$29*Y62+X62</f>
        <v>3703711.8258066918</v>
      </c>
      <c r="AA62" s="589">
        <f>+AA61</f>
        <v>16643262.490530295</v>
      </c>
      <c r="AB62" s="564">
        <f>+AB61</f>
        <v>450833.29545454547</v>
      </c>
      <c r="AC62" s="564">
        <f t="shared" si="14"/>
        <v>16192429.19507575</v>
      </c>
      <c r="AD62" s="590">
        <f>+AA$29*AC62+AB62</f>
        <v>2412993.3501196029</v>
      </c>
      <c r="AE62" s="589">
        <f>+AE61</f>
        <v>167822.85227272735</v>
      </c>
      <c r="AF62" s="564">
        <f>+AF61</f>
        <v>4597.886363636364</v>
      </c>
      <c r="AG62" s="564">
        <f t="shared" si="15"/>
        <v>163224.965909091</v>
      </c>
      <c r="AH62" s="590">
        <f>+AE$29*AG62+AF62</f>
        <v>24377.09948678418</v>
      </c>
      <c r="AI62" s="589">
        <f>+AI61</f>
        <v>11181544.503787879</v>
      </c>
      <c r="AJ62" s="564">
        <f>+AJ61</f>
        <v>295547.43181818182</v>
      </c>
      <c r="AK62" s="564">
        <f t="shared" si="19"/>
        <v>10885997.071969697</v>
      </c>
      <c r="AL62" s="590">
        <f>+AI$29*AK62+AJ62</f>
        <v>1614686.6636460712</v>
      </c>
      <c r="AM62" s="589">
        <f>+AM61</f>
        <v>4157509.3380681803</v>
      </c>
      <c r="AN62" s="564">
        <f>+AN61</f>
        <v>110866.91568181818</v>
      </c>
      <c r="AO62" s="564">
        <f t="shared" si="16"/>
        <v>4046642.4223863622</v>
      </c>
      <c r="AP62" s="590">
        <f>+AM$29*AO62+AN62</f>
        <v>601229.4191123863</v>
      </c>
      <c r="AQ62" s="589">
        <f>+AQ61</f>
        <v>34161191.957045466</v>
      </c>
      <c r="AR62" s="564">
        <f>+AR61</f>
        <v>904932.23727272719</v>
      </c>
      <c r="AS62" s="564">
        <f t="shared" si="17"/>
        <v>33256259.719772737</v>
      </c>
      <c r="AT62" s="590">
        <f>+AQ$29*AS62+AR62</f>
        <v>4934846.6870174827</v>
      </c>
      <c r="AU62" s="672">
        <f>+AU61</f>
        <v>23125000</v>
      </c>
      <c r="AV62" s="671">
        <f>+AV61</f>
        <v>750000</v>
      </c>
      <c r="AW62" s="671">
        <f t="shared" si="1"/>
        <v>22375000</v>
      </c>
      <c r="AX62" s="653">
        <f>+AU$29*AW62+AV62</f>
        <v>750000</v>
      </c>
      <c r="AY62" s="672">
        <f>+AY61</f>
        <v>15083333.333333332</v>
      </c>
      <c r="AZ62" s="671">
        <f>+AZ61</f>
        <v>500000</v>
      </c>
      <c r="BA62" s="671">
        <f t="shared" si="2"/>
        <v>14583333.333333332</v>
      </c>
      <c r="BB62" s="653">
        <f>+AY$29*BA62+AZ62</f>
        <v>500000</v>
      </c>
      <c r="BC62" s="672">
        <f>+BC61</f>
        <v>23500000</v>
      </c>
      <c r="BD62" s="671">
        <f>+BD61</f>
        <v>750000</v>
      </c>
      <c r="BE62" s="671">
        <f t="shared" si="4"/>
        <v>22750000</v>
      </c>
      <c r="BF62" s="653">
        <f>+BC$29*BE62+BD62</f>
        <v>750000</v>
      </c>
      <c r="BG62" s="672">
        <f>+BG61</f>
        <v>15380952.380952384</v>
      </c>
      <c r="BH62" s="671">
        <f>+BH61</f>
        <v>571428.57142857148</v>
      </c>
      <c r="BI62" s="671">
        <f t="shared" si="5"/>
        <v>14809523.809523813</v>
      </c>
      <c r="BJ62" s="653">
        <f>+BG$29*BI62+BH62</f>
        <v>571428.57142857148</v>
      </c>
      <c r="BK62" s="672">
        <f>+BK61</f>
        <v>21200000</v>
      </c>
      <c r="BL62" s="671">
        <f>+BL61</f>
        <v>1200000</v>
      </c>
      <c r="BM62" s="671">
        <f t="shared" si="9"/>
        <v>20000000</v>
      </c>
      <c r="BN62" s="653">
        <f>+BK$29*BM62+BL62</f>
        <v>1200000</v>
      </c>
      <c r="BO62" s="672">
        <f>+BO61</f>
        <v>15166666.666666662</v>
      </c>
      <c r="BP62" s="671">
        <f>+BP61</f>
        <v>666666.66666666663</v>
      </c>
      <c r="BQ62" s="671">
        <f t="shared" si="10"/>
        <v>14499999.999999996</v>
      </c>
      <c r="BR62" s="653">
        <f>+BO$29*BQ62+BP62</f>
        <v>666666.66666666663</v>
      </c>
      <c r="BS62" s="589">
        <f>+BS61</f>
        <v>315813.68181818188</v>
      </c>
      <c r="BT62" s="564">
        <f>+BT61</f>
        <v>8310.886363636364</v>
      </c>
      <c r="BU62" s="564">
        <f t="shared" si="18"/>
        <v>307502.79545454553</v>
      </c>
      <c r="BV62" s="590">
        <f>+BS$29*BU62+BT62</f>
        <v>45573.343692907161</v>
      </c>
      <c r="BW62" s="589">
        <f>+BW61</f>
        <v>22064176.94318182</v>
      </c>
      <c r="BX62" s="564">
        <f>+BX61</f>
        <v>576841.22727272729</v>
      </c>
      <c r="BY62" s="564">
        <f t="shared" si="20"/>
        <v>21487335.715909094</v>
      </c>
      <c r="BZ62" s="590">
        <f>+BW$29*BY62+BX62</f>
        <v>3049485.9842802705</v>
      </c>
      <c r="CA62" s="589">
        <f>+CA61</f>
        <v>2082097.4400000004</v>
      </c>
      <c r="CB62" s="564">
        <f>+CB61</f>
        <v>54433.919999999998</v>
      </c>
      <c r="CC62" s="564">
        <f t="shared" si="21"/>
        <v>2027663.5200000005</v>
      </c>
      <c r="CD62" s="590">
        <f>+CA$29*CC62+CB62</f>
        <v>300141.36236791027</v>
      </c>
      <c r="CE62" s="589">
        <f>+CE61</f>
        <v>180732.36272727276</v>
      </c>
      <c r="CF62" s="564">
        <f>+CF61</f>
        <v>4725.0290909090909</v>
      </c>
      <c r="CG62" s="564">
        <f t="shared" si="22"/>
        <v>176007.33363636368</v>
      </c>
      <c r="CH62" s="590">
        <f>+CE$29*CG62+CF62</f>
        <v>26053.179131200974</v>
      </c>
      <c r="CI62" s="589">
        <f>+CI61</f>
        <v>485237.04545454541</v>
      </c>
      <c r="CJ62" s="564">
        <f>+CJ61</f>
        <v>12362.727272727272</v>
      </c>
      <c r="CK62" s="564">
        <f t="shared" si="24"/>
        <v>472874.31818181812</v>
      </c>
      <c r="CL62" s="590">
        <f>+CI$29*CK62+CJ62</f>
        <v>66778.51055246091</v>
      </c>
      <c r="CM62" s="589">
        <f>+CM61</f>
        <v>21161509.63778409</v>
      </c>
      <c r="CN62" s="564">
        <f>+CN61</f>
        <v>483691.64886363636</v>
      </c>
      <c r="CO62" s="564">
        <f t="shared" si="34"/>
        <v>20677817.988920454</v>
      </c>
      <c r="CP62" s="590">
        <f>+CM$29*CO62+CN62</f>
        <v>2863181.5452682846</v>
      </c>
      <c r="CQ62" s="589">
        <f>+CQ61</f>
        <v>88275948.438920453</v>
      </c>
      <c r="CR62" s="564">
        <f>+CR61</f>
        <v>2017735.9643181816</v>
      </c>
      <c r="CS62" s="564">
        <f t="shared" si="40"/>
        <v>86258212.474602267</v>
      </c>
      <c r="CT62" s="590">
        <f>+CQ$29*CS62+CR62</f>
        <v>11943858.013328305</v>
      </c>
      <c r="CU62" s="589">
        <f>+CU61</f>
        <v>29752596.390000001</v>
      </c>
      <c r="CV62" s="564">
        <f>+CV61</f>
        <v>676195.37250000006</v>
      </c>
      <c r="CW62" s="564">
        <f t="shared" si="41"/>
        <v>29076401.017500002</v>
      </c>
      <c r="CX62" s="590">
        <f>+CU$29*CW62+CV62</f>
        <v>4022148.145757929</v>
      </c>
      <c r="CY62" s="589">
        <f>+CY61</f>
        <v>32283.850000000057</v>
      </c>
      <c r="CZ62" s="564">
        <f>+CZ61</f>
        <v>366.86193181818248</v>
      </c>
      <c r="DA62" s="564">
        <f t="shared" si="42"/>
        <v>31916.988068181876</v>
      </c>
      <c r="DB62" s="590">
        <f>+(((CY$29*DA62)*(12-CY$32)/12))+CZ62</f>
        <v>2203.277908412033</v>
      </c>
      <c r="DC62" s="589">
        <f>+DC61</f>
        <v>1959349.5999999999</v>
      </c>
      <c r="DD62" s="564">
        <f>+DD61</f>
        <v>33398.00454545454</v>
      </c>
      <c r="DE62" s="564">
        <f t="shared" si="43"/>
        <v>1925951.5954545452</v>
      </c>
      <c r="DF62" s="590">
        <f>+(((DC$29*DE62)*(12-DC$32)/12))+DD62</f>
        <v>199618.96526785908</v>
      </c>
      <c r="DG62" s="589">
        <f>+DG61</f>
        <v>1084136.8699999999</v>
      </c>
      <c r="DH62" s="564">
        <f>+DH61</f>
        <v>12319.73715909091</v>
      </c>
      <c r="DI62" s="564">
        <f t="shared" si="44"/>
        <v>1071817.1328409091</v>
      </c>
      <c r="DJ62" s="590">
        <f>+(((DG$29*DI62)*(12-DG$32)/12))+DH62</f>
        <v>73989.156044460731</v>
      </c>
      <c r="DK62" s="589">
        <f>+DK61</f>
        <v>24184987.59</v>
      </c>
      <c r="DL62" s="564">
        <f>+DL61</f>
        <v>458049.00738636358</v>
      </c>
      <c r="DM62" s="564">
        <f t="shared" si="45"/>
        <v>23726938.582613636</v>
      </c>
      <c r="DN62" s="590">
        <f>+(((DK$29*DM62)*(12-DK$32)/12))+DL62</f>
        <v>2733353.984769776</v>
      </c>
      <c r="DR62" s="590"/>
      <c r="DV62" s="590"/>
      <c r="DZ62" s="590"/>
      <c r="ED62" s="590"/>
      <c r="EH62" s="590"/>
      <c r="EL62" s="590"/>
      <c r="EP62" s="590"/>
      <c r="EQ62" s="678">
        <f t="shared" ref="EQ62" si="46">+R62+J62+F62+N62+V62+Z62+AD62+AH62+AL62+AP62+AT62+BV62+BZ62+CD62+CH62+CL62+CP62+CT62+CX62+DB62+DF62+DJ62+DN62</f>
        <v>44033022.226881005</v>
      </c>
      <c r="ER62" s="675">
        <f>+EQ62</f>
        <v>44033022.226881005</v>
      </c>
      <c r="ES62" s="648"/>
      <c r="ET62" s="900"/>
      <c r="EV62" s="589">
        <f>+EV61</f>
        <v>9106773.6333333347</v>
      </c>
      <c r="EW62" s="564">
        <f>+EW61</f>
        <v>1270712.6000000001</v>
      </c>
      <c r="EX62" s="564">
        <f t="shared" si="25"/>
        <v>7836061.0333333351</v>
      </c>
      <c r="EY62" s="590">
        <f t="shared" ref="EY62:EY76" si="47">+EV$29*EX62+EW62</f>
        <v>2378134.1098809177</v>
      </c>
      <c r="EZ62" s="589">
        <f>+EZ61</f>
        <v>7155235.1999999993</v>
      </c>
      <c r="FA62" s="564">
        <f>+FA61</f>
        <v>894404.4</v>
      </c>
      <c r="FB62" s="564">
        <f t="shared" si="26"/>
        <v>6260830.7999999989</v>
      </c>
      <c r="FC62" s="590">
        <f t="shared" ref="FC62:FC76" si="48">+EZ$29*FB62+FA62</f>
        <v>1779208.4703296567</v>
      </c>
      <c r="FD62" s="589">
        <f>+FD61</f>
        <v>1111963.8454166665</v>
      </c>
      <c r="FE62" s="564">
        <f>+FE61</f>
        <v>140458.59099999999</v>
      </c>
      <c r="FF62" s="564">
        <f t="shared" si="27"/>
        <v>971505.25441666646</v>
      </c>
      <c r="FG62" s="590">
        <f t="shared" ref="FG62:FG76" si="49">+FD$29*FF62+FE62</f>
        <v>277755.35414755472</v>
      </c>
      <c r="FH62" s="589">
        <f>+FH61</f>
        <v>135682.40000000002</v>
      </c>
      <c r="FI62" s="564">
        <f>+FI61</f>
        <v>16960.3</v>
      </c>
      <c r="FJ62" s="564">
        <f t="shared" si="28"/>
        <v>118722.10000000002</v>
      </c>
      <c r="FK62" s="590">
        <f t="shared" ref="FK62:FK76" si="50">+FH$29*FJ62+FI62</f>
        <v>33738.552068093675</v>
      </c>
      <c r="FL62" s="589">
        <f>+FL61</f>
        <v>10239.252333333334</v>
      </c>
      <c r="FM62" s="564">
        <f>+FM61</f>
        <v>1253.7860000000001</v>
      </c>
      <c r="FN62" s="564">
        <f t="shared" si="33"/>
        <v>8985.4663333333338</v>
      </c>
      <c r="FO62" s="590">
        <f t="shared" ref="FO62:FO74" si="51">+FL$29*FN62+FM62</f>
        <v>2523.6457741282884</v>
      </c>
      <c r="FP62" s="589">
        <f>+FP61</f>
        <v>33274394.834999997</v>
      </c>
      <c r="FQ62" s="564">
        <f>+FQ61</f>
        <v>4033259.9799999995</v>
      </c>
      <c r="FR62" s="564">
        <f t="shared" si="29"/>
        <v>29241134.854999997</v>
      </c>
      <c r="FS62" s="590">
        <f t="shared" ref="FS62:FS74" si="52">+FP$29*FR62+FQ62</f>
        <v>8165726.7351728752</v>
      </c>
      <c r="FT62" s="589">
        <f>+FT61</f>
        <v>455374.51883333339</v>
      </c>
      <c r="FU62" s="564">
        <f>+FU61</f>
        <v>53053.342000000004</v>
      </c>
      <c r="FV62" s="564">
        <f t="shared" si="30"/>
        <v>402321.17683333339</v>
      </c>
      <c r="FW62" s="590">
        <f t="shared" ref="FW62:FW74" si="53">+FT$29*FV62+FU62</f>
        <v>109910.87835794647</v>
      </c>
      <c r="FX62" s="589">
        <f>+FX61</f>
        <v>-462699.12349999975</v>
      </c>
      <c r="FY62" s="564">
        <f>+FY61</f>
        <v>-53906.693999999974</v>
      </c>
      <c r="FZ62" s="564">
        <f t="shared" si="31"/>
        <v>-408792.42949999979</v>
      </c>
      <c r="GA62" s="590">
        <f t="shared" ref="GA62:GA76" si="54">+FX$29*FZ62+FY62</f>
        <v>-111678.7720350028</v>
      </c>
      <c r="GB62" s="589">
        <f>+GB61</f>
        <v>29393117.633833334</v>
      </c>
      <c r="GC62" s="564">
        <f>+GC61</f>
        <v>3327522.7509999997</v>
      </c>
      <c r="GD62" s="564">
        <f t="shared" si="32"/>
        <v>26065594.882833336</v>
      </c>
      <c r="GE62" s="590">
        <f t="shared" ref="GE62:GE76" si="55">+GB$29*GD62+GC62</f>
        <v>7011210.2973708119</v>
      </c>
      <c r="GF62" s="589">
        <f>+GF61</f>
        <v>443921.41275000002</v>
      </c>
      <c r="GG62" s="564">
        <f>+GG61</f>
        <v>49785.578999999998</v>
      </c>
      <c r="GH62" s="564">
        <f t="shared" si="37"/>
        <v>394135.83374999999</v>
      </c>
      <c r="GI62" s="590">
        <f t="shared" ref="GI62:GI76" si="56">+GF$29*GH62+GG62</f>
        <v>105486.33199986911</v>
      </c>
      <c r="GJ62" s="589">
        <f>+GJ61</f>
        <v>1668258.8145000001</v>
      </c>
      <c r="GK62" s="564">
        <f>+GK61</f>
        <v>175606.19100000002</v>
      </c>
      <c r="GL62" s="564">
        <f t="shared" si="38"/>
        <v>1492652.6235</v>
      </c>
      <c r="GM62" s="590">
        <f t="shared" ref="GM62:GM76" si="57">+GJ$29*GL62+GK62</f>
        <v>386553.45328043745</v>
      </c>
      <c r="GN62" s="589">
        <f>+GN61</f>
        <v>36868090.68999999</v>
      </c>
      <c r="GO62" s="564">
        <f>+GO61</f>
        <v>2150638.6235833326</v>
      </c>
      <c r="GP62" s="564">
        <f t="shared" ref="GP62:GP76" si="58">+GN62-GO62</f>
        <v>34717452.066416658</v>
      </c>
      <c r="GQ62" s="590">
        <f>+(((GN$29*GP62)*(12-GN$32)/12))+GO62</f>
        <v>5012705.53834063</v>
      </c>
      <c r="GU62" s="590"/>
      <c r="GY62" s="1366"/>
      <c r="GZ62" s="649"/>
      <c r="HA62" s="652"/>
      <c r="HB62" s="652"/>
      <c r="HC62" s="1366"/>
      <c r="HD62" s="649"/>
      <c r="HE62" s="652"/>
      <c r="HF62" s="652"/>
      <c r="HG62" s="1366"/>
      <c r="HI62" s="589"/>
      <c r="HJ62" s="564"/>
      <c r="HK62" s="564"/>
      <c r="HL62" s="590"/>
      <c r="HM62" s="589">
        <f>+HM61</f>
        <v>1159350</v>
      </c>
      <c r="HN62" s="564">
        <f>+HN61</f>
        <v>1159350</v>
      </c>
      <c r="HO62" s="564">
        <f>+HO61</f>
        <v>579675</v>
      </c>
      <c r="HP62" s="590">
        <f>+HM$29*HO62+HN62</f>
        <v>1207659.3677645056</v>
      </c>
      <c r="HQ62" s="589">
        <f>+HQ61</f>
        <v>0</v>
      </c>
      <c r="HR62" s="564">
        <f>+HR61</f>
        <v>0</v>
      </c>
      <c r="HS62" s="564">
        <f>+HS61</f>
        <v>0</v>
      </c>
      <c r="HT62" s="590">
        <f>+HQ$29*HS62+HR62</f>
        <v>0</v>
      </c>
    </row>
    <row r="63" spans="1:228">
      <c r="A63" s="649" t="s">
        <v>24</v>
      </c>
      <c r="B63" s="670">
        <f t="shared" si="0"/>
        <v>2018</v>
      </c>
      <c r="C63" s="671">
        <f>+E62</f>
        <v>15491271.447159089</v>
      </c>
      <c r="D63" s="671">
        <f>+C$31</f>
        <v>445791.98409090913</v>
      </c>
      <c r="E63" s="671">
        <f t="shared" si="6"/>
        <v>15045479.46306818</v>
      </c>
      <c r="F63" s="653">
        <f>+C$28*E63+D63</f>
        <v>2177143.2508501457</v>
      </c>
      <c r="G63" s="671">
        <f>+I62</f>
        <v>3996505.8593181791</v>
      </c>
      <c r="H63" s="671">
        <f>+G$31</f>
        <v>115840.74954545456</v>
      </c>
      <c r="I63" s="671">
        <f t="shared" si="7"/>
        <v>3880665.1097727246</v>
      </c>
      <c r="J63" s="653">
        <f>+G$28*I63+H63</f>
        <v>562406.40869682038</v>
      </c>
      <c r="K63" s="672">
        <f>+M62</f>
        <v>10307916.938352268</v>
      </c>
      <c r="L63" s="671">
        <f>+K$31</f>
        <v>305419.76113636367</v>
      </c>
      <c r="M63" s="671">
        <f t="shared" si="8"/>
        <v>10002497.177215904</v>
      </c>
      <c r="N63" s="653">
        <f>+K$28*M63+L63</f>
        <v>1456452.2823024837</v>
      </c>
      <c r="O63" s="672">
        <f>+Q62</f>
        <v>4275501.4015151504</v>
      </c>
      <c r="P63" s="671">
        <f>+O$31</f>
        <v>119316.31818181818</v>
      </c>
      <c r="Q63" s="671">
        <f t="shared" si="11"/>
        <v>4156185.0833333321</v>
      </c>
      <c r="R63" s="653">
        <f>+O$28*Q63+P63</f>
        <v>597587.30493092292</v>
      </c>
      <c r="S63" s="589">
        <f>+U62</f>
        <v>1992453.2696969681</v>
      </c>
      <c r="T63" s="564">
        <f>+S$31</f>
        <v>58315.705454545445</v>
      </c>
      <c r="U63" s="564">
        <f t="shared" si="12"/>
        <v>1934137.5642424226</v>
      </c>
      <c r="V63" s="590">
        <f>+S$28*U63+T63</f>
        <v>280885.64948043413</v>
      </c>
      <c r="W63" s="589">
        <f>+Y62</f>
        <v>24843021.155303031</v>
      </c>
      <c r="X63" s="564">
        <f>+W$31</f>
        <v>693293.61363636365</v>
      </c>
      <c r="Y63" s="564">
        <f t="shared" si="13"/>
        <v>24149727.541666668</v>
      </c>
      <c r="Z63" s="590">
        <f>+W$28*Y63+X63</f>
        <v>3472311.8213172299</v>
      </c>
      <c r="AA63" s="589">
        <f>+AC62</f>
        <v>16192429.19507575</v>
      </c>
      <c r="AB63" s="564">
        <f>+AA$31</f>
        <v>450833.29545454547</v>
      </c>
      <c r="AC63" s="564">
        <f t="shared" si="14"/>
        <v>15741595.899621205</v>
      </c>
      <c r="AD63" s="590">
        <f>+AA$28*AC63+AB63</f>
        <v>2262289.8242093497</v>
      </c>
      <c r="AE63" s="589">
        <f>+AG62</f>
        <v>163224.965909091</v>
      </c>
      <c r="AF63" s="564">
        <f>+AE$31</f>
        <v>4597.886363636364</v>
      </c>
      <c r="AG63" s="564">
        <f t="shared" si="15"/>
        <v>158627.07954545465</v>
      </c>
      <c r="AH63" s="590">
        <f>+AE$28*AG63+AF63</f>
        <v>22851.820762170631</v>
      </c>
      <c r="AI63" s="589">
        <f>+AK62</f>
        <v>10885997.071969697</v>
      </c>
      <c r="AJ63" s="564">
        <f>+AI$31</f>
        <v>295547.43181818182</v>
      </c>
      <c r="AK63" s="564">
        <f t="shared" si="19"/>
        <v>10590449.640151516</v>
      </c>
      <c r="AL63" s="590">
        <f>+AI$28*AK63+AJ63</f>
        <v>1514238.2980703809</v>
      </c>
      <c r="AM63" s="589">
        <f>+AO62</f>
        <v>4046642.4223863622</v>
      </c>
      <c r="AN63" s="564">
        <f>+AM$31</f>
        <v>110866.91568181818</v>
      </c>
      <c r="AO63" s="564">
        <f t="shared" si="16"/>
        <v>3935775.5067045442</v>
      </c>
      <c r="AP63" s="590">
        <f>+AM$28*AO63+AN63</f>
        <v>563774.37708506465</v>
      </c>
      <c r="AQ63" s="589">
        <f>+AS62</f>
        <v>33256259.719772737</v>
      </c>
      <c r="AR63" s="564">
        <f>+AQ$31</f>
        <v>904932.23727272719</v>
      </c>
      <c r="AS63" s="564">
        <f t="shared" si="17"/>
        <v>32351327.482500009</v>
      </c>
      <c r="AT63" s="590">
        <f>+AQ$28*AS63+AR63</f>
        <v>4627745.5883300714</v>
      </c>
      <c r="AU63" s="672">
        <f>+AW62</f>
        <v>22375000</v>
      </c>
      <c r="AV63" s="671">
        <f>+AU$31</f>
        <v>750000</v>
      </c>
      <c r="AW63" s="671">
        <f t="shared" si="1"/>
        <v>21625000</v>
      </c>
      <c r="AX63" s="653">
        <f>+AU$28*AW63+AV63</f>
        <v>750000</v>
      </c>
      <c r="AY63" s="672">
        <f>+BA62</f>
        <v>14583333.333333332</v>
      </c>
      <c r="AZ63" s="671">
        <f>+AY$31</f>
        <v>500000</v>
      </c>
      <c r="BA63" s="671">
        <f t="shared" si="2"/>
        <v>14083333.333333332</v>
      </c>
      <c r="BB63" s="653">
        <f>+AY$28*BA63+AZ63</f>
        <v>500000</v>
      </c>
      <c r="BC63" s="672">
        <f>+BE62</f>
        <v>22750000</v>
      </c>
      <c r="BD63" s="671">
        <f>+BC$31</f>
        <v>750000</v>
      </c>
      <c r="BE63" s="671">
        <f t="shared" si="4"/>
        <v>22000000</v>
      </c>
      <c r="BF63" s="653">
        <f>+BC$28*BE63+BD63</f>
        <v>750000</v>
      </c>
      <c r="BG63" s="672">
        <f>+BI62</f>
        <v>14809523.809523813</v>
      </c>
      <c r="BH63" s="671">
        <f>+BG$31</f>
        <v>571428.57142857148</v>
      </c>
      <c r="BI63" s="671">
        <f t="shared" si="5"/>
        <v>14238095.238095243</v>
      </c>
      <c r="BJ63" s="653">
        <f>+BG$28*BI63+BH63</f>
        <v>571428.57142857148</v>
      </c>
      <c r="BK63" s="672">
        <f>+BM62</f>
        <v>20000000</v>
      </c>
      <c r="BL63" s="671">
        <f>+BK$31</f>
        <v>1200000</v>
      </c>
      <c r="BM63" s="671">
        <f t="shared" si="9"/>
        <v>18800000</v>
      </c>
      <c r="BN63" s="653">
        <f>+BK$28*BM63+BL63</f>
        <v>1200000</v>
      </c>
      <c r="BO63" s="672">
        <f>+BQ62</f>
        <v>14499999.999999996</v>
      </c>
      <c r="BP63" s="671">
        <f>+BO$31</f>
        <v>666666.66666666663</v>
      </c>
      <c r="BQ63" s="671">
        <f t="shared" si="10"/>
        <v>13833333.33333333</v>
      </c>
      <c r="BR63" s="653">
        <f>+BO$28*BQ63+BP63</f>
        <v>666666.66666666663</v>
      </c>
      <c r="BS63" s="589">
        <f>+BU62</f>
        <v>307502.79545454553</v>
      </c>
      <c r="BT63" s="564">
        <f>+BS$31</f>
        <v>8310.886363636364</v>
      </c>
      <c r="BU63" s="564">
        <f t="shared" si="18"/>
        <v>299191.90909090918</v>
      </c>
      <c r="BV63" s="590">
        <f>+BS$28*BU63+BT63</f>
        <v>42740.250484613643</v>
      </c>
      <c r="BW63" s="589">
        <f>+BY62</f>
        <v>21487335.715909094</v>
      </c>
      <c r="BX63" s="564">
        <f>+BW$31</f>
        <v>576841.22727272729</v>
      </c>
      <c r="BY63" s="564">
        <f t="shared" si="20"/>
        <v>20910494.488636367</v>
      </c>
      <c r="BZ63" s="590">
        <f>+BW$28*BY63+BX63</f>
        <v>2983106.2592599336</v>
      </c>
      <c r="CA63" s="589">
        <f>+CC62</f>
        <v>2027663.5200000005</v>
      </c>
      <c r="CB63" s="564">
        <f>+CA$31</f>
        <v>54433.919999999998</v>
      </c>
      <c r="CC63" s="564">
        <f t="shared" si="21"/>
        <v>1973229.6000000006</v>
      </c>
      <c r="CD63" s="590">
        <f>+CA$28*CC63+CB63</f>
        <v>281502.36111900018</v>
      </c>
      <c r="CE63" s="589">
        <f>+CG62</f>
        <v>176007.33363636368</v>
      </c>
      <c r="CF63" s="564">
        <f>+CE$31</f>
        <v>4725.0290909090909</v>
      </c>
      <c r="CG63" s="564">
        <f t="shared" si="22"/>
        <v>171282.30454545459</v>
      </c>
      <c r="CH63" s="590">
        <f>+CE$28*CG63+CF63</f>
        <v>24435.257380818282</v>
      </c>
      <c r="CI63" s="589">
        <f>+CK62</f>
        <v>472874.31818181812</v>
      </c>
      <c r="CJ63" s="564">
        <f>+CI$31</f>
        <v>12362.727272727272</v>
      </c>
      <c r="CK63" s="564">
        <f t="shared" si="24"/>
        <v>460511.59090909082</v>
      </c>
      <c r="CL63" s="590">
        <f>+CI$28*CK63+CJ63</f>
        <v>65355.875695474402</v>
      </c>
      <c r="CM63" s="589">
        <f>+CO62</f>
        <v>20677817.988920454</v>
      </c>
      <c r="CN63" s="564">
        <f>+CM$31</f>
        <v>483691.64886363636</v>
      </c>
      <c r="CO63" s="564">
        <f t="shared" si="34"/>
        <v>20194126.340056818</v>
      </c>
      <c r="CP63" s="590">
        <f>+CM$28*CO63+CN63</f>
        <v>2807520.962896246</v>
      </c>
      <c r="CQ63" s="589">
        <f>+CS62</f>
        <v>86258212.474602267</v>
      </c>
      <c r="CR63" s="564">
        <f>+CQ$31</f>
        <v>2017735.9643181816</v>
      </c>
      <c r="CS63" s="564">
        <f t="shared" si="40"/>
        <v>84240476.510284081</v>
      </c>
      <c r="CT63" s="590">
        <f>+CQ$28*CS63+CR63</f>
        <v>11711668.023877775</v>
      </c>
      <c r="CU63" s="589">
        <f>+CW62</f>
        <v>29076401.017500002</v>
      </c>
      <c r="CV63" s="564">
        <f>+CU$31</f>
        <v>676195.37250000006</v>
      </c>
      <c r="CW63" s="564">
        <f t="shared" si="41"/>
        <v>28400205.645000003</v>
      </c>
      <c r="CX63" s="590">
        <f>+CU$28*CW63+CV63</f>
        <v>3944335.2905658842</v>
      </c>
      <c r="CY63" s="589">
        <f>+DA62</f>
        <v>31916.988068181876</v>
      </c>
      <c r="CZ63" s="564">
        <f>+CY$31</f>
        <v>733.72386363636497</v>
      </c>
      <c r="DA63" s="564">
        <f t="shared" si="42"/>
        <v>31183.26420454551</v>
      </c>
      <c r="DB63" s="590">
        <f>+CY$28*DA63+CZ63</f>
        <v>4322.1228983599804</v>
      </c>
      <c r="DC63" s="589">
        <f>+DE62</f>
        <v>1925951.5954545452</v>
      </c>
      <c r="DD63" s="564">
        <f>+DC$31</f>
        <v>44530.672727272722</v>
      </c>
      <c r="DE63" s="564">
        <f t="shared" si="43"/>
        <v>1881420.9227272726</v>
      </c>
      <c r="DF63" s="590">
        <f>+DC$28*DE63+DD63</f>
        <v>261034.27474720622</v>
      </c>
      <c r="DG63" s="589">
        <f>+DI62</f>
        <v>1071817.1328409091</v>
      </c>
      <c r="DH63" s="564">
        <f>+DG$31</f>
        <v>24639.474318181816</v>
      </c>
      <c r="DI63" s="564">
        <f t="shared" si="44"/>
        <v>1047177.6585227272</v>
      </c>
      <c r="DJ63" s="590">
        <f>+DG$28*DI63+DH63</f>
        <v>145142.93650798491</v>
      </c>
      <c r="DK63" s="589">
        <f>+DM62</f>
        <v>23726938.582613636</v>
      </c>
      <c r="DL63" s="564">
        <f>+DK$31</f>
        <v>549658.80886363634</v>
      </c>
      <c r="DM63" s="564">
        <f t="shared" si="45"/>
        <v>23177279.77375</v>
      </c>
      <c r="DN63" s="590">
        <f>+DK$28*DM63+DL63</f>
        <v>3216773.0603447333</v>
      </c>
      <c r="DO63" s="589">
        <f>+DO30</f>
        <v>862078.96999999951</v>
      </c>
      <c r="DP63" s="564">
        <f>+DO$31/12*(12-$DO$32)</f>
        <v>16327.253219696961</v>
      </c>
      <c r="DQ63" s="564">
        <f>+DO63-DP63</f>
        <v>845751.71678030258</v>
      </c>
      <c r="DR63" s="590">
        <f>+(((DO$28*DQ63)*(12-DO$32)/12))+DP63</f>
        <v>97430.977752911174</v>
      </c>
      <c r="DS63" s="589">
        <f>+DS30</f>
        <v>365013.11999999866</v>
      </c>
      <c r="DT63" s="564">
        <f>+DS$31/12*(12-DS$32)</f>
        <v>4147.8763636363483</v>
      </c>
      <c r="DU63" s="564">
        <f>+DS63-DT63</f>
        <v>360865.24363636231</v>
      </c>
      <c r="DV63" s="590">
        <f>+(((DS$28*DU63)*(12-DS$32)/12))+DT63</f>
        <v>24911.072984682618</v>
      </c>
      <c r="DW63" s="589">
        <f>+DW30</f>
        <v>53757.59</v>
      </c>
      <c r="DX63" s="564">
        <f>+DW$31/12*(12-DW$32)</f>
        <v>916.32255681818174</v>
      </c>
      <c r="DY63" s="564">
        <f>+DW63-DX63</f>
        <v>52841.267443181816</v>
      </c>
      <c r="DZ63" s="590">
        <f>+(((DW$28*DY63)*(12-DW$32)/12))+DX63</f>
        <v>5476.835012543861</v>
      </c>
      <c r="EA63" s="589">
        <f>+EA30</f>
        <v>-313293.270000002</v>
      </c>
      <c r="EB63" s="564">
        <f>+EA$31/12*(12-EA$32)</f>
        <v>-593.35846590909466</v>
      </c>
      <c r="EC63" s="564">
        <f>+EA63-EB63</f>
        <v>-312699.91153409291</v>
      </c>
      <c r="ED63" s="590">
        <f>+(((EA$28*EC63)*(12-EA$32)/12))+EB63</f>
        <v>-3592.0077128972016</v>
      </c>
      <c r="EE63" s="589"/>
      <c r="EF63" s="564"/>
      <c r="EG63" s="564"/>
      <c r="EH63" s="590"/>
      <c r="EI63" s="589"/>
      <c r="EJ63" s="564"/>
      <c r="EK63" s="564"/>
      <c r="EL63" s="590"/>
      <c r="EM63" s="589"/>
      <c r="EN63" s="564"/>
      <c r="EO63" s="564"/>
      <c r="EP63" s="590"/>
      <c r="EQ63" s="678">
        <f>+R63+J63+F63+N63+V63+Z63+AD63+AH63+AL63+AP63+AT63+BV63+BZ63+CD63+CH63+CL63+CP63+CT63+CX63+DB63+DF63+DJ63+DN63+DR63+DV63+DZ63+ED63</f>
        <v>43149850.179850332</v>
      </c>
      <c r="ER63" s="652"/>
      <c r="ES63" s="674">
        <f>+EQ63</f>
        <v>43149850.179850332</v>
      </c>
      <c r="EV63" s="589">
        <f>+EX62</f>
        <v>7836061.0333333351</v>
      </c>
      <c r="EW63" s="564">
        <f>+EW62</f>
        <v>1270712.6000000001</v>
      </c>
      <c r="EX63" s="564">
        <f t="shared" si="25"/>
        <v>6565348.4333333354</v>
      </c>
      <c r="EY63" s="590">
        <f t="shared" si="47"/>
        <v>2198552.2434137417</v>
      </c>
      <c r="EZ63" s="589">
        <f>+FB62</f>
        <v>6260830.7999999989</v>
      </c>
      <c r="FA63" s="564">
        <f>+FA62</f>
        <v>894404.4</v>
      </c>
      <c r="FB63" s="564">
        <f t="shared" si="26"/>
        <v>5366426.3999999985</v>
      </c>
      <c r="FC63" s="590">
        <f t="shared" si="48"/>
        <v>1652807.8888539914</v>
      </c>
      <c r="FD63" s="589">
        <f>+FF62</f>
        <v>971505.25441666646</v>
      </c>
      <c r="FE63" s="564">
        <f>+FE62</f>
        <v>140458.59099999999</v>
      </c>
      <c r="FF63" s="564">
        <f t="shared" si="27"/>
        <v>831046.66341666644</v>
      </c>
      <c r="FG63" s="590">
        <f t="shared" si="49"/>
        <v>257905.21971658291</v>
      </c>
      <c r="FH63" s="589">
        <f>+FJ62</f>
        <v>118722.10000000002</v>
      </c>
      <c r="FI63" s="564">
        <f>+FI62</f>
        <v>16960.3</v>
      </c>
      <c r="FJ63" s="564">
        <f t="shared" si="28"/>
        <v>101761.80000000002</v>
      </c>
      <c r="FK63" s="590">
        <f t="shared" si="50"/>
        <v>31341.658915508866</v>
      </c>
      <c r="FL63" s="589">
        <f>+FN62</f>
        <v>8985.4663333333338</v>
      </c>
      <c r="FM63" s="564">
        <f>+FM62</f>
        <v>1253.7860000000001</v>
      </c>
      <c r="FN63" s="564">
        <f t="shared" si="33"/>
        <v>7731.6803333333337</v>
      </c>
      <c r="FO63" s="590">
        <f t="shared" si="51"/>
        <v>2346.456038203411</v>
      </c>
      <c r="FP63" s="589">
        <f>+FR62</f>
        <v>29241134.854999997</v>
      </c>
      <c r="FQ63" s="564">
        <f>+FQ62</f>
        <v>4033259.9799999995</v>
      </c>
      <c r="FR63" s="564">
        <f t="shared" si="29"/>
        <v>25207874.874999996</v>
      </c>
      <c r="FS63" s="590">
        <f t="shared" si="52"/>
        <v>7595731.3206662722</v>
      </c>
      <c r="FT63" s="589">
        <f>+FV62</f>
        <v>402321.17683333339</v>
      </c>
      <c r="FU63" s="564">
        <f>+FU62</f>
        <v>53053.342000000004</v>
      </c>
      <c r="FV63" s="564">
        <f t="shared" si="30"/>
        <v>349267.83483333339</v>
      </c>
      <c r="FW63" s="590">
        <f t="shared" si="53"/>
        <v>102413.18125579969</v>
      </c>
      <c r="FX63" s="589">
        <f>+FZ62</f>
        <v>-408792.42949999979</v>
      </c>
      <c r="FY63" s="564">
        <f>+FY62</f>
        <v>-53906.693999999974</v>
      </c>
      <c r="FZ63" s="564">
        <f t="shared" si="31"/>
        <v>-354885.73549999984</v>
      </c>
      <c r="GA63" s="590">
        <f t="shared" si="54"/>
        <v>-104060.47603038704</v>
      </c>
      <c r="GB63" s="589">
        <f>+GD62</f>
        <v>26065594.882833336</v>
      </c>
      <c r="GC63" s="564">
        <f>+GC62</f>
        <v>3327522.7509999997</v>
      </c>
      <c r="GD63" s="564">
        <f t="shared" si="32"/>
        <v>22738072.131833337</v>
      </c>
      <c r="GE63" s="590">
        <f t="shared" si="55"/>
        <v>6540952.3127277307</v>
      </c>
      <c r="GF63" s="589">
        <f>+GH62</f>
        <v>394135.83374999999</v>
      </c>
      <c r="GG63" s="564">
        <f>+GG62</f>
        <v>49785.578999999998</v>
      </c>
      <c r="GH63" s="564">
        <f t="shared" si="37"/>
        <v>344350.25474999996</v>
      </c>
      <c r="GI63" s="590">
        <f t="shared" si="56"/>
        <v>98450.447410411958</v>
      </c>
      <c r="GJ63" s="589">
        <f>+GL62</f>
        <v>1492652.6235</v>
      </c>
      <c r="GK63" s="564">
        <f>+GK62</f>
        <v>175606.19100000002</v>
      </c>
      <c r="GL63" s="564">
        <f t="shared" si="38"/>
        <v>1317046.4324999999</v>
      </c>
      <c r="GM63" s="590">
        <f t="shared" si="57"/>
        <v>361736.12830626837</v>
      </c>
      <c r="GN63" s="589">
        <f>+GP62</f>
        <v>34717452.066416658</v>
      </c>
      <c r="GO63" s="564">
        <f>+GN31</f>
        <v>3686809.0689999992</v>
      </c>
      <c r="GP63" s="564">
        <f t="shared" si="58"/>
        <v>31030642.99741666</v>
      </c>
      <c r="GQ63" s="590">
        <f t="shared" ref="GQ63:GQ76" si="59">+GN$29*GP63+GO63</f>
        <v>8072175.8208152261</v>
      </c>
      <c r="GR63" s="589">
        <f>+GR30</f>
        <v>80280476.510000005</v>
      </c>
      <c r="GS63" s="564">
        <f>+GR$31/12*(12-$GR$32)</f>
        <v>2676015.8836666667</v>
      </c>
      <c r="GT63" s="564">
        <f>+GR63-GS63</f>
        <v>77604460.626333341</v>
      </c>
      <c r="GU63" s="590">
        <f>+(((GR$28*GT63)*(12-GR$32)/12))+GS63</f>
        <v>6331800.2798800971</v>
      </c>
      <c r="GV63" s="672"/>
      <c r="GW63" s="676"/>
      <c r="GX63" s="676"/>
      <c r="GY63" s="1366"/>
      <c r="GZ63" s="672"/>
      <c r="HA63" s="671"/>
      <c r="HB63" s="671"/>
      <c r="HC63" s="1366"/>
      <c r="HD63" s="672"/>
      <c r="HE63" s="671"/>
      <c r="HF63" s="671"/>
      <c r="HG63" s="1366"/>
      <c r="HH63" s="676"/>
      <c r="HI63" s="589"/>
      <c r="HJ63" s="564"/>
      <c r="HK63" s="564"/>
      <c r="HL63" s="590"/>
      <c r="HM63" s="589"/>
      <c r="HN63" s="564"/>
      <c r="HO63" s="564"/>
      <c r="HP63" s="590"/>
      <c r="HQ63" s="589"/>
      <c r="HR63" s="564"/>
      <c r="HS63" s="564"/>
      <c r="HT63" s="590"/>
    </row>
    <row r="64" spans="1:228" ht="13">
      <c r="A64" s="649" t="s">
        <v>23</v>
      </c>
      <c r="B64" s="670">
        <f t="shared" si="0"/>
        <v>2018</v>
      </c>
      <c r="C64" s="671">
        <f>+C63</f>
        <v>15491271.447159089</v>
      </c>
      <c r="D64" s="671">
        <f>+D63</f>
        <v>445791.98409090913</v>
      </c>
      <c r="E64" s="671">
        <f t="shared" si="6"/>
        <v>15045479.46306818</v>
      </c>
      <c r="F64" s="653">
        <f>+C$29*E64+D64</f>
        <v>2268967.398357573</v>
      </c>
      <c r="G64" s="671">
        <f>+G63</f>
        <v>3996505.8593181791</v>
      </c>
      <c r="H64" s="671">
        <f>+H63</f>
        <v>115840.74954545456</v>
      </c>
      <c r="I64" s="671">
        <f t="shared" si="7"/>
        <v>3880665.1097727246</v>
      </c>
      <c r="J64" s="653">
        <f>+G$29*I64+H64</f>
        <v>586090.51702592976</v>
      </c>
      <c r="K64" s="672">
        <f>+K63</f>
        <v>10307916.938352268</v>
      </c>
      <c r="L64" s="671">
        <f>+L63</f>
        <v>305419.76113636367</v>
      </c>
      <c r="M64" s="671">
        <f t="shared" si="8"/>
        <v>10002497.177215904</v>
      </c>
      <c r="N64" s="653">
        <f>+K$29*M64+L64</f>
        <v>1517498.5772044072</v>
      </c>
      <c r="O64" s="672">
        <f>+O63</f>
        <v>4275501.4015151504</v>
      </c>
      <c r="P64" s="671">
        <f>+P63</f>
        <v>119316.31818181818</v>
      </c>
      <c r="Q64" s="671">
        <f t="shared" si="11"/>
        <v>4156185.0833333321</v>
      </c>
      <c r="R64" s="653">
        <f>+O$29*Q64+P64</f>
        <v>622952.94070856413</v>
      </c>
      <c r="S64" s="589">
        <f>+S63</f>
        <v>1992453.2696969681</v>
      </c>
      <c r="T64" s="564">
        <f>+T63</f>
        <v>58315.705454545445</v>
      </c>
      <c r="U64" s="564">
        <f t="shared" si="12"/>
        <v>1934137.5642424226</v>
      </c>
      <c r="V64" s="590">
        <f>+S$29*U64+T64</f>
        <v>292689.8949639101</v>
      </c>
      <c r="W64" s="589">
        <f>+W63</f>
        <v>24843021.155303031</v>
      </c>
      <c r="X64" s="564">
        <f>+X63</f>
        <v>693293.61363636365</v>
      </c>
      <c r="Y64" s="564">
        <f t="shared" si="13"/>
        <v>24149727.541666668</v>
      </c>
      <c r="Z64" s="590">
        <f>+W$29*Y64+X64</f>
        <v>3619700.1547693806</v>
      </c>
      <c r="AA64" s="589">
        <f>+AA63</f>
        <v>16192429.19507575</v>
      </c>
      <c r="AB64" s="564">
        <f>+AB63</f>
        <v>450833.29545454547</v>
      </c>
      <c r="AC64" s="564">
        <f t="shared" si="14"/>
        <v>15741595.899621205</v>
      </c>
      <c r="AD64" s="590">
        <f>+AA$29*AC64+AB64</f>
        <v>2358362.4437252157</v>
      </c>
      <c r="AE64" s="589">
        <f>+AE63</f>
        <v>163224.965909091</v>
      </c>
      <c r="AF64" s="564">
        <f>+AF63</f>
        <v>4597.886363636364</v>
      </c>
      <c r="AG64" s="564">
        <f t="shared" si="15"/>
        <v>158627.07954545465</v>
      </c>
      <c r="AH64" s="590">
        <f>+AE$29*AG64+AF64</f>
        <v>23819.938553737764</v>
      </c>
      <c r="AI64" s="589">
        <f>+AI63</f>
        <v>10885997.071969697</v>
      </c>
      <c r="AJ64" s="564">
        <f>+AJ63</f>
        <v>295547.43181818182</v>
      </c>
      <c r="AK64" s="564">
        <f t="shared" si="19"/>
        <v>10590449.640151516</v>
      </c>
      <c r="AL64" s="590">
        <f>+AI$29*AK64+AJ64</f>
        <v>1578872.9288453141</v>
      </c>
      <c r="AM64" s="589">
        <f>+AM63</f>
        <v>4046642.4223863622</v>
      </c>
      <c r="AN64" s="564">
        <f>+AN63</f>
        <v>110866.91568181818</v>
      </c>
      <c r="AO64" s="564">
        <f t="shared" si="16"/>
        <v>3935775.5067045442</v>
      </c>
      <c r="AP64" s="590">
        <f>+AM$29*AO64+AN64</f>
        <v>587794.82997730223</v>
      </c>
      <c r="AQ64" s="589">
        <f>+AQ63</f>
        <v>33256259.719772737</v>
      </c>
      <c r="AR64" s="564">
        <f>+AR63</f>
        <v>904932.23727272719</v>
      </c>
      <c r="AS64" s="564">
        <f t="shared" si="17"/>
        <v>32351327.482500009</v>
      </c>
      <c r="AT64" s="590">
        <f>+AQ$29*AS64+AR64</f>
        <v>4825189.1509700064</v>
      </c>
      <c r="AU64" s="672">
        <f>+AU63</f>
        <v>22375000</v>
      </c>
      <c r="AV64" s="671">
        <f>+AV63</f>
        <v>750000</v>
      </c>
      <c r="AW64" s="671">
        <f t="shared" si="1"/>
        <v>21625000</v>
      </c>
      <c r="AX64" s="653">
        <f>+AU$29*AW64+AV64</f>
        <v>750000</v>
      </c>
      <c r="AY64" s="672">
        <f>+AY63</f>
        <v>14583333.333333332</v>
      </c>
      <c r="AZ64" s="671">
        <f>+AZ63</f>
        <v>500000</v>
      </c>
      <c r="BA64" s="671">
        <f t="shared" si="2"/>
        <v>14083333.333333332</v>
      </c>
      <c r="BB64" s="653">
        <f>+AY$29*BA64+AZ64</f>
        <v>500000</v>
      </c>
      <c r="BC64" s="672">
        <f>+BC63</f>
        <v>22750000</v>
      </c>
      <c r="BD64" s="671">
        <f>+BD63</f>
        <v>750000</v>
      </c>
      <c r="BE64" s="671">
        <f t="shared" si="4"/>
        <v>22000000</v>
      </c>
      <c r="BF64" s="653">
        <f>+BC$29*BE64+BD64</f>
        <v>750000</v>
      </c>
      <c r="BG64" s="672">
        <f>+BG63</f>
        <v>14809523.809523813</v>
      </c>
      <c r="BH64" s="671">
        <f>+BH63</f>
        <v>571428.57142857148</v>
      </c>
      <c r="BI64" s="671">
        <f t="shared" si="5"/>
        <v>14238095.238095243</v>
      </c>
      <c r="BJ64" s="653">
        <f>+BG$29*BI64+BH64</f>
        <v>571428.57142857148</v>
      </c>
      <c r="BK64" s="672">
        <f>+BK63</f>
        <v>20000000</v>
      </c>
      <c r="BL64" s="671">
        <f>+BL63</f>
        <v>1200000</v>
      </c>
      <c r="BM64" s="671">
        <f t="shared" si="9"/>
        <v>18800000</v>
      </c>
      <c r="BN64" s="653">
        <f>+BK$29*BM64+BL64</f>
        <v>1200000</v>
      </c>
      <c r="BO64" s="672">
        <f>+BO63</f>
        <v>14499999.999999996</v>
      </c>
      <c r="BP64" s="671">
        <f>+BP63</f>
        <v>666666.66666666663</v>
      </c>
      <c r="BQ64" s="671">
        <f t="shared" si="10"/>
        <v>13833333.33333333</v>
      </c>
      <c r="BR64" s="653">
        <f>+BO$29*BQ64+BP64</f>
        <v>666666.66666666663</v>
      </c>
      <c r="BS64" s="589">
        <f>+BS63</f>
        <v>307502.79545454553</v>
      </c>
      <c r="BT64" s="564">
        <f>+BT63</f>
        <v>8310.886363636364</v>
      </c>
      <c r="BU64" s="564">
        <f t="shared" si="18"/>
        <v>299191.90909090918</v>
      </c>
      <c r="BV64" s="590">
        <f>+BS$29*BU64+BT64</f>
        <v>44566.250251575533</v>
      </c>
      <c r="BW64" s="589">
        <f>+BW63</f>
        <v>21487335.715909094</v>
      </c>
      <c r="BX64" s="564">
        <f>+BX63</f>
        <v>576841.22727272729</v>
      </c>
      <c r="BY64" s="564">
        <f t="shared" si="20"/>
        <v>20910494.488636367</v>
      </c>
      <c r="BZ64" s="590">
        <f>+BW$29*BY64+BX64</f>
        <v>2983106.2592599336</v>
      </c>
      <c r="CA64" s="589">
        <f>+CA63</f>
        <v>2027663.5200000005</v>
      </c>
      <c r="CB64" s="564">
        <f>+CB63</f>
        <v>54433.919999999998</v>
      </c>
      <c r="CC64" s="564">
        <f t="shared" si="21"/>
        <v>1973229.6000000006</v>
      </c>
      <c r="CD64" s="590">
        <f>+CA$29*CC64+CB64</f>
        <v>293545.1894184362</v>
      </c>
      <c r="CE64" s="589">
        <f>+CE63</f>
        <v>176007.33363636368</v>
      </c>
      <c r="CF64" s="564">
        <f>+CF63</f>
        <v>4725.0290909090909</v>
      </c>
      <c r="CG64" s="564">
        <f t="shared" si="22"/>
        <v>171282.30454545459</v>
      </c>
      <c r="CH64" s="590">
        <f>+CE$29*CG64+CF64</f>
        <v>25480.611344884412</v>
      </c>
      <c r="CI64" s="589">
        <f>+CI63</f>
        <v>472874.31818181812</v>
      </c>
      <c r="CJ64" s="564">
        <f>+CJ63</f>
        <v>12362.727272727272</v>
      </c>
      <c r="CK64" s="564">
        <f t="shared" si="24"/>
        <v>460511.59090909082</v>
      </c>
      <c r="CL64" s="590">
        <f>+CI$29*CK64+CJ64</f>
        <v>65355.875695474402</v>
      </c>
      <c r="CM64" s="589">
        <f>+CM63</f>
        <v>20677817.988920454</v>
      </c>
      <c r="CN64" s="564">
        <f>+CN63</f>
        <v>483691.64886363636</v>
      </c>
      <c r="CO64" s="564">
        <f t="shared" si="34"/>
        <v>20194126.340056818</v>
      </c>
      <c r="CP64" s="590">
        <f>+CM$29*CO64+CN64</f>
        <v>2807520.962896246</v>
      </c>
      <c r="CQ64" s="589">
        <f>+CQ63</f>
        <v>86258212.474602267</v>
      </c>
      <c r="CR64" s="564">
        <f>+CR63</f>
        <v>2017735.9643181816</v>
      </c>
      <c r="CS64" s="564">
        <f t="shared" si="40"/>
        <v>84240476.510284081</v>
      </c>
      <c r="CT64" s="590">
        <f>+CQ$29*CS64+CR64</f>
        <v>11711668.023877775</v>
      </c>
      <c r="CU64" s="589">
        <f>+CU63</f>
        <v>29076401.017500002</v>
      </c>
      <c r="CV64" s="564">
        <f>+CV63</f>
        <v>676195.37250000006</v>
      </c>
      <c r="CW64" s="564">
        <f t="shared" si="41"/>
        <v>28400205.645000003</v>
      </c>
      <c r="CX64" s="590">
        <f>+CU$29*CW64+CV64</f>
        <v>3944335.2905658842</v>
      </c>
      <c r="CY64" s="589">
        <f>+CY63</f>
        <v>31916.988068181876</v>
      </c>
      <c r="CZ64" s="564">
        <f>+CZ63</f>
        <v>733.72386363636497</v>
      </c>
      <c r="DA64" s="564">
        <f t="shared" si="42"/>
        <v>31183.26420454551</v>
      </c>
      <c r="DB64" s="590">
        <f>+CY$29*DA64+CZ64</f>
        <v>4322.1228983599804</v>
      </c>
      <c r="DC64" s="589">
        <f>+DC63</f>
        <v>1925951.5954545452</v>
      </c>
      <c r="DD64" s="564">
        <f>+DD63</f>
        <v>44530.672727272722</v>
      </c>
      <c r="DE64" s="564">
        <f t="shared" si="43"/>
        <v>1881420.9227272726</v>
      </c>
      <c r="DF64" s="590">
        <f>+DC$29*DE64+DD64</f>
        <v>261034.27474720622</v>
      </c>
      <c r="DG64" s="589">
        <f>+DG63</f>
        <v>1071817.1328409091</v>
      </c>
      <c r="DH64" s="564">
        <f>+DH63</f>
        <v>24639.474318181816</v>
      </c>
      <c r="DI64" s="564">
        <f t="shared" si="44"/>
        <v>1047177.6585227272</v>
      </c>
      <c r="DJ64" s="590">
        <f>+DG$29*DI64+DH64</f>
        <v>145142.93650798491</v>
      </c>
      <c r="DK64" s="589">
        <f>+DK63</f>
        <v>23726938.582613636</v>
      </c>
      <c r="DL64" s="564">
        <f>+DL63</f>
        <v>549658.80886363634</v>
      </c>
      <c r="DM64" s="564">
        <f t="shared" si="45"/>
        <v>23177279.77375</v>
      </c>
      <c r="DN64" s="590">
        <f>+DK$29*DM64+DL64</f>
        <v>3216773.0603447333</v>
      </c>
      <c r="DO64" s="589">
        <f>+DO63</f>
        <v>862078.96999999951</v>
      </c>
      <c r="DP64" s="564">
        <f>+DP63</f>
        <v>16327.253219696961</v>
      </c>
      <c r="DQ64" s="564">
        <f t="shared" ref="DQ64:DQ82" si="60">+DO64-DP64</f>
        <v>845751.71678030258</v>
      </c>
      <c r="DR64" s="590">
        <f>+(((DO$29*DQ64)*(12-DO$32)/12))+DP64</f>
        <v>97430.977752911174</v>
      </c>
      <c r="DS64" s="589">
        <f>+DS63</f>
        <v>365013.11999999866</v>
      </c>
      <c r="DT64" s="564">
        <f>+DT63</f>
        <v>4147.8763636363483</v>
      </c>
      <c r="DU64" s="564">
        <f t="shared" ref="DU64:DU127" si="61">+DS64-DT64</f>
        <v>360865.24363636231</v>
      </c>
      <c r="DV64" s="590">
        <f>+(((DS$29*DU64)*(12-DS$32)/12))+DT64</f>
        <v>24911.072984682618</v>
      </c>
      <c r="DW64" s="589">
        <f>+DW63</f>
        <v>53757.59</v>
      </c>
      <c r="DX64" s="564">
        <f>+DX63</f>
        <v>916.32255681818174</v>
      </c>
      <c r="DY64" s="564">
        <f t="shared" ref="DY64:DY127" si="62">+DW64-DX64</f>
        <v>52841.267443181816</v>
      </c>
      <c r="DZ64" s="590">
        <f>+(((DW$29*DY64)*(12-DW$32)/12))+DX64</f>
        <v>5476.835012543861</v>
      </c>
      <c r="EA64" s="589">
        <f>+EA63</f>
        <v>-313293.270000002</v>
      </c>
      <c r="EB64" s="564">
        <f>+EB63</f>
        <v>-593.35846590909466</v>
      </c>
      <c r="EC64" s="564">
        <f t="shared" ref="EC64:EC127" si="63">+EA64-EB64</f>
        <v>-312699.91153409291</v>
      </c>
      <c r="ED64" s="590">
        <f>+(((EA$29*EC64)*(12-EA$32)/12))+EB64</f>
        <v>-3592.0077128972016</v>
      </c>
      <c r="EE64" s="589"/>
      <c r="EF64" s="564"/>
      <c r="EG64" s="564"/>
      <c r="EH64" s="590"/>
      <c r="EI64" s="589"/>
      <c r="EJ64" s="564"/>
      <c r="EK64" s="564"/>
      <c r="EL64" s="590"/>
      <c r="EM64" s="589"/>
      <c r="EN64" s="564"/>
      <c r="EO64" s="564"/>
      <c r="EP64" s="590"/>
      <c r="EQ64" s="678">
        <f>+R64+J64+F64+N64+V64+Z64+AD64+AH64+AL64+AP64+AT64+BV64+BZ64+CD64+CH64+CL64+CP64+CT64+CX64+DB64+DF64+DJ64+DN64+DR64+DV64+DZ64+ED64</f>
        <v>43909016.510947071</v>
      </c>
      <c r="ER64" s="675">
        <f>+EQ64</f>
        <v>43909016.510947071</v>
      </c>
      <c r="ES64" s="648"/>
      <c r="ET64" s="900"/>
      <c r="EV64" s="589">
        <f>+EV63</f>
        <v>7836061.0333333351</v>
      </c>
      <c r="EW64" s="564">
        <f>+EW63</f>
        <v>1270712.6000000001</v>
      </c>
      <c r="EX64" s="564">
        <f t="shared" si="25"/>
        <v>6565348.4333333354</v>
      </c>
      <c r="EY64" s="590">
        <f t="shared" si="47"/>
        <v>2198552.2434137417</v>
      </c>
      <c r="EZ64" s="589">
        <f>+EZ63</f>
        <v>6260830.7999999989</v>
      </c>
      <c r="FA64" s="564">
        <f>+FA63</f>
        <v>894404.4</v>
      </c>
      <c r="FB64" s="564">
        <f t="shared" si="26"/>
        <v>5366426.3999999985</v>
      </c>
      <c r="FC64" s="590">
        <f t="shared" si="48"/>
        <v>1652807.8888539914</v>
      </c>
      <c r="FD64" s="589">
        <f>+FD63</f>
        <v>971505.25441666646</v>
      </c>
      <c r="FE64" s="564">
        <f>+FE63</f>
        <v>140458.59099999999</v>
      </c>
      <c r="FF64" s="564">
        <f t="shared" si="27"/>
        <v>831046.66341666644</v>
      </c>
      <c r="FG64" s="590">
        <f t="shared" si="49"/>
        <v>257905.21971658291</v>
      </c>
      <c r="FH64" s="589">
        <f>+FH63</f>
        <v>118722.10000000002</v>
      </c>
      <c r="FI64" s="564">
        <f>+FI63</f>
        <v>16960.3</v>
      </c>
      <c r="FJ64" s="564">
        <f t="shared" si="28"/>
        <v>101761.80000000002</v>
      </c>
      <c r="FK64" s="590">
        <f t="shared" si="50"/>
        <v>31341.658915508866</v>
      </c>
      <c r="FL64" s="589">
        <f>+FL63</f>
        <v>8985.4663333333338</v>
      </c>
      <c r="FM64" s="564">
        <f>+FM63</f>
        <v>1253.7860000000001</v>
      </c>
      <c r="FN64" s="564">
        <f t="shared" si="33"/>
        <v>7731.6803333333337</v>
      </c>
      <c r="FO64" s="590">
        <f t="shared" si="51"/>
        <v>2346.456038203411</v>
      </c>
      <c r="FP64" s="589">
        <f>+FP63</f>
        <v>29241134.854999997</v>
      </c>
      <c r="FQ64" s="564">
        <f>+FQ63</f>
        <v>4033259.9799999995</v>
      </c>
      <c r="FR64" s="564">
        <f t="shared" si="29"/>
        <v>25207874.874999996</v>
      </c>
      <c r="FS64" s="590">
        <f t="shared" si="52"/>
        <v>7595731.3206662722</v>
      </c>
      <c r="FT64" s="589">
        <f>+FT63</f>
        <v>402321.17683333339</v>
      </c>
      <c r="FU64" s="564">
        <f>+FU63</f>
        <v>53053.342000000004</v>
      </c>
      <c r="FV64" s="564">
        <f t="shared" si="30"/>
        <v>349267.83483333339</v>
      </c>
      <c r="FW64" s="590">
        <f t="shared" si="53"/>
        <v>102413.18125579969</v>
      </c>
      <c r="FX64" s="589">
        <f>+FX63</f>
        <v>-408792.42949999979</v>
      </c>
      <c r="FY64" s="564">
        <f>+FY63</f>
        <v>-53906.693999999974</v>
      </c>
      <c r="FZ64" s="564">
        <f t="shared" si="31"/>
        <v>-354885.73549999984</v>
      </c>
      <c r="GA64" s="590">
        <f t="shared" si="54"/>
        <v>-104060.47603038704</v>
      </c>
      <c r="GB64" s="589">
        <f>+GB63</f>
        <v>26065594.882833336</v>
      </c>
      <c r="GC64" s="564">
        <f>+GC63</f>
        <v>3327522.7509999997</v>
      </c>
      <c r="GD64" s="564">
        <f t="shared" si="32"/>
        <v>22738072.131833337</v>
      </c>
      <c r="GE64" s="590">
        <f t="shared" si="55"/>
        <v>6540952.3127277307</v>
      </c>
      <c r="GF64" s="589">
        <f>+GF63</f>
        <v>394135.83374999999</v>
      </c>
      <c r="GG64" s="564">
        <f>+GG63</f>
        <v>49785.578999999998</v>
      </c>
      <c r="GH64" s="564">
        <f t="shared" si="37"/>
        <v>344350.25474999996</v>
      </c>
      <c r="GI64" s="590">
        <f t="shared" si="56"/>
        <v>98450.447410411958</v>
      </c>
      <c r="GJ64" s="589">
        <f>+GJ63</f>
        <v>1492652.6235</v>
      </c>
      <c r="GK64" s="564">
        <f>+GK63</f>
        <v>175606.19100000002</v>
      </c>
      <c r="GL64" s="564">
        <f t="shared" si="38"/>
        <v>1317046.4324999999</v>
      </c>
      <c r="GM64" s="590">
        <f t="shared" si="57"/>
        <v>361736.12830626837</v>
      </c>
      <c r="GN64" s="589">
        <f>+GN63</f>
        <v>34717452.066416658</v>
      </c>
      <c r="GO64" s="564">
        <f>+GO63</f>
        <v>3686809.0689999992</v>
      </c>
      <c r="GP64" s="564">
        <f t="shared" si="58"/>
        <v>31030642.99741666</v>
      </c>
      <c r="GQ64" s="590">
        <f t="shared" si="59"/>
        <v>8072175.8208152261</v>
      </c>
      <c r="GR64" s="589">
        <f>+GR63</f>
        <v>80280476.510000005</v>
      </c>
      <c r="GS64" s="564">
        <f>+GS63</f>
        <v>2676015.8836666667</v>
      </c>
      <c r="GT64" s="564">
        <f t="shared" ref="GT64:GT84" si="64">+GR64-GS64</f>
        <v>77604460.626333341</v>
      </c>
      <c r="GU64" s="590">
        <f>+(((GR$29*GT64)*(12-GR$32)/12))+GS64</f>
        <v>6331800.2798800971</v>
      </c>
      <c r="GV64" s="672"/>
      <c r="GW64" s="676"/>
      <c r="GX64" s="676"/>
      <c r="GY64" s="1366"/>
      <c r="GZ64" s="672"/>
      <c r="HA64" s="671"/>
      <c r="HB64" s="671"/>
      <c r="HC64" s="1366"/>
      <c r="HD64" s="672"/>
      <c r="HE64" s="671"/>
      <c r="HF64" s="671"/>
      <c r="HG64" s="1366"/>
      <c r="HI64" s="589"/>
      <c r="HJ64" s="564"/>
      <c r="HK64" s="564"/>
      <c r="HL64" s="590"/>
      <c r="HM64" s="589"/>
      <c r="HN64" s="564"/>
      <c r="HO64" s="564"/>
      <c r="HP64" s="590"/>
      <c r="HQ64" s="589"/>
      <c r="HR64" s="564"/>
      <c r="HS64" s="564"/>
      <c r="HT64" s="590"/>
    </row>
    <row r="65" spans="1:228" ht="12.75" customHeight="1">
      <c r="A65" s="649" t="s">
        <v>24</v>
      </c>
      <c r="B65" s="670">
        <f t="shared" si="0"/>
        <v>2019</v>
      </c>
      <c r="C65" s="671">
        <f>+E64</f>
        <v>15045479.46306818</v>
      </c>
      <c r="D65" s="671">
        <f>+C$31</f>
        <v>445791.98409090913</v>
      </c>
      <c r="E65" s="671">
        <f t="shared" si="6"/>
        <v>14599687.47897727</v>
      </c>
      <c r="F65" s="653">
        <f>+C$28*E65+D65</f>
        <v>2125843.95405728</v>
      </c>
      <c r="G65" s="671">
        <f>+I64</f>
        <v>3880665.1097727246</v>
      </c>
      <c r="H65" s="671">
        <f>+G$31</f>
        <v>115840.74954545456</v>
      </c>
      <c r="I65" s="671">
        <f t="shared" si="7"/>
        <v>3764824.3602272701</v>
      </c>
      <c r="J65" s="653">
        <f>+G$28*I65+H65</f>
        <v>549076.09051319747</v>
      </c>
      <c r="K65" s="672">
        <f>+M64</f>
        <v>10002497.177215904</v>
      </c>
      <c r="L65" s="671">
        <f>+K$31</f>
        <v>305419.76113636367</v>
      </c>
      <c r="M65" s="671">
        <f t="shared" si="8"/>
        <v>9697077.4160795398</v>
      </c>
      <c r="N65" s="653">
        <f>+K$28*M65+L65</f>
        <v>1421306.2511218386</v>
      </c>
      <c r="O65" s="672">
        <f>+Q64</f>
        <v>4156185.0833333321</v>
      </c>
      <c r="P65" s="671">
        <f>+O$31</f>
        <v>119316.31818181818</v>
      </c>
      <c r="Q65" s="671">
        <f t="shared" si="11"/>
        <v>4036868.7651515137</v>
      </c>
      <c r="R65" s="653">
        <f>+O$28*Q65+P65</f>
        <v>583857.03736874764</v>
      </c>
      <c r="S65" s="589">
        <f>+U64</f>
        <v>1934137.5642424226</v>
      </c>
      <c r="T65" s="564">
        <f>+S$31</f>
        <v>58315.705454545445</v>
      </c>
      <c r="U65" s="564">
        <f t="shared" si="12"/>
        <v>1875821.858787877</v>
      </c>
      <c r="V65" s="590">
        <f>+S$28*U65+T65</f>
        <v>274174.99790176412</v>
      </c>
      <c r="W65" s="589">
        <f>+Y64</f>
        <v>24149727.541666668</v>
      </c>
      <c r="X65" s="564">
        <f>+W$31</f>
        <v>693293.61363636365</v>
      </c>
      <c r="Y65" s="564">
        <f t="shared" si="13"/>
        <v>23456433.928030305</v>
      </c>
      <c r="Z65" s="590">
        <f>+W$28*Y65+X65</f>
        <v>3392531.3943024683</v>
      </c>
      <c r="AA65" s="589">
        <f>+AC64</f>
        <v>15741595.899621205</v>
      </c>
      <c r="AB65" s="564">
        <f>+AA$31</f>
        <v>450833.29545454547</v>
      </c>
      <c r="AC65" s="564">
        <f t="shared" si="14"/>
        <v>15290762.60416666</v>
      </c>
      <c r="AD65" s="590">
        <f>+AA$28*AC65+AB65</f>
        <v>2210410.4009514558</v>
      </c>
      <c r="AE65" s="589">
        <f>+AG64</f>
        <v>158627.07954545465</v>
      </c>
      <c r="AF65" s="564">
        <f>+AE$31</f>
        <v>4597.886363636364</v>
      </c>
      <c r="AG65" s="564">
        <f t="shared" si="15"/>
        <v>154029.19318181829</v>
      </c>
      <c r="AH65" s="590">
        <f>+AE$28*AG65+AF65</f>
        <v>22322.721214387031</v>
      </c>
      <c r="AI65" s="589">
        <f>+AK64</f>
        <v>10590449.640151516</v>
      </c>
      <c r="AJ65" s="564">
        <f>+AI$31</f>
        <v>295547.43181818182</v>
      </c>
      <c r="AK65" s="564">
        <f t="shared" si="19"/>
        <v>10294902.208333334</v>
      </c>
      <c r="AL65" s="590">
        <f>+AI$28*AK65+AJ65</f>
        <v>1480228.3204075289</v>
      </c>
      <c r="AM65" s="589">
        <f>+AO64</f>
        <v>3935775.5067045442</v>
      </c>
      <c r="AN65" s="564">
        <f>+AM$31</f>
        <v>110866.91568181818</v>
      </c>
      <c r="AO65" s="564">
        <f t="shared" si="16"/>
        <v>3824908.5910227261</v>
      </c>
      <c r="AP65" s="590">
        <f>+AM$28*AO65+AN65</f>
        <v>551016.4204258183</v>
      </c>
      <c r="AQ65" s="589">
        <f>+AS64</f>
        <v>32351327.482500009</v>
      </c>
      <c r="AR65" s="564">
        <f>+AQ$31</f>
        <v>904932.23727272719</v>
      </c>
      <c r="AS65" s="564">
        <f t="shared" si="17"/>
        <v>31446395.245227281</v>
      </c>
      <c r="AT65" s="590">
        <f>+AQ$28*AS65+AR65</f>
        <v>4523610.9491396565</v>
      </c>
      <c r="AU65" s="672">
        <f>+AW64</f>
        <v>21625000</v>
      </c>
      <c r="AV65" s="671">
        <f>+AU$31</f>
        <v>750000</v>
      </c>
      <c r="AW65" s="671">
        <f t="shared" si="1"/>
        <v>20875000</v>
      </c>
      <c r="AX65" s="653">
        <f>+AU$28*AW65+AV65</f>
        <v>750000</v>
      </c>
      <c r="AY65" s="672">
        <f>+BA64</f>
        <v>14083333.333333332</v>
      </c>
      <c r="AZ65" s="671">
        <f>+AY$31</f>
        <v>500000</v>
      </c>
      <c r="BA65" s="671">
        <f t="shared" si="2"/>
        <v>13583333.333333332</v>
      </c>
      <c r="BB65" s="653">
        <f>+AY$28*BA65+AZ65</f>
        <v>500000</v>
      </c>
      <c r="BC65" s="672">
        <f>+BE64</f>
        <v>22000000</v>
      </c>
      <c r="BD65" s="671">
        <f>+BC$31</f>
        <v>750000</v>
      </c>
      <c r="BE65" s="671">
        <f t="shared" si="4"/>
        <v>21250000</v>
      </c>
      <c r="BF65" s="653">
        <f>+BC$28*BE65+BD65</f>
        <v>750000</v>
      </c>
      <c r="BG65" s="672">
        <f>+BI64</f>
        <v>14238095.238095243</v>
      </c>
      <c r="BH65" s="671">
        <f>+BG$31</f>
        <v>571428.57142857148</v>
      </c>
      <c r="BI65" s="671">
        <f t="shared" si="5"/>
        <v>13666666.666666672</v>
      </c>
      <c r="BJ65" s="653">
        <f>+BG$28*BI65+BH65</f>
        <v>571428.57142857148</v>
      </c>
      <c r="BK65" s="672">
        <f>+BM64</f>
        <v>18800000</v>
      </c>
      <c r="BL65" s="671">
        <f>+BK$31</f>
        <v>1200000</v>
      </c>
      <c r="BM65" s="671">
        <f t="shared" si="9"/>
        <v>17600000</v>
      </c>
      <c r="BN65" s="653">
        <f>+BK$28*BM65+BL65</f>
        <v>1200000</v>
      </c>
      <c r="BO65" s="672">
        <f>+BQ64</f>
        <v>13833333.33333333</v>
      </c>
      <c r="BP65" s="671">
        <f>+BO$31</f>
        <v>666666.66666666663</v>
      </c>
      <c r="BQ65" s="671">
        <f t="shared" si="10"/>
        <v>13166666.666666664</v>
      </c>
      <c r="BR65" s="653">
        <f>+BO$28*BQ65+BP65</f>
        <v>666666.66666666663</v>
      </c>
      <c r="BS65" s="589">
        <f>+BU64</f>
        <v>299191.90909090918</v>
      </c>
      <c r="BT65" s="564">
        <f>+BS$31</f>
        <v>8310.886363636364</v>
      </c>
      <c r="BU65" s="564">
        <f t="shared" si="18"/>
        <v>290881.02272727282</v>
      </c>
      <c r="BV65" s="590">
        <f>+BS$28*BU65+BT65</f>
        <v>41783.879259030946</v>
      </c>
      <c r="BW65" s="589">
        <f>+BY64</f>
        <v>20910494.488636367</v>
      </c>
      <c r="BX65" s="564">
        <f>+BW$31</f>
        <v>576841.22727272729</v>
      </c>
      <c r="BY65" s="564">
        <f t="shared" si="20"/>
        <v>20333653.26136364</v>
      </c>
      <c r="BZ65" s="590">
        <f>+BW$28*BY65+BX65</f>
        <v>2916726.5342395976</v>
      </c>
      <c r="CA65" s="589">
        <f>+CC64</f>
        <v>1973229.6000000006</v>
      </c>
      <c r="CB65" s="564">
        <f>+CA$31</f>
        <v>54433.919999999998</v>
      </c>
      <c r="CC65" s="564">
        <f t="shared" si="21"/>
        <v>1918795.6800000006</v>
      </c>
      <c r="CD65" s="590">
        <f>+CA$28*CC65+CB65</f>
        <v>275238.40412261395</v>
      </c>
      <c r="CE65" s="589">
        <f>+CG64</f>
        <v>171282.30454545459</v>
      </c>
      <c r="CF65" s="564">
        <f>+CE$31</f>
        <v>4725.0290909090909</v>
      </c>
      <c r="CG65" s="564">
        <f t="shared" si="22"/>
        <v>166557.27545454551</v>
      </c>
      <c r="CH65" s="590">
        <f>+CE$28*CG65+CF65</f>
        <v>23891.526945234582</v>
      </c>
      <c r="CI65" s="589">
        <f>+CK64</f>
        <v>460511.59090909082</v>
      </c>
      <c r="CJ65" s="564">
        <f>+CI$31</f>
        <v>12362.727272727272</v>
      </c>
      <c r="CK65" s="564">
        <f t="shared" si="24"/>
        <v>448148.86363636353</v>
      </c>
      <c r="CL65" s="590">
        <f>+CI$28*CK65+CJ65</f>
        <v>63933.240838487902</v>
      </c>
      <c r="CM65" s="589">
        <f>+CO64</f>
        <v>20194126.340056818</v>
      </c>
      <c r="CN65" s="564">
        <f>+CM$31</f>
        <v>483691.64886363636</v>
      </c>
      <c r="CO65" s="564">
        <f t="shared" si="34"/>
        <v>19710434.691193182</v>
      </c>
      <c r="CP65" s="590">
        <f>+CM$28*CO65+CN65</f>
        <v>2751860.3805242074</v>
      </c>
      <c r="CQ65" s="589">
        <f>+CS64</f>
        <v>84240476.510284081</v>
      </c>
      <c r="CR65" s="564">
        <f>+CQ$31</f>
        <v>2017735.9643181816</v>
      </c>
      <c r="CS65" s="564">
        <f t="shared" si="40"/>
        <v>82222740.545965895</v>
      </c>
      <c r="CT65" s="590">
        <f>+CQ$28*CS65+CR65</f>
        <v>11479478.034427246</v>
      </c>
      <c r="CU65" s="589">
        <f>+CW64</f>
        <v>28400205.645000003</v>
      </c>
      <c r="CV65" s="564">
        <f>+CU$31</f>
        <v>676195.37250000006</v>
      </c>
      <c r="CW65" s="564">
        <f t="shared" si="41"/>
        <v>27724010.272500005</v>
      </c>
      <c r="CX65" s="590">
        <f>+CU$28*CW65+CV65</f>
        <v>3866522.4353738395</v>
      </c>
      <c r="CY65" s="589">
        <f>+DA64</f>
        <v>31183.26420454551</v>
      </c>
      <c r="CZ65" s="564">
        <f>+CY$31</f>
        <v>733.72386363636497</v>
      </c>
      <c r="DA65" s="564">
        <f t="shared" si="42"/>
        <v>30449.540340909145</v>
      </c>
      <c r="DB65" s="590">
        <f>+CY$28*DA65+CZ65</f>
        <v>4237.6899798958948</v>
      </c>
      <c r="DC65" s="589">
        <f>+DE64</f>
        <v>1881420.9227272726</v>
      </c>
      <c r="DD65" s="564">
        <f>+DC$31</f>
        <v>44530.672727272722</v>
      </c>
      <c r="DE65" s="564">
        <f t="shared" si="43"/>
        <v>1836890.25</v>
      </c>
      <c r="DF65" s="590">
        <f>+DC$28*DE65+DD65</f>
        <v>255909.92913726697</v>
      </c>
      <c r="DG65" s="589">
        <f>+DI64</f>
        <v>1047177.6585227272</v>
      </c>
      <c r="DH65" s="564">
        <f>+DG$31</f>
        <v>24639.474318181816</v>
      </c>
      <c r="DI65" s="564">
        <f t="shared" si="44"/>
        <v>1022538.1842045453</v>
      </c>
      <c r="DJ65" s="590">
        <f>+DG$28*DI65+DH65</f>
        <v>142307.56092704835</v>
      </c>
      <c r="DK65" s="589">
        <f>+DM64</f>
        <v>23177279.77375</v>
      </c>
      <c r="DL65" s="564">
        <f>+DK$31</f>
        <v>549658.80886363634</v>
      </c>
      <c r="DM65" s="564">
        <f t="shared" si="45"/>
        <v>22627620.964886364</v>
      </c>
      <c r="DN65" s="590">
        <f>+DK$28*DM65+DL65</f>
        <v>3153521.3389657345</v>
      </c>
      <c r="DO65" s="589">
        <f>+DQ64</f>
        <v>845751.71678030258</v>
      </c>
      <c r="DP65" s="564">
        <f>+DO31</f>
        <v>19592.703863636354</v>
      </c>
      <c r="DQ65" s="564">
        <f t="shared" si="60"/>
        <v>826159.01291666622</v>
      </c>
      <c r="DR65" s="590">
        <f t="shared" ref="DR65:DR82" si="65">+DO$29*DQ65+DP65</f>
        <v>114662.55238982878</v>
      </c>
      <c r="DS65" s="589">
        <f>+DU64</f>
        <v>360865.24363636231</v>
      </c>
      <c r="DT65" s="564">
        <f>+DS31</f>
        <v>8295.7527272726966</v>
      </c>
      <c r="DU65" s="564">
        <f t="shared" si="61"/>
        <v>352569.49090908963</v>
      </c>
      <c r="DV65" s="590">
        <f t="shared" ref="DV65:DV90" si="66">+DS$29*DU65+DT65</f>
        <v>48867.516239661956</v>
      </c>
      <c r="DW65" s="589">
        <f>+DY64</f>
        <v>52841.267443181816</v>
      </c>
      <c r="DX65" s="564">
        <f>+DW31</f>
        <v>1221.7634090909089</v>
      </c>
      <c r="DY65" s="564">
        <f t="shared" si="62"/>
        <v>51619.504034090904</v>
      </c>
      <c r="DZ65" s="590">
        <f t="shared" ref="DZ65:DZ90" si="67">+DW$29*DY65+DX65</f>
        <v>7161.8528504600017</v>
      </c>
      <c r="EA65" s="589">
        <f>+EC64</f>
        <v>-312699.91153409291</v>
      </c>
      <c r="EB65" s="564">
        <f>+EA31</f>
        <v>-7120.3015909091364</v>
      </c>
      <c r="EC65" s="564">
        <f t="shared" si="63"/>
        <v>-305579.60994318378</v>
      </c>
      <c r="ED65" s="590">
        <f t="shared" ref="ED65:ED90" si="68">+EA$29*EC65+EB65</f>
        <v>-42284.727295627352</v>
      </c>
      <c r="EE65" s="589"/>
      <c r="EF65" s="564"/>
      <c r="EG65" s="564"/>
      <c r="EH65" s="590"/>
      <c r="EI65" s="589"/>
      <c r="EJ65" s="564"/>
      <c r="EK65" s="564"/>
      <c r="EL65" s="590"/>
      <c r="EM65" s="589"/>
      <c r="EN65" s="564"/>
      <c r="EO65" s="564"/>
      <c r="EP65" s="590"/>
      <c r="EQ65" s="678">
        <f>+R65+J65+F65+N65+V65+Z65+AD65+AH65+AL65+AP65+AT65+BV65+BZ65+CD65+CH65+CL65+CP65+CT65+CX65+DB65+DF65+DJ65+DN65+DR65+DV65+DZ65+ED65</f>
        <v>42238196.686328672</v>
      </c>
      <c r="ER65" s="652"/>
      <c r="ES65" s="674">
        <f>+EQ65</f>
        <v>42238196.686328672</v>
      </c>
      <c r="EV65" s="589">
        <f>+EX64</f>
        <v>6565348.4333333354</v>
      </c>
      <c r="EW65" s="564">
        <f>+EW63</f>
        <v>1270712.6000000001</v>
      </c>
      <c r="EX65" s="564">
        <f t="shared" si="25"/>
        <v>5294635.8333333358</v>
      </c>
      <c r="EY65" s="590">
        <f t="shared" si="47"/>
        <v>2018970.3769465662</v>
      </c>
      <c r="EZ65" s="589">
        <f>+FB64</f>
        <v>5366426.3999999985</v>
      </c>
      <c r="FA65" s="564">
        <f>+FA63</f>
        <v>894404.4</v>
      </c>
      <c r="FB65" s="564">
        <f t="shared" si="26"/>
        <v>4472021.9999999981</v>
      </c>
      <c r="FC65" s="590">
        <f t="shared" si="48"/>
        <v>1526407.3073783261</v>
      </c>
      <c r="FD65" s="589">
        <f>+FF64</f>
        <v>831046.66341666644</v>
      </c>
      <c r="FE65" s="564">
        <f>+FE63</f>
        <v>140458.59099999999</v>
      </c>
      <c r="FF65" s="564">
        <f t="shared" si="27"/>
        <v>690588.07241666643</v>
      </c>
      <c r="FG65" s="590">
        <f t="shared" si="49"/>
        <v>238055.08528561116</v>
      </c>
      <c r="FH65" s="589">
        <f>+FJ64</f>
        <v>101761.80000000002</v>
      </c>
      <c r="FI65" s="564">
        <f>+FI63</f>
        <v>16960.3</v>
      </c>
      <c r="FJ65" s="564">
        <f t="shared" si="28"/>
        <v>84801.500000000015</v>
      </c>
      <c r="FK65" s="590">
        <f t="shared" si="50"/>
        <v>28944.765762924053</v>
      </c>
      <c r="FL65" s="589">
        <f>+FN64</f>
        <v>7731.6803333333337</v>
      </c>
      <c r="FM65" s="564">
        <f>+FM63</f>
        <v>1253.7860000000001</v>
      </c>
      <c r="FN65" s="564">
        <f t="shared" si="33"/>
        <v>6477.8943333333336</v>
      </c>
      <c r="FO65" s="590">
        <f t="shared" si="51"/>
        <v>2169.2663022785337</v>
      </c>
      <c r="FP65" s="589">
        <f>+FR64</f>
        <v>25207874.874999996</v>
      </c>
      <c r="FQ65" s="564">
        <f>+FQ63</f>
        <v>4033259.9799999995</v>
      </c>
      <c r="FR65" s="564">
        <f t="shared" si="29"/>
        <v>21174614.894999996</v>
      </c>
      <c r="FS65" s="590">
        <f t="shared" si="52"/>
        <v>7025735.9061596673</v>
      </c>
      <c r="FT65" s="589">
        <f>+FV64</f>
        <v>349267.83483333339</v>
      </c>
      <c r="FU65" s="564">
        <f>+FU63</f>
        <v>53053.342000000004</v>
      </c>
      <c r="FV65" s="564">
        <f t="shared" si="30"/>
        <v>296214.49283333338</v>
      </c>
      <c r="FW65" s="590">
        <f t="shared" si="53"/>
        <v>94915.484153652898</v>
      </c>
      <c r="FX65" s="589">
        <f>+FZ64</f>
        <v>-354885.73549999984</v>
      </c>
      <c r="FY65" s="564">
        <f>+FY63</f>
        <v>-53906.693999999974</v>
      </c>
      <c r="FZ65" s="564">
        <f t="shared" si="31"/>
        <v>-300979.04149999988</v>
      </c>
      <c r="GA65" s="590">
        <f t="shared" si="54"/>
        <v>-96442.180025771289</v>
      </c>
      <c r="GB65" s="589">
        <f>+GD64</f>
        <v>22738072.131833337</v>
      </c>
      <c r="GC65" s="564">
        <f>+GC63</f>
        <v>3327522.7509999997</v>
      </c>
      <c r="GD65" s="564">
        <f t="shared" si="32"/>
        <v>19410549.380833339</v>
      </c>
      <c r="GE65" s="590">
        <f t="shared" si="55"/>
        <v>6070694.3280846477</v>
      </c>
      <c r="GF65" s="589">
        <f>+GH64</f>
        <v>344350.25474999996</v>
      </c>
      <c r="GG65" s="564">
        <f>+GG63</f>
        <v>49785.578999999998</v>
      </c>
      <c r="GH65" s="564">
        <f t="shared" si="37"/>
        <v>294564.67574999994</v>
      </c>
      <c r="GI65" s="590">
        <f t="shared" si="56"/>
        <v>91414.562820954801</v>
      </c>
      <c r="GJ65" s="589">
        <f>+GL64</f>
        <v>1317046.4324999999</v>
      </c>
      <c r="GK65" s="564">
        <f>+GK63</f>
        <v>175606.19100000002</v>
      </c>
      <c r="GL65" s="564">
        <f t="shared" si="38"/>
        <v>1141440.2414999998</v>
      </c>
      <c r="GM65" s="590">
        <f t="shared" si="57"/>
        <v>336918.80333209923</v>
      </c>
      <c r="GN65" s="589">
        <f>+GP64</f>
        <v>31030642.99741666</v>
      </c>
      <c r="GO65" s="564">
        <f>+GO63</f>
        <v>3686809.0689999992</v>
      </c>
      <c r="GP65" s="564">
        <f t="shared" si="58"/>
        <v>27343833.928416662</v>
      </c>
      <c r="GQ65" s="590">
        <f t="shared" si="59"/>
        <v>7551142.1473322287</v>
      </c>
      <c r="GR65" s="589">
        <f>+GT64</f>
        <v>77604460.626333341</v>
      </c>
      <c r="GS65" s="564">
        <f>+GR31</f>
        <v>8028047.6510000005</v>
      </c>
      <c r="GT65" s="564">
        <f t="shared" si="64"/>
        <v>69576412.975333333</v>
      </c>
      <c r="GU65" s="590">
        <f t="shared" ref="GU65:GU84" si="69">+GR$29*GT65+GS65</f>
        <v>17860847.061505087</v>
      </c>
      <c r="GV65" s="672">
        <f>+GV30</f>
        <v>-531831</v>
      </c>
      <c r="GW65" s="676">
        <f>+GV$31/12*(12-$GV$32)</f>
        <v>-48751.175000000003</v>
      </c>
      <c r="GX65" s="676">
        <f>+GV65-GW65</f>
        <v>-483079.82500000001</v>
      </c>
      <c r="GY65" s="1366">
        <f>+(((GV$28*GX65)*(12-GV$32)/12))+GW65</f>
        <v>-111332.60522056436</v>
      </c>
      <c r="GZ65" s="672">
        <f>+GZ30</f>
        <v>1297564</v>
      </c>
      <c r="HA65" s="671">
        <f>+GZ$31/12*(12-$GZ$32)</f>
        <v>86504.266666666663</v>
      </c>
      <c r="HB65" s="671">
        <f>+GZ65-HA65</f>
        <v>1211059.7333333334</v>
      </c>
      <c r="HC65" s="1366">
        <f>+(((GZ$28*HB65)*(12-GZ$32)/12))+HA65</f>
        <v>200605.26653883298</v>
      </c>
      <c r="HD65" s="672"/>
      <c r="HE65" s="671"/>
      <c r="HF65" s="671"/>
      <c r="HG65" s="1366"/>
      <c r="HH65" s="676">
        <f>+EY65+FC65+FG65+FK65+FO65+FS65+FW65+GE65+GA65+GI65+GM65+GQ65+GU65+GY65+HC65+HG65</f>
        <v>42839045.576356545</v>
      </c>
      <c r="HI65" s="589"/>
      <c r="HJ65" s="564"/>
      <c r="HK65" s="564"/>
      <c r="HL65" s="590"/>
      <c r="HM65" s="589"/>
      <c r="HN65" s="564"/>
      <c r="HO65" s="564"/>
      <c r="HP65" s="590"/>
      <c r="HQ65" s="589"/>
      <c r="HR65" s="564"/>
      <c r="HS65" s="564"/>
      <c r="HT65" s="590"/>
    </row>
    <row r="66" spans="1:228" ht="13">
      <c r="A66" s="649" t="s">
        <v>23</v>
      </c>
      <c r="B66" s="670">
        <f t="shared" si="0"/>
        <v>2019</v>
      </c>
      <c r="C66" s="671">
        <f>+C65</f>
        <v>15045479.46306818</v>
      </c>
      <c r="D66" s="671">
        <f>+D65</f>
        <v>445791.98409090913</v>
      </c>
      <c r="E66" s="671">
        <f t="shared" si="6"/>
        <v>14599687.47897727</v>
      </c>
      <c r="F66" s="653">
        <f>+C$29*E66+D66</f>
        <v>2214947.386083005</v>
      </c>
      <c r="G66" s="671">
        <f>+G65</f>
        <v>3880665.1097727246</v>
      </c>
      <c r="H66" s="671">
        <f>+H65</f>
        <v>115840.74954545456</v>
      </c>
      <c r="I66" s="671">
        <f t="shared" si="7"/>
        <v>3764824.3602272701</v>
      </c>
      <c r="J66" s="653">
        <f>+G$29*I66+H66</f>
        <v>572053.21053397527</v>
      </c>
      <c r="K66" s="672">
        <f>+K65</f>
        <v>10002497.177215904</v>
      </c>
      <c r="L66" s="671">
        <f>+L65</f>
        <v>305419.76113636367</v>
      </c>
      <c r="M66" s="671">
        <f t="shared" si="8"/>
        <v>9697077.4160795398</v>
      </c>
      <c r="N66" s="653">
        <f>+K$29*M66+L66</f>
        <v>1480488.5370191233</v>
      </c>
      <c r="O66" s="672">
        <f>+O65</f>
        <v>4156185.0833333321</v>
      </c>
      <c r="P66" s="671">
        <f>+P65</f>
        <v>119316.31818181818</v>
      </c>
      <c r="Q66" s="671">
        <f t="shared" si="11"/>
        <v>4036868.7651515137</v>
      </c>
      <c r="R66" s="653">
        <f>+O$29*Q66+P66</f>
        <v>608494.47307621734</v>
      </c>
      <c r="S66" s="589">
        <f>+S65</f>
        <v>1934137.5642424226</v>
      </c>
      <c r="T66" s="564">
        <f>+T65</f>
        <v>58315.705454545445</v>
      </c>
      <c r="U66" s="564">
        <f t="shared" si="12"/>
        <v>1875821.858787877</v>
      </c>
      <c r="V66" s="590">
        <f>+S$29*U66+T66</f>
        <v>285623.33648624073</v>
      </c>
      <c r="W66" s="589">
        <f>+W65</f>
        <v>24149727.541666668</v>
      </c>
      <c r="X66" s="564">
        <f>+X65</f>
        <v>693293.61363636365</v>
      </c>
      <c r="Y66" s="564">
        <f t="shared" si="13"/>
        <v>23456433.928030305</v>
      </c>
      <c r="Z66" s="590">
        <f>+W$29*Y66+X66</f>
        <v>3535688.4837320689</v>
      </c>
      <c r="AA66" s="589">
        <f>+AA65</f>
        <v>15741595.899621205</v>
      </c>
      <c r="AB66" s="564">
        <f>+AB65</f>
        <v>450833.29545454547</v>
      </c>
      <c r="AC66" s="564">
        <f t="shared" si="14"/>
        <v>15290762.60416666</v>
      </c>
      <c r="AD66" s="590">
        <f>+AA$29*AC66+AB66</f>
        <v>2303731.5373308291</v>
      </c>
      <c r="AE66" s="589">
        <f>+AE65</f>
        <v>158627.07954545465</v>
      </c>
      <c r="AF66" s="564">
        <f>+AF65</f>
        <v>4597.886363636364</v>
      </c>
      <c r="AG66" s="564">
        <f t="shared" si="15"/>
        <v>154029.19318181829</v>
      </c>
      <c r="AH66" s="590">
        <f>+AE$29*AG66+AF66</f>
        <v>23262.777620691348</v>
      </c>
      <c r="AI66" s="589">
        <f>+AI65</f>
        <v>10590449.640151516</v>
      </c>
      <c r="AJ66" s="564">
        <f>+AJ65</f>
        <v>295547.43181818182</v>
      </c>
      <c r="AK66" s="564">
        <f t="shared" si="19"/>
        <v>10294902.208333334</v>
      </c>
      <c r="AL66" s="590">
        <f>+AI$29*AK66+AJ66</f>
        <v>1543059.1940445569</v>
      </c>
      <c r="AM66" s="589">
        <f>+AM65</f>
        <v>3935775.5067045442</v>
      </c>
      <c r="AN66" s="564">
        <f>+AN65</f>
        <v>110866.91568181818</v>
      </c>
      <c r="AO66" s="564">
        <f t="shared" si="16"/>
        <v>3824908.5910227261</v>
      </c>
      <c r="AP66" s="590">
        <f>+AM$29*AO66+AN66</f>
        <v>574360.24084221816</v>
      </c>
      <c r="AQ66" s="589">
        <f>+AQ65</f>
        <v>32351327.482500009</v>
      </c>
      <c r="AR66" s="564">
        <f>+AR65</f>
        <v>904932.23727272719</v>
      </c>
      <c r="AS66" s="564">
        <f t="shared" si="17"/>
        <v>31446395.245227281</v>
      </c>
      <c r="AT66" s="590">
        <f>+AQ$29*AS66+AR66</f>
        <v>4715531.61492253</v>
      </c>
      <c r="AU66" s="672">
        <f>+AU65</f>
        <v>21625000</v>
      </c>
      <c r="AV66" s="671">
        <f>+AV65</f>
        <v>750000</v>
      </c>
      <c r="AW66" s="671">
        <f t="shared" si="1"/>
        <v>20875000</v>
      </c>
      <c r="AX66" s="653">
        <f>+AU$29*AW66+AV66</f>
        <v>750000</v>
      </c>
      <c r="AY66" s="672">
        <f>+AY65</f>
        <v>14083333.333333332</v>
      </c>
      <c r="AZ66" s="671">
        <f>+AZ65</f>
        <v>500000</v>
      </c>
      <c r="BA66" s="671">
        <f t="shared" si="2"/>
        <v>13583333.333333332</v>
      </c>
      <c r="BB66" s="653">
        <f>+AY$29*BA66+AZ66</f>
        <v>500000</v>
      </c>
      <c r="BC66" s="672">
        <f>+BC65</f>
        <v>22000000</v>
      </c>
      <c r="BD66" s="671">
        <f>+BD65</f>
        <v>750000</v>
      </c>
      <c r="BE66" s="671">
        <f t="shared" si="4"/>
        <v>21250000</v>
      </c>
      <c r="BF66" s="653">
        <f>+BC$29*BE66+BD66</f>
        <v>750000</v>
      </c>
      <c r="BG66" s="672">
        <f>+BG65</f>
        <v>14238095.238095243</v>
      </c>
      <c r="BH66" s="671">
        <f>+BH65</f>
        <v>571428.57142857148</v>
      </c>
      <c r="BI66" s="671">
        <f t="shared" si="5"/>
        <v>13666666.666666672</v>
      </c>
      <c r="BJ66" s="653">
        <f>+BG$29*BI66+BH66</f>
        <v>571428.57142857148</v>
      </c>
      <c r="BK66" s="672">
        <f>+BK65</f>
        <v>18800000</v>
      </c>
      <c r="BL66" s="671">
        <f>+BL65</f>
        <v>1200000</v>
      </c>
      <c r="BM66" s="671">
        <f t="shared" si="9"/>
        <v>17600000</v>
      </c>
      <c r="BN66" s="653">
        <f>+BK$29*BM66+BL66</f>
        <v>1200000</v>
      </c>
      <c r="BO66" s="672">
        <f>+BO65</f>
        <v>13833333.33333333</v>
      </c>
      <c r="BP66" s="671">
        <f>+BP65</f>
        <v>666666.66666666663</v>
      </c>
      <c r="BQ66" s="671">
        <f t="shared" si="10"/>
        <v>13166666.666666664</v>
      </c>
      <c r="BR66" s="653">
        <f>+BO$29*BQ66+BP66</f>
        <v>666666.66666666663</v>
      </c>
      <c r="BS66" s="589">
        <f>+BS65</f>
        <v>299191.90909090918</v>
      </c>
      <c r="BT66" s="564">
        <f>+BT65</f>
        <v>8310.886363636364</v>
      </c>
      <c r="BU66" s="564">
        <f t="shared" si="18"/>
        <v>290881.02272727282</v>
      </c>
      <c r="BV66" s="590">
        <f>+BS$29*BU66+BT66</f>
        <v>43559.156810243891</v>
      </c>
      <c r="BW66" s="589">
        <f>+BW65</f>
        <v>20910494.488636367</v>
      </c>
      <c r="BX66" s="564">
        <f>+BX65</f>
        <v>576841.22727272729</v>
      </c>
      <c r="BY66" s="564">
        <f t="shared" si="20"/>
        <v>20333653.26136364</v>
      </c>
      <c r="BZ66" s="590">
        <f>+BW$29*BY66+BX66</f>
        <v>2916726.5342395976</v>
      </c>
      <c r="CA66" s="589">
        <f>+CA65</f>
        <v>1973229.6000000006</v>
      </c>
      <c r="CB66" s="564">
        <f>+CB65</f>
        <v>54433.919999999998</v>
      </c>
      <c r="CC66" s="564">
        <f t="shared" si="21"/>
        <v>1918795.6800000006</v>
      </c>
      <c r="CD66" s="590">
        <f>+CA$29*CC66+CB66</f>
        <v>286949.01646896213</v>
      </c>
      <c r="CE66" s="589">
        <f>+CE65</f>
        <v>171282.30454545459</v>
      </c>
      <c r="CF66" s="564">
        <f>+CF65</f>
        <v>4725.0290909090909</v>
      </c>
      <c r="CG66" s="564">
        <f t="shared" si="22"/>
        <v>166557.27545454551</v>
      </c>
      <c r="CH66" s="590">
        <f>+CE$29*CG66+CF66</f>
        <v>24908.043558567853</v>
      </c>
      <c r="CI66" s="589">
        <f>+CI65</f>
        <v>460511.59090909082</v>
      </c>
      <c r="CJ66" s="564">
        <f>+CJ65</f>
        <v>12362.727272727272</v>
      </c>
      <c r="CK66" s="564">
        <f t="shared" si="24"/>
        <v>448148.86363636353</v>
      </c>
      <c r="CL66" s="590">
        <f>+CI$29*CK66+CJ66</f>
        <v>63933.240838487902</v>
      </c>
      <c r="CM66" s="589">
        <f>+CM65</f>
        <v>20194126.340056818</v>
      </c>
      <c r="CN66" s="564">
        <f>+CN65</f>
        <v>483691.64886363636</v>
      </c>
      <c r="CO66" s="564">
        <f t="shared" si="34"/>
        <v>19710434.691193182</v>
      </c>
      <c r="CP66" s="590">
        <f>+CM$29*CO66+CN66</f>
        <v>2751860.3805242074</v>
      </c>
      <c r="CQ66" s="589">
        <f>+CQ65</f>
        <v>84240476.510284081</v>
      </c>
      <c r="CR66" s="564">
        <f>+CR65</f>
        <v>2017735.9643181816</v>
      </c>
      <c r="CS66" s="564">
        <f t="shared" si="40"/>
        <v>82222740.545965895</v>
      </c>
      <c r="CT66" s="590">
        <f>+CQ$29*CS66+CR66</f>
        <v>11479478.034427246</v>
      </c>
      <c r="CU66" s="589">
        <f>+CU65</f>
        <v>28400205.645000003</v>
      </c>
      <c r="CV66" s="564">
        <f>+CV65</f>
        <v>676195.37250000006</v>
      </c>
      <c r="CW66" s="564">
        <f t="shared" si="41"/>
        <v>27724010.272500005</v>
      </c>
      <c r="CX66" s="590">
        <f>+CU$29*CW66+CV66</f>
        <v>3866522.4353738395</v>
      </c>
      <c r="CY66" s="589">
        <f>+CY65</f>
        <v>31183.26420454551</v>
      </c>
      <c r="CZ66" s="564">
        <f>+CZ65</f>
        <v>733.72386363636497</v>
      </c>
      <c r="DA66" s="564">
        <f t="shared" si="42"/>
        <v>30449.540340909145</v>
      </c>
      <c r="DB66" s="590">
        <f>+CY$29*DA66+CZ66</f>
        <v>4237.6899798958948</v>
      </c>
      <c r="DC66" s="589">
        <f>+DC65</f>
        <v>1881420.9227272726</v>
      </c>
      <c r="DD66" s="564">
        <f>+DD65</f>
        <v>44530.672727272722</v>
      </c>
      <c r="DE66" s="564">
        <f t="shared" si="43"/>
        <v>1836890.25</v>
      </c>
      <c r="DF66" s="590">
        <f>+DC$29*DE66+DD66</f>
        <v>255909.92913726697</v>
      </c>
      <c r="DG66" s="589">
        <f>+DG65</f>
        <v>1047177.6585227272</v>
      </c>
      <c r="DH66" s="564">
        <f>+DH65</f>
        <v>24639.474318181816</v>
      </c>
      <c r="DI66" s="564">
        <f t="shared" si="44"/>
        <v>1022538.1842045453</v>
      </c>
      <c r="DJ66" s="590">
        <f>+DG$29*DI66+DH66</f>
        <v>142307.56092704835</v>
      </c>
      <c r="DK66" s="589">
        <f>+DK65</f>
        <v>23177279.77375</v>
      </c>
      <c r="DL66" s="564">
        <f>+DL65</f>
        <v>549658.80886363634</v>
      </c>
      <c r="DM66" s="564">
        <f t="shared" si="45"/>
        <v>22627620.964886364</v>
      </c>
      <c r="DN66" s="590">
        <f>+DK$29*DM66+DL66</f>
        <v>3153521.3389657345</v>
      </c>
      <c r="DO66" s="589">
        <f>+DO65</f>
        <v>845751.71678030258</v>
      </c>
      <c r="DP66" s="564">
        <f>+DP65</f>
        <v>19592.703863636354</v>
      </c>
      <c r="DQ66" s="564">
        <f t="shared" si="60"/>
        <v>826159.01291666622</v>
      </c>
      <c r="DR66" s="590">
        <f t="shared" si="65"/>
        <v>114662.55238982878</v>
      </c>
      <c r="DS66" s="589">
        <f>+DS65</f>
        <v>360865.24363636231</v>
      </c>
      <c r="DT66" s="564">
        <f>+DT65</f>
        <v>8295.7527272726966</v>
      </c>
      <c r="DU66" s="564">
        <f t="shared" si="61"/>
        <v>352569.49090908963</v>
      </c>
      <c r="DV66" s="590">
        <f t="shared" si="66"/>
        <v>48867.516239661956</v>
      </c>
      <c r="DW66" s="589">
        <f>+DW65</f>
        <v>52841.267443181816</v>
      </c>
      <c r="DX66" s="564">
        <f>+DX65</f>
        <v>1221.7634090909089</v>
      </c>
      <c r="DY66" s="564">
        <f t="shared" si="62"/>
        <v>51619.504034090904</v>
      </c>
      <c r="DZ66" s="590">
        <f t="shared" si="67"/>
        <v>7161.8528504600017</v>
      </c>
      <c r="EA66" s="589">
        <f>+EA65</f>
        <v>-312699.91153409291</v>
      </c>
      <c r="EB66" s="564">
        <f>+EB65</f>
        <v>-7120.3015909091364</v>
      </c>
      <c r="EC66" s="564">
        <f t="shared" si="63"/>
        <v>-305579.60994318378</v>
      </c>
      <c r="ED66" s="590">
        <f t="shared" si="68"/>
        <v>-42284.727295627352</v>
      </c>
      <c r="EE66" s="589"/>
      <c r="EF66" s="564"/>
      <c r="EG66" s="564"/>
      <c r="EH66" s="590"/>
      <c r="EI66" s="589"/>
      <c r="EJ66" s="564"/>
      <c r="EK66" s="564"/>
      <c r="EL66" s="590"/>
      <c r="EM66" s="589"/>
      <c r="EN66" s="564"/>
      <c r="EO66" s="564"/>
      <c r="EP66" s="590"/>
      <c r="EQ66" s="678">
        <f>+R66+J66+F66+N66+V66+Z66+AD66+AH66+AL66+AP66+AT66+BV66+BZ66+CD66+CH66+CL66+CP66+CT66+CX66+DB66+DF66+DJ66+DN66+DR66+DV66+DZ66+ED66</f>
        <v>42975561.347126879</v>
      </c>
      <c r="ER66" s="675">
        <f>+EQ66</f>
        <v>42975561.347126879</v>
      </c>
      <c r="ES66" s="648"/>
      <c r="ET66" s="900"/>
      <c r="EV66" s="589">
        <f>+EV65</f>
        <v>6565348.4333333354</v>
      </c>
      <c r="EW66" s="564">
        <f>+EW65</f>
        <v>1270712.6000000001</v>
      </c>
      <c r="EX66" s="564">
        <f t="shared" si="25"/>
        <v>5294635.8333333358</v>
      </c>
      <c r="EY66" s="590">
        <f t="shared" si="47"/>
        <v>2018970.3769465662</v>
      </c>
      <c r="EZ66" s="589">
        <f>+EZ65</f>
        <v>5366426.3999999985</v>
      </c>
      <c r="FA66" s="564">
        <f>+FA65</f>
        <v>894404.4</v>
      </c>
      <c r="FB66" s="564">
        <f t="shared" si="26"/>
        <v>4472021.9999999981</v>
      </c>
      <c r="FC66" s="590">
        <f t="shared" si="48"/>
        <v>1526407.3073783261</v>
      </c>
      <c r="FD66" s="589">
        <f>+FD65</f>
        <v>831046.66341666644</v>
      </c>
      <c r="FE66" s="564">
        <f>+FE65</f>
        <v>140458.59099999999</v>
      </c>
      <c r="FF66" s="564">
        <f t="shared" si="27"/>
        <v>690588.07241666643</v>
      </c>
      <c r="FG66" s="590">
        <f t="shared" si="49"/>
        <v>238055.08528561116</v>
      </c>
      <c r="FH66" s="589">
        <f>+FH65</f>
        <v>101761.80000000002</v>
      </c>
      <c r="FI66" s="564">
        <f>+FI65</f>
        <v>16960.3</v>
      </c>
      <c r="FJ66" s="564">
        <f t="shared" si="28"/>
        <v>84801.500000000015</v>
      </c>
      <c r="FK66" s="590">
        <f t="shared" si="50"/>
        <v>28944.765762924053</v>
      </c>
      <c r="FL66" s="589">
        <f>+FL65</f>
        <v>7731.6803333333337</v>
      </c>
      <c r="FM66" s="564">
        <f>+FM65</f>
        <v>1253.7860000000001</v>
      </c>
      <c r="FN66" s="564">
        <f t="shared" si="33"/>
        <v>6477.8943333333336</v>
      </c>
      <c r="FO66" s="590">
        <f t="shared" si="51"/>
        <v>2169.2663022785337</v>
      </c>
      <c r="FP66" s="589">
        <f>+FP65</f>
        <v>25207874.874999996</v>
      </c>
      <c r="FQ66" s="564">
        <f>+FQ65</f>
        <v>4033259.9799999995</v>
      </c>
      <c r="FR66" s="564">
        <f t="shared" si="29"/>
        <v>21174614.894999996</v>
      </c>
      <c r="FS66" s="590">
        <f t="shared" si="52"/>
        <v>7025735.9061596673</v>
      </c>
      <c r="FT66" s="589">
        <f>+FT65</f>
        <v>349267.83483333339</v>
      </c>
      <c r="FU66" s="564">
        <f>+FU65</f>
        <v>53053.342000000004</v>
      </c>
      <c r="FV66" s="564">
        <f t="shared" si="30"/>
        <v>296214.49283333338</v>
      </c>
      <c r="FW66" s="590">
        <f t="shared" si="53"/>
        <v>94915.484153652898</v>
      </c>
      <c r="FX66" s="589">
        <f>+FX65</f>
        <v>-354885.73549999984</v>
      </c>
      <c r="FY66" s="564">
        <f>+FY65</f>
        <v>-53906.693999999974</v>
      </c>
      <c r="FZ66" s="564">
        <f t="shared" si="31"/>
        <v>-300979.04149999988</v>
      </c>
      <c r="GA66" s="590">
        <f t="shared" si="54"/>
        <v>-96442.180025771289</v>
      </c>
      <c r="GB66" s="589">
        <f>+GB65</f>
        <v>22738072.131833337</v>
      </c>
      <c r="GC66" s="564">
        <f>+GC65</f>
        <v>3327522.7509999997</v>
      </c>
      <c r="GD66" s="564">
        <f t="shared" si="32"/>
        <v>19410549.380833339</v>
      </c>
      <c r="GE66" s="590">
        <f t="shared" si="55"/>
        <v>6070694.3280846477</v>
      </c>
      <c r="GF66" s="589">
        <f>+GF65</f>
        <v>344350.25474999996</v>
      </c>
      <c r="GG66" s="564">
        <f>+GG65</f>
        <v>49785.578999999998</v>
      </c>
      <c r="GH66" s="564">
        <f t="shared" si="37"/>
        <v>294564.67574999994</v>
      </c>
      <c r="GI66" s="590">
        <f t="shared" si="56"/>
        <v>91414.562820954801</v>
      </c>
      <c r="GJ66" s="589">
        <f>+GJ65</f>
        <v>1317046.4324999999</v>
      </c>
      <c r="GK66" s="564">
        <f>+GK65</f>
        <v>175606.19100000002</v>
      </c>
      <c r="GL66" s="564">
        <f t="shared" si="38"/>
        <v>1141440.2414999998</v>
      </c>
      <c r="GM66" s="590">
        <f t="shared" si="57"/>
        <v>336918.80333209923</v>
      </c>
      <c r="GN66" s="589">
        <f>+GN65</f>
        <v>31030642.99741666</v>
      </c>
      <c r="GO66" s="564">
        <f>+GO65</f>
        <v>3686809.0689999992</v>
      </c>
      <c r="GP66" s="564">
        <f t="shared" si="58"/>
        <v>27343833.928416662</v>
      </c>
      <c r="GQ66" s="590">
        <f t="shared" si="59"/>
        <v>7551142.1473322287</v>
      </c>
      <c r="GR66" s="589">
        <f>+GR65</f>
        <v>77604460.626333341</v>
      </c>
      <c r="GS66" s="564">
        <f>+GS65</f>
        <v>8028047.6510000005</v>
      </c>
      <c r="GT66" s="564">
        <f t="shared" si="64"/>
        <v>69576412.975333333</v>
      </c>
      <c r="GU66" s="590">
        <f t="shared" si="69"/>
        <v>17860847.061505087</v>
      </c>
      <c r="GV66" s="672">
        <f>+GV65</f>
        <v>-531831</v>
      </c>
      <c r="GW66" s="676">
        <f>+GW65</f>
        <v>-48751.175000000003</v>
      </c>
      <c r="GX66" s="676">
        <f t="shared" ref="GX66:GX86" si="70">+GV66-GW66</f>
        <v>-483079.82500000001</v>
      </c>
      <c r="GY66" s="1366">
        <f>+(((GV$29*GX66)*(12-GV$32)/12))+GW66</f>
        <v>-111332.60522056436</v>
      </c>
      <c r="GZ66" s="672">
        <f>+GZ65</f>
        <v>1297564</v>
      </c>
      <c r="HA66" s="671">
        <f>+HA65</f>
        <v>86504.266666666663</v>
      </c>
      <c r="HB66" s="671">
        <f t="shared" ref="HB66:HB86" si="71">+GZ66-HA66</f>
        <v>1211059.7333333334</v>
      </c>
      <c r="HC66" s="1366">
        <f>+(((GZ$29*HB66)*(12-GZ$32)/12))+HA66</f>
        <v>200605.26653883298</v>
      </c>
      <c r="HD66" s="672"/>
      <c r="HE66" s="671"/>
      <c r="HF66" s="671"/>
      <c r="HG66" s="1366"/>
      <c r="HI66" s="589"/>
      <c r="HJ66" s="564"/>
      <c r="HK66" s="564"/>
      <c r="HL66" s="590"/>
      <c r="HM66" s="589"/>
      <c r="HN66" s="564"/>
      <c r="HO66" s="564"/>
      <c r="HP66" s="590"/>
      <c r="HQ66" s="589"/>
      <c r="HR66" s="564"/>
      <c r="HS66" s="564"/>
      <c r="HT66" s="590"/>
    </row>
    <row r="67" spans="1:228">
      <c r="A67" s="649" t="s">
        <v>24</v>
      </c>
      <c r="B67" s="670">
        <f t="shared" si="0"/>
        <v>2020</v>
      </c>
      <c r="C67" s="671">
        <f>+E66</f>
        <v>14599687.47897727</v>
      </c>
      <c r="D67" s="671">
        <f>+C$31</f>
        <v>445791.98409090913</v>
      </c>
      <c r="E67" s="671">
        <f t="shared" si="6"/>
        <v>14153895.494886361</v>
      </c>
      <c r="F67" s="653">
        <f>+C$28*E67+D67</f>
        <v>2074544.6572644133</v>
      </c>
      <c r="G67" s="671">
        <f>+I66</f>
        <v>3764824.3602272701</v>
      </c>
      <c r="H67" s="671">
        <f>+G$31</f>
        <v>115840.74954545456</v>
      </c>
      <c r="I67" s="671">
        <f t="shared" si="7"/>
        <v>3648983.6106818155</v>
      </c>
      <c r="J67" s="653">
        <f>+G$28*I67+H67</f>
        <v>535745.77232957468</v>
      </c>
      <c r="K67" s="672">
        <f>+M66</f>
        <v>9697077.4160795398</v>
      </c>
      <c r="L67" s="671">
        <f>+K$31</f>
        <v>305419.76113636367</v>
      </c>
      <c r="M67" s="671">
        <f t="shared" si="8"/>
        <v>9391657.6549431756</v>
      </c>
      <c r="N67" s="653">
        <f>+K$28*M67+L67</f>
        <v>1386160.2199411937</v>
      </c>
      <c r="O67" s="672">
        <f>+Q66</f>
        <v>4036868.7651515137</v>
      </c>
      <c r="P67" s="671">
        <f>+O$31</f>
        <v>119316.31818181818</v>
      </c>
      <c r="Q67" s="671">
        <f t="shared" si="11"/>
        <v>3917552.4469696954</v>
      </c>
      <c r="R67" s="653">
        <f>+O$28*Q67+P67</f>
        <v>570126.76980657235</v>
      </c>
      <c r="S67" s="589">
        <f>+U66</f>
        <v>1875821.858787877</v>
      </c>
      <c r="T67" s="564">
        <f>+S$31</f>
        <v>58315.705454545445</v>
      </c>
      <c r="U67" s="564">
        <f t="shared" si="12"/>
        <v>1817506.1533333315</v>
      </c>
      <c r="V67" s="590">
        <f>+S$28*U67+T67</f>
        <v>267464.3463230941</v>
      </c>
      <c r="W67" s="589">
        <f>+Y66</f>
        <v>23456433.928030305</v>
      </c>
      <c r="X67" s="564">
        <f>+W$31</f>
        <v>693293.61363636365</v>
      </c>
      <c r="Y67" s="564">
        <f t="shared" si="13"/>
        <v>22763140.314393941</v>
      </c>
      <c r="Z67" s="590">
        <f>+W$28*Y67+X67</f>
        <v>3312750.9672877067</v>
      </c>
      <c r="AA67" s="589">
        <f>+AC66</f>
        <v>15290762.60416666</v>
      </c>
      <c r="AB67" s="564">
        <f>+AA$31</f>
        <v>450833.29545454547</v>
      </c>
      <c r="AC67" s="564">
        <f t="shared" si="14"/>
        <v>14839929.308712116</v>
      </c>
      <c r="AD67" s="590">
        <f>+AA$28*AC67+AB67</f>
        <v>2158530.9776935615</v>
      </c>
      <c r="AE67" s="589">
        <f>+AG66</f>
        <v>154029.19318181829</v>
      </c>
      <c r="AF67" s="564">
        <f>+AE$31</f>
        <v>4597.886363636364</v>
      </c>
      <c r="AG67" s="564">
        <f t="shared" si="15"/>
        <v>149431.30681818194</v>
      </c>
      <c r="AH67" s="590">
        <f>+AE$28*AG67+AF67</f>
        <v>21793.621666603431</v>
      </c>
      <c r="AI67" s="589">
        <f>+AK66</f>
        <v>10294902.208333334</v>
      </c>
      <c r="AJ67" s="564">
        <f>+AI$31</f>
        <v>295547.43181818182</v>
      </c>
      <c r="AK67" s="564">
        <f t="shared" si="19"/>
        <v>9999354.7765151523</v>
      </c>
      <c r="AL67" s="590">
        <f>+AI$28*AK67+AJ67</f>
        <v>1446218.3427446769</v>
      </c>
      <c r="AM67" s="589">
        <f>+AO66</f>
        <v>3824908.5910227261</v>
      </c>
      <c r="AN67" s="564">
        <f>+AM$31</f>
        <v>110866.91568181818</v>
      </c>
      <c r="AO67" s="564">
        <f t="shared" si="16"/>
        <v>3714041.6753409081</v>
      </c>
      <c r="AP67" s="590">
        <f>+AM$28*AO67+AN67</f>
        <v>538258.46376657195</v>
      </c>
      <c r="AQ67" s="589">
        <f>+AS66</f>
        <v>31446395.245227281</v>
      </c>
      <c r="AR67" s="564">
        <f>+AQ$31</f>
        <v>904932.23727272719</v>
      </c>
      <c r="AS67" s="564">
        <f t="shared" si="17"/>
        <v>30541463.007954553</v>
      </c>
      <c r="AT67" s="590">
        <f>+AQ$28*AS67+AR67</f>
        <v>4419476.3099492406</v>
      </c>
      <c r="AU67" s="672">
        <f>+AW66</f>
        <v>20875000</v>
      </c>
      <c r="AV67" s="671">
        <f>+AU$31</f>
        <v>750000</v>
      </c>
      <c r="AW67" s="671">
        <f t="shared" si="1"/>
        <v>20125000</v>
      </c>
      <c r="AX67" s="653">
        <f>+AU$28*AW67+AV67</f>
        <v>750000</v>
      </c>
      <c r="AY67" s="672">
        <f>+BA66</f>
        <v>13583333.333333332</v>
      </c>
      <c r="AZ67" s="671">
        <f>+AY$31</f>
        <v>500000</v>
      </c>
      <c r="BA67" s="671">
        <f t="shared" si="2"/>
        <v>13083333.333333332</v>
      </c>
      <c r="BB67" s="653">
        <f>+AY$28*BA67+AZ67</f>
        <v>500000</v>
      </c>
      <c r="BC67" s="672">
        <f>+BE66</f>
        <v>21250000</v>
      </c>
      <c r="BD67" s="671">
        <f>+BC$31</f>
        <v>750000</v>
      </c>
      <c r="BE67" s="671">
        <f t="shared" si="4"/>
        <v>20500000</v>
      </c>
      <c r="BF67" s="653">
        <f>+BC$28*BE67+BD67</f>
        <v>750000</v>
      </c>
      <c r="BG67" s="672">
        <f>+BI66</f>
        <v>13666666.666666672</v>
      </c>
      <c r="BH67" s="671">
        <f>+BG$31</f>
        <v>571428.57142857148</v>
      </c>
      <c r="BI67" s="671">
        <f t="shared" si="5"/>
        <v>13095238.095238101</v>
      </c>
      <c r="BJ67" s="653">
        <f>+BG$28*BI67+BH67</f>
        <v>571428.57142857148</v>
      </c>
      <c r="BK67" s="672">
        <f>+BM66</f>
        <v>17600000</v>
      </c>
      <c r="BL67" s="671">
        <f>+BK$31</f>
        <v>1200000</v>
      </c>
      <c r="BM67" s="671">
        <f t="shared" si="9"/>
        <v>16400000</v>
      </c>
      <c r="BN67" s="653">
        <f>+BK$28*BM67+BL67</f>
        <v>1200000</v>
      </c>
      <c r="BO67" s="672">
        <f>+BQ66</f>
        <v>13166666.666666664</v>
      </c>
      <c r="BP67" s="671">
        <f>+BO$31</f>
        <v>666666.66666666663</v>
      </c>
      <c r="BQ67" s="671">
        <f t="shared" si="10"/>
        <v>12499999.999999998</v>
      </c>
      <c r="BR67" s="653">
        <f>+BO$28*BQ67+BP67</f>
        <v>666666.66666666663</v>
      </c>
      <c r="BS67" s="589">
        <f>+BU66</f>
        <v>290881.02272727282</v>
      </c>
      <c r="BT67" s="564">
        <f>+BS$31</f>
        <v>8310.886363636364</v>
      </c>
      <c r="BU67" s="564">
        <f t="shared" si="18"/>
        <v>282570.13636363647</v>
      </c>
      <c r="BV67" s="590">
        <f>+BS$28*BU67+BT67</f>
        <v>40827.508033448234</v>
      </c>
      <c r="BW67" s="589">
        <f>+BY66</f>
        <v>20333653.26136364</v>
      </c>
      <c r="BX67" s="564">
        <f>+BW$31</f>
        <v>576841.22727272729</v>
      </c>
      <c r="BY67" s="564">
        <f t="shared" si="20"/>
        <v>19756812.034090914</v>
      </c>
      <c r="BZ67" s="590">
        <f>+BW$28*BY67+BX67</f>
        <v>2850346.8092192607</v>
      </c>
      <c r="CA67" s="589">
        <f>+CC66</f>
        <v>1918795.6800000006</v>
      </c>
      <c r="CB67" s="564">
        <f>+CA$31</f>
        <v>54433.919999999998</v>
      </c>
      <c r="CC67" s="564">
        <f t="shared" si="21"/>
        <v>1864361.7600000007</v>
      </c>
      <c r="CD67" s="590">
        <f>+CA$28*CC67+CB67</f>
        <v>268974.44712622778</v>
      </c>
      <c r="CE67" s="589">
        <f>+CG66</f>
        <v>166557.27545454551</v>
      </c>
      <c r="CF67" s="564">
        <f>+CE$31</f>
        <v>4725.0290909090909</v>
      </c>
      <c r="CG67" s="564">
        <f t="shared" si="22"/>
        <v>161832.24636363643</v>
      </c>
      <c r="CH67" s="590">
        <f>+CE$28*CG67+CF67</f>
        <v>23347.796509650881</v>
      </c>
      <c r="CI67" s="589">
        <f>+CK66</f>
        <v>448148.86363636353</v>
      </c>
      <c r="CJ67" s="564">
        <f>+CI$31</f>
        <v>12362.727272727272</v>
      </c>
      <c r="CK67" s="564">
        <f t="shared" si="24"/>
        <v>435786.13636363624</v>
      </c>
      <c r="CL67" s="590">
        <f>+CI$28*CK67+CJ67</f>
        <v>62510.605981501394</v>
      </c>
      <c r="CM67" s="589">
        <f>+CO66</f>
        <v>19710434.691193182</v>
      </c>
      <c r="CN67" s="564">
        <f>+CM$31</f>
        <v>483691.64886363636</v>
      </c>
      <c r="CO67" s="564">
        <f t="shared" si="34"/>
        <v>19226743.042329546</v>
      </c>
      <c r="CP67" s="590">
        <f>+CM$28*CO67+CN67</f>
        <v>2696199.7981521687</v>
      </c>
      <c r="CQ67" s="589">
        <f>+CS66</f>
        <v>82222740.545965895</v>
      </c>
      <c r="CR67" s="564">
        <f>+CQ$31</f>
        <v>2017735.9643181816</v>
      </c>
      <c r="CS67" s="564">
        <f t="shared" si="40"/>
        <v>80205004.581647709</v>
      </c>
      <c r="CT67" s="590">
        <f>+CQ$28*CS67+CR67</f>
        <v>11247288.044976717</v>
      </c>
      <c r="CU67" s="589">
        <f>+CW66</f>
        <v>27724010.272500005</v>
      </c>
      <c r="CV67" s="564">
        <f>+CU$31</f>
        <v>676195.37250000006</v>
      </c>
      <c r="CW67" s="564">
        <f t="shared" si="41"/>
        <v>27047814.900000006</v>
      </c>
      <c r="CX67" s="590">
        <f>+CU$28*CW67+CV67</f>
        <v>3788709.5801817947</v>
      </c>
      <c r="CY67" s="589">
        <f>+DA66</f>
        <v>30449.540340909145</v>
      </c>
      <c r="CZ67" s="564">
        <f>+CY$31</f>
        <v>733.72386363636497</v>
      </c>
      <c r="DA67" s="564">
        <f t="shared" si="42"/>
        <v>29715.81647727278</v>
      </c>
      <c r="DB67" s="590">
        <f>+CY$28*DA67+CZ67</f>
        <v>4153.2570614318101</v>
      </c>
      <c r="DC67" s="589">
        <f>+DE66</f>
        <v>1836890.25</v>
      </c>
      <c r="DD67" s="564">
        <f>+DC$31</f>
        <v>44530.672727272722</v>
      </c>
      <c r="DE67" s="564">
        <f t="shared" si="43"/>
        <v>1792359.5772727274</v>
      </c>
      <c r="DF67" s="590">
        <f>+DC$28*DE67+DD67</f>
        <v>250785.58352732772</v>
      </c>
      <c r="DG67" s="589">
        <f>+DI66</f>
        <v>1022538.1842045453</v>
      </c>
      <c r="DH67" s="564">
        <f>+DG$31</f>
        <v>24639.474318181816</v>
      </c>
      <c r="DI67" s="564">
        <f t="shared" si="44"/>
        <v>997898.70988636347</v>
      </c>
      <c r="DJ67" s="590">
        <f>+DG$28*DI67+DH67</f>
        <v>139472.1853461118</v>
      </c>
      <c r="DK67" s="589">
        <f>+DM66</f>
        <v>22627620.964886364</v>
      </c>
      <c r="DL67" s="564">
        <f>+DK$31</f>
        <v>549658.80886363634</v>
      </c>
      <c r="DM67" s="564">
        <f t="shared" si="45"/>
        <v>22077962.156022727</v>
      </c>
      <c r="DN67" s="590">
        <f>+DK$28*DM67+DL67</f>
        <v>3090269.6175867366</v>
      </c>
      <c r="DO67" s="589">
        <f>+DQ66</f>
        <v>826159.01291666622</v>
      </c>
      <c r="DP67" s="564">
        <f>+DP65</f>
        <v>19592.703863636354</v>
      </c>
      <c r="DQ67" s="564">
        <f t="shared" si="60"/>
        <v>806566.30905302987</v>
      </c>
      <c r="DR67" s="590">
        <f t="shared" si="65"/>
        <v>112407.93147616414</v>
      </c>
      <c r="DS67" s="589">
        <f>+DU66</f>
        <v>352569.49090908963</v>
      </c>
      <c r="DT67" s="564">
        <f>+DT65</f>
        <v>8295.7527272726966</v>
      </c>
      <c r="DU67" s="564">
        <f t="shared" si="61"/>
        <v>344273.73818181694</v>
      </c>
      <c r="DV67" s="590">
        <f t="shared" si="66"/>
        <v>47912.886509958684</v>
      </c>
      <c r="DW67" s="589">
        <f>+DY66</f>
        <v>51619.504034090904</v>
      </c>
      <c r="DX67" s="564">
        <f>+DX65</f>
        <v>1221.7634090909089</v>
      </c>
      <c r="DY67" s="564">
        <f t="shared" si="62"/>
        <v>50397.740624999991</v>
      </c>
      <c r="DZ67" s="590">
        <f t="shared" si="67"/>
        <v>7021.2590175281885</v>
      </c>
      <c r="EA67" s="589">
        <f>+EC66</f>
        <v>-305579.60994318378</v>
      </c>
      <c r="EB67" s="564">
        <f>+EB65</f>
        <v>-7120.3015909091364</v>
      </c>
      <c r="EC67" s="564">
        <f t="shared" si="63"/>
        <v>-298459.30835227465</v>
      </c>
      <c r="ED67" s="590">
        <f t="shared" si="68"/>
        <v>-41465.362036488288</v>
      </c>
      <c r="EE67" s="589">
        <f>+EE30</f>
        <v>8452784.6400000006</v>
      </c>
      <c r="EF67" s="564">
        <f>+EE$31/12*(12-EE$32)</f>
        <v>112063.43272727274</v>
      </c>
      <c r="EG67" s="564">
        <f t="shared" ref="EG67:EG127" si="72">+EE67-EF67</f>
        <v>8340721.207272728</v>
      </c>
      <c r="EH67" s="590">
        <f t="shared" ref="EH67:EH90" si="73">+EE$29*EG67+EF67</f>
        <v>1071867.8885004898</v>
      </c>
      <c r="EI67" s="589">
        <f>+EI30</f>
        <v>337475.76999999996</v>
      </c>
      <c r="EJ67" s="564">
        <f>+EI$31/12*(12-EI$32)</f>
        <v>1278.3173106060606</v>
      </c>
      <c r="EK67" s="564">
        <f t="shared" ref="EK67:EK130" si="74">+EI67-EJ67</f>
        <v>336197.45268939389</v>
      </c>
      <c r="EL67" s="590">
        <f t="shared" ref="EL67:EL90" si="75">+EI$29*EK67+EJ67</f>
        <v>39966.076449410517</v>
      </c>
      <c r="EM67" s="589">
        <f>+EM30</f>
        <v>11466731.9</v>
      </c>
      <c r="EN67" s="564">
        <f>+EM$31/12*(12-EM$32)</f>
        <v>0</v>
      </c>
      <c r="EO67" s="564">
        <f t="shared" ref="EO67:EO130" si="76">+EM67-EN67</f>
        <v>11466731.9</v>
      </c>
      <c r="EP67" s="590">
        <f t="shared" ref="EP67:EP90" si="77">+EM$29*EO67+EN67</f>
        <v>1319528.623157949</v>
      </c>
      <c r="EQ67" s="678">
        <f>+R67+J67+F67+N67+V67+Z67+AD67+AH67+AL67+AP67+AT67+BV67+BZ67+CD67+CH67+CL67+CP67+CT67+CX67+DB67+DF67+DJ67+DN67+DR67+DV67+DZ67+ED67+EH67+EL67+EP67</f>
        <v>43751194.98555059</v>
      </c>
      <c r="ER67" s="652"/>
      <c r="ES67" s="674">
        <f>+EQ67</f>
        <v>43751194.98555059</v>
      </c>
      <c r="EV67" s="589">
        <f>+EX66</f>
        <v>5294635.8333333358</v>
      </c>
      <c r="EW67" s="564">
        <f t="shared" ref="EW67:EW74" si="78">+EW66</f>
        <v>1270712.6000000001</v>
      </c>
      <c r="EX67" s="564">
        <f t="shared" si="25"/>
        <v>4023923.2333333357</v>
      </c>
      <c r="EY67" s="590">
        <f t="shared" si="47"/>
        <v>1839388.5104793904</v>
      </c>
      <c r="EZ67" s="589">
        <f>+FB66</f>
        <v>4472021.9999999981</v>
      </c>
      <c r="FA67" s="564">
        <f t="shared" ref="FA67:FA74" si="79">+FA66</f>
        <v>894404.4</v>
      </c>
      <c r="FB67" s="564">
        <f t="shared" si="26"/>
        <v>3577617.5999999982</v>
      </c>
      <c r="FC67" s="590">
        <f t="shared" si="48"/>
        <v>1400006.7259026607</v>
      </c>
      <c r="FD67" s="589">
        <f>+FF66</f>
        <v>690588.07241666643</v>
      </c>
      <c r="FE67" s="564">
        <f t="shared" ref="FE67:FE74" si="80">+FE66</f>
        <v>140458.59099999999</v>
      </c>
      <c r="FF67" s="564">
        <f t="shared" si="27"/>
        <v>550129.48141666641</v>
      </c>
      <c r="FG67" s="590">
        <f t="shared" si="49"/>
        <v>218204.95085463938</v>
      </c>
      <c r="FH67" s="589">
        <f>+FJ66</f>
        <v>84801.500000000015</v>
      </c>
      <c r="FI67" s="564">
        <f t="shared" ref="FI67:FI74" si="81">+FI66</f>
        <v>16960.3</v>
      </c>
      <c r="FJ67" s="564">
        <f t="shared" si="28"/>
        <v>67841.200000000012</v>
      </c>
      <c r="FK67" s="590">
        <f t="shared" si="50"/>
        <v>26547.87261033924</v>
      </c>
      <c r="FL67" s="589">
        <f>+FN66</f>
        <v>6477.8943333333336</v>
      </c>
      <c r="FM67" s="564">
        <f t="shared" ref="FM67:FM76" si="82">+FM66</f>
        <v>1253.7860000000001</v>
      </c>
      <c r="FN67" s="564">
        <f t="shared" si="33"/>
        <v>5224.1083333333336</v>
      </c>
      <c r="FO67" s="590">
        <f t="shared" si="51"/>
        <v>1992.0765663536563</v>
      </c>
      <c r="FP67" s="589">
        <f>+FR66</f>
        <v>21174614.894999996</v>
      </c>
      <c r="FQ67" s="564">
        <f t="shared" ref="FQ67:FQ76" si="83">+FQ66</f>
        <v>4033259.9799999995</v>
      </c>
      <c r="FR67" s="564">
        <f t="shared" si="29"/>
        <v>17141354.914999995</v>
      </c>
      <c r="FS67" s="590">
        <f t="shared" si="52"/>
        <v>6455740.4916530643</v>
      </c>
      <c r="FT67" s="589">
        <f>+FV66</f>
        <v>296214.49283333338</v>
      </c>
      <c r="FU67" s="564">
        <f t="shared" ref="FU67:FU76" si="84">+FU66</f>
        <v>53053.342000000004</v>
      </c>
      <c r="FV67" s="564">
        <f t="shared" si="30"/>
        <v>243161.15083333338</v>
      </c>
      <c r="FW67" s="590">
        <f t="shared" si="53"/>
        <v>87417.787051506108</v>
      </c>
      <c r="FX67" s="589">
        <f>+FZ66</f>
        <v>-300979.04149999988</v>
      </c>
      <c r="FY67" s="564">
        <f t="shared" ref="FY67:FY76" si="85">+FY66</f>
        <v>-53906.693999999974</v>
      </c>
      <c r="FZ67" s="564">
        <f t="shared" si="31"/>
        <v>-247072.34749999992</v>
      </c>
      <c r="GA67" s="590">
        <f t="shared" si="54"/>
        <v>-88823.884021155536</v>
      </c>
      <c r="GB67" s="589">
        <f>+GD66</f>
        <v>19410549.380833339</v>
      </c>
      <c r="GC67" s="564">
        <f t="shared" ref="GC67:GC76" si="86">+GC66</f>
        <v>3327522.7509999997</v>
      </c>
      <c r="GD67" s="564">
        <f t="shared" si="32"/>
        <v>16083026.629833339</v>
      </c>
      <c r="GE67" s="590">
        <f t="shared" si="55"/>
        <v>5600436.3434415655</v>
      </c>
      <c r="GF67" s="589">
        <f>+GH66</f>
        <v>294564.67574999994</v>
      </c>
      <c r="GG67" s="564">
        <f t="shared" ref="GG67:GG76" si="87">+GG66</f>
        <v>49785.578999999998</v>
      </c>
      <c r="GH67" s="564">
        <f t="shared" si="37"/>
        <v>244779.09674999994</v>
      </c>
      <c r="GI67" s="590">
        <f t="shared" si="56"/>
        <v>84378.678231497644</v>
      </c>
      <c r="GJ67" s="589">
        <f>+GL66</f>
        <v>1141440.2414999998</v>
      </c>
      <c r="GK67" s="564">
        <f t="shared" ref="GK67:GK76" si="88">+GK66</f>
        <v>175606.19100000002</v>
      </c>
      <c r="GL67" s="564">
        <f t="shared" si="38"/>
        <v>965834.05049999978</v>
      </c>
      <c r="GM67" s="590">
        <f t="shared" si="57"/>
        <v>312101.47835793009</v>
      </c>
      <c r="GN67" s="589">
        <f>+GP66</f>
        <v>27343833.928416662</v>
      </c>
      <c r="GO67" s="564">
        <f t="shared" ref="GO67:GO76" si="89">+GO66</f>
        <v>3686809.0689999992</v>
      </c>
      <c r="GP67" s="564">
        <f t="shared" si="58"/>
        <v>23657024.859416664</v>
      </c>
      <c r="GQ67" s="590">
        <f t="shared" si="59"/>
        <v>7030108.4738492314</v>
      </c>
      <c r="GR67" s="589">
        <f>+GT66</f>
        <v>69576412.975333333</v>
      </c>
      <c r="GS67" s="564">
        <f>+GS65</f>
        <v>8028047.6510000005</v>
      </c>
      <c r="GT67" s="564">
        <f t="shared" si="64"/>
        <v>61548365.324333332</v>
      </c>
      <c r="GU67" s="590">
        <f t="shared" si="69"/>
        <v>16726293.283369884</v>
      </c>
      <c r="GV67" s="672">
        <f>+GX66</f>
        <v>-483079.82500000001</v>
      </c>
      <c r="GW67" s="676">
        <f>+GV31</f>
        <v>-53183.1</v>
      </c>
      <c r="GX67" s="676">
        <f t="shared" si="70"/>
        <v>-429896.72500000003</v>
      </c>
      <c r="GY67" s="1366">
        <f t="shared" ref="GY67:GY86" si="90">+GV$29*GX67+GW67</f>
        <v>-113937.71616074807</v>
      </c>
      <c r="GZ67" s="672">
        <f>+HB66</f>
        <v>1211059.7333333334</v>
      </c>
      <c r="HA67" s="671">
        <f>+GZ31</f>
        <v>129756.4</v>
      </c>
      <c r="HB67" s="671">
        <f t="shared" si="71"/>
        <v>1081303.3333333335</v>
      </c>
      <c r="HC67" s="1366">
        <f t="shared" ref="HC67:HC86" si="91">+GZ$29*HB67+HA67</f>
        <v>282570.23911450844</v>
      </c>
      <c r="HD67" s="672">
        <f>+HD30</f>
        <v>4400963</v>
      </c>
      <c r="HE67" s="671">
        <f>+HD$31/12*(12-$HD$32)</f>
        <v>403421.60833333334</v>
      </c>
      <c r="HF67" s="671">
        <f t="shared" ref="HF67:HF86" si="92">+HD67-HE67</f>
        <v>3997541.3916666666</v>
      </c>
      <c r="HG67" s="1366">
        <f t="shared" ref="HG67:HG86" si="93">+HD$29*HF67+HE67</f>
        <v>968369.13808576623</v>
      </c>
      <c r="HH67" s="676">
        <f>+EY67+FC67+FG67+FK67+FO67+FS67+FW67+GE67+GA67+GI67+GM67+GQ67+GU67+GY67+HC67+HG67</f>
        <v>40830794.44938644</v>
      </c>
      <c r="HI67" s="589"/>
      <c r="HJ67" s="564"/>
      <c r="HK67" s="564"/>
      <c r="HL67" s="590"/>
      <c r="HM67" s="589"/>
      <c r="HN67" s="564"/>
      <c r="HO67" s="564"/>
      <c r="HP67" s="590"/>
      <c r="HQ67" s="589"/>
      <c r="HR67" s="564"/>
      <c r="HS67" s="564"/>
      <c r="HT67" s="590"/>
    </row>
    <row r="68" spans="1:228" ht="13">
      <c r="A68" s="649" t="s">
        <v>23</v>
      </c>
      <c r="B68" s="670">
        <f t="shared" si="0"/>
        <v>2020</v>
      </c>
      <c r="C68" s="671">
        <f>+C67</f>
        <v>14599687.47897727</v>
      </c>
      <c r="D68" s="671">
        <f>+D67</f>
        <v>445791.98409090913</v>
      </c>
      <c r="E68" s="671">
        <f t="shared" si="6"/>
        <v>14153895.494886361</v>
      </c>
      <c r="F68" s="653">
        <f>+C$29*E68+D68</f>
        <v>2160927.373808437</v>
      </c>
      <c r="G68" s="671">
        <f>+G67</f>
        <v>3764824.3602272701</v>
      </c>
      <c r="H68" s="671">
        <f>+H67</f>
        <v>115840.74954545456</v>
      </c>
      <c r="I68" s="671">
        <f t="shared" si="7"/>
        <v>3648983.6106818155</v>
      </c>
      <c r="J68" s="653">
        <f>+G$29*I68+H68</f>
        <v>558015.90404202067</v>
      </c>
      <c r="K68" s="672">
        <f>+K67</f>
        <v>9697077.4160795398</v>
      </c>
      <c r="L68" s="671">
        <f>+L67</f>
        <v>305419.76113636367</v>
      </c>
      <c r="M68" s="671">
        <f t="shared" si="8"/>
        <v>9391657.6549431756</v>
      </c>
      <c r="N68" s="653">
        <f>+K$29*M68+L68</f>
        <v>1443478.4968338395</v>
      </c>
      <c r="O68" s="672">
        <f>+O67</f>
        <v>4036868.7651515137</v>
      </c>
      <c r="P68" s="671">
        <f>+P67</f>
        <v>119316.31818181818</v>
      </c>
      <c r="Q68" s="671">
        <f t="shared" si="11"/>
        <v>3917552.4469696954</v>
      </c>
      <c r="R68" s="653">
        <f>+O$29*Q68+P68</f>
        <v>594036.00544387056</v>
      </c>
      <c r="S68" s="589">
        <f>+S67</f>
        <v>1875821.858787877</v>
      </c>
      <c r="T68" s="564">
        <f>+T67</f>
        <v>58315.705454545445</v>
      </c>
      <c r="U68" s="564">
        <f t="shared" si="12"/>
        <v>1817506.1533333315</v>
      </c>
      <c r="V68" s="590">
        <f>+S$29*U68+T68</f>
        <v>278556.77800857148</v>
      </c>
      <c r="W68" s="589">
        <f>+W67</f>
        <v>23456433.928030305</v>
      </c>
      <c r="X68" s="564">
        <f>+X67</f>
        <v>693293.61363636365</v>
      </c>
      <c r="Y68" s="564">
        <f t="shared" si="13"/>
        <v>22763140.314393941</v>
      </c>
      <c r="Z68" s="590">
        <f>+W$29*Y68+X68</f>
        <v>3451676.8126947577</v>
      </c>
      <c r="AA68" s="589">
        <f>+AA67</f>
        <v>15290762.60416666</v>
      </c>
      <c r="AB68" s="564">
        <f>+AB67</f>
        <v>450833.29545454547</v>
      </c>
      <c r="AC68" s="564">
        <f t="shared" si="14"/>
        <v>14839929.308712116</v>
      </c>
      <c r="AD68" s="590">
        <f>+AA$29*AC68+AB68</f>
        <v>2249100.6309364424</v>
      </c>
      <c r="AE68" s="589">
        <f>+AE67</f>
        <v>154029.19318181829</v>
      </c>
      <c r="AF68" s="564">
        <f>+AF67</f>
        <v>4597.886363636364</v>
      </c>
      <c r="AG68" s="564">
        <f t="shared" si="15"/>
        <v>149431.30681818194</v>
      </c>
      <c r="AH68" s="590">
        <f>+AE$29*AG68+AF68</f>
        <v>22705.616687644932</v>
      </c>
      <c r="AI68" s="589">
        <f>+AI67</f>
        <v>10294902.208333334</v>
      </c>
      <c r="AJ68" s="564">
        <f>+AJ67</f>
        <v>295547.43181818182</v>
      </c>
      <c r="AK68" s="564">
        <f t="shared" si="19"/>
        <v>9999354.7765151523</v>
      </c>
      <c r="AL68" s="590">
        <f>+AI$29*AK68+AJ68</f>
        <v>1507245.4592437998</v>
      </c>
      <c r="AM68" s="589">
        <f>+AM67</f>
        <v>3824908.5910227261</v>
      </c>
      <c r="AN68" s="564">
        <f>+AN67</f>
        <v>110866.91568181818</v>
      </c>
      <c r="AO68" s="564">
        <f t="shared" si="16"/>
        <v>3714041.6753409081</v>
      </c>
      <c r="AP68" s="590">
        <f>+AM$29*AO68+AN68</f>
        <v>560925.65170713409</v>
      </c>
      <c r="AQ68" s="589">
        <f>+AQ67</f>
        <v>31446395.245227281</v>
      </c>
      <c r="AR68" s="564">
        <f>+AR67</f>
        <v>904932.23727272719</v>
      </c>
      <c r="AS68" s="564">
        <f t="shared" si="17"/>
        <v>30541463.007954553</v>
      </c>
      <c r="AT68" s="590">
        <f>+AQ$29*AS68+AR68</f>
        <v>4605874.0788750537</v>
      </c>
      <c r="AU68" s="672">
        <f>+AU67</f>
        <v>20875000</v>
      </c>
      <c r="AV68" s="671">
        <f>+AV67</f>
        <v>750000</v>
      </c>
      <c r="AW68" s="671">
        <f t="shared" si="1"/>
        <v>20125000</v>
      </c>
      <c r="AX68" s="653">
        <f>+AU$29*AW68+AV68</f>
        <v>750000</v>
      </c>
      <c r="AY68" s="672">
        <f>+AY67</f>
        <v>13583333.333333332</v>
      </c>
      <c r="AZ68" s="671">
        <f>+AZ67</f>
        <v>500000</v>
      </c>
      <c r="BA68" s="671">
        <f t="shared" si="2"/>
        <v>13083333.333333332</v>
      </c>
      <c r="BB68" s="653">
        <f>+AY$29*BA68+AZ68</f>
        <v>500000</v>
      </c>
      <c r="BC68" s="672">
        <f>+BC67</f>
        <v>21250000</v>
      </c>
      <c r="BD68" s="671">
        <f>+BD67</f>
        <v>750000</v>
      </c>
      <c r="BE68" s="671">
        <f t="shared" si="4"/>
        <v>20500000</v>
      </c>
      <c r="BF68" s="653">
        <f>+BC$29*BE68+BD68</f>
        <v>750000</v>
      </c>
      <c r="BG68" s="672">
        <f>+BG67</f>
        <v>13666666.666666672</v>
      </c>
      <c r="BH68" s="671">
        <f>+BH67</f>
        <v>571428.57142857148</v>
      </c>
      <c r="BI68" s="671">
        <f t="shared" si="5"/>
        <v>13095238.095238101</v>
      </c>
      <c r="BJ68" s="653">
        <f>+BG$29*BI68+BH68</f>
        <v>571428.57142857148</v>
      </c>
      <c r="BK68" s="672">
        <f>+BK67</f>
        <v>17600000</v>
      </c>
      <c r="BL68" s="671">
        <f>+BL67</f>
        <v>1200000</v>
      </c>
      <c r="BM68" s="671">
        <f t="shared" si="9"/>
        <v>16400000</v>
      </c>
      <c r="BN68" s="653">
        <f>+BK$29*BM68+BL68</f>
        <v>1200000</v>
      </c>
      <c r="BO68" s="672">
        <f>+BO67</f>
        <v>13166666.666666664</v>
      </c>
      <c r="BP68" s="671">
        <f>+BP67</f>
        <v>666666.66666666663</v>
      </c>
      <c r="BQ68" s="671">
        <f t="shared" si="10"/>
        <v>12499999.999999998</v>
      </c>
      <c r="BR68" s="653">
        <f>+BO$29*BQ68+BP68</f>
        <v>666666.66666666663</v>
      </c>
      <c r="BS68" s="589">
        <f>+BS67</f>
        <v>290881.02272727282</v>
      </c>
      <c r="BT68" s="564">
        <f>+BT67</f>
        <v>8310.886363636364</v>
      </c>
      <c r="BU68" s="564">
        <f t="shared" si="18"/>
        <v>282570.13636363647</v>
      </c>
      <c r="BV68" s="590">
        <f>+BS$29*BU68+BT68</f>
        <v>42552.063368912248</v>
      </c>
      <c r="BW68" s="589">
        <f>+BW67</f>
        <v>20333653.26136364</v>
      </c>
      <c r="BX68" s="564">
        <f>+BX67</f>
        <v>576841.22727272729</v>
      </c>
      <c r="BY68" s="564">
        <f t="shared" si="20"/>
        <v>19756812.034090914</v>
      </c>
      <c r="BZ68" s="590">
        <f>+BW$29*BY68+BX68</f>
        <v>2850346.8092192607</v>
      </c>
      <c r="CA68" s="589">
        <f>+CA67</f>
        <v>1918795.6800000006</v>
      </c>
      <c r="CB68" s="564">
        <f>+CB67</f>
        <v>54433.919999999998</v>
      </c>
      <c r="CC68" s="564">
        <f t="shared" si="21"/>
        <v>1864361.7600000007</v>
      </c>
      <c r="CD68" s="590">
        <f>+CA$29*CC68+CB68</f>
        <v>280352.843519488</v>
      </c>
      <c r="CE68" s="589">
        <f>+CE67</f>
        <v>166557.27545454551</v>
      </c>
      <c r="CF68" s="564">
        <f>+CF67</f>
        <v>4725.0290909090909</v>
      </c>
      <c r="CG68" s="564">
        <f t="shared" si="22"/>
        <v>161832.24636363643</v>
      </c>
      <c r="CH68" s="590">
        <f>+CE$29*CG68+CF68</f>
        <v>24335.475772251295</v>
      </c>
      <c r="CI68" s="589">
        <f>+CI67</f>
        <v>448148.86363636353</v>
      </c>
      <c r="CJ68" s="564">
        <f>+CJ67</f>
        <v>12362.727272727272</v>
      </c>
      <c r="CK68" s="564">
        <f t="shared" si="24"/>
        <v>435786.13636363624</v>
      </c>
      <c r="CL68" s="590">
        <f>+CI$29*CK68+CJ68</f>
        <v>62510.605981501394</v>
      </c>
      <c r="CM68" s="589">
        <f>+CM67</f>
        <v>19710434.691193182</v>
      </c>
      <c r="CN68" s="564">
        <f>+CN67</f>
        <v>483691.64886363636</v>
      </c>
      <c r="CO68" s="564">
        <f t="shared" si="34"/>
        <v>19226743.042329546</v>
      </c>
      <c r="CP68" s="590">
        <f>+CM$29*CO68+CN68</f>
        <v>2696199.7981521687</v>
      </c>
      <c r="CQ68" s="589">
        <f>+CQ67</f>
        <v>82222740.545965895</v>
      </c>
      <c r="CR68" s="564">
        <f>+CR67</f>
        <v>2017735.9643181816</v>
      </c>
      <c r="CS68" s="564">
        <f t="shared" si="40"/>
        <v>80205004.581647709</v>
      </c>
      <c r="CT68" s="590">
        <f>+CQ$29*CS68+CR68</f>
        <v>11247288.044976717</v>
      </c>
      <c r="CU68" s="589">
        <f>+CU67</f>
        <v>27724010.272500005</v>
      </c>
      <c r="CV68" s="564">
        <f>+CV67</f>
        <v>676195.37250000006</v>
      </c>
      <c r="CW68" s="564">
        <f t="shared" si="41"/>
        <v>27047814.900000006</v>
      </c>
      <c r="CX68" s="590">
        <f>+CU$29*CW68+CV68</f>
        <v>3788709.5801817947</v>
      </c>
      <c r="CY68" s="589">
        <f>+CY67</f>
        <v>30449.540340909145</v>
      </c>
      <c r="CZ68" s="564">
        <f>+CZ67</f>
        <v>733.72386363636497</v>
      </c>
      <c r="DA68" s="564">
        <f t="shared" si="42"/>
        <v>29715.81647727278</v>
      </c>
      <c r="DB68" s="590">
        <f>+CY$29*DA68+CZ68</f>
        <v>4153.2570614318101</v>
      </c>
      <c r="DC68" s="589">
        <f>+DC67</f>
        <v>1836890.25</v>
      </c>
      <c r="DD68" s="564">
        <f>+DD67</f>
        <v>44530.672727272722</v>
      </c>
      <c r="DE68" s="564">
        <f t="shared" si="43"/>
        <v>1792359.5772727274</v>
      </c>
      <c r="DF68" s="590">
        <f>+DC$29*DE68+DD68</f>
        <v>250785.58352732772</v>
      </c>
      <c r="DG68" s="589">
        <f>+DG67</f>
        <v>1022538.1842045453</v>
      </c>
      <c r="DH68" s="564">
        <f>+DH67</f>
        <v>24639.474318181816</v>
      </c>
      <c r="DI68" s="564">
        <f t="shared" si="44"/>
        <v>997898.70988636347</v>
      </c>
      <c r="DJ68" s="590">
        <f>+DG$29*DI68+DH68</f>
        <v>139472.1853461118</v>
      </c>
      <c r="DK68" s="589">
        <f>+DK67</f>
        <v>22627620.964886364</v>
      </c>
      <c r="DL68" s="564">
        <f>+DL67</f>
        <v>549658.80886363634</v>
      </c>
      <c r="DM68" s="564">
        <f t="shared" si="45"/>
        <v>22077962.156022727</v>
      </c>
      <c r="DN68" s="590">
        <f>+DK$29*DM68+DL68</f>
        <v>3090269.6175867366</v>
      </c>
      <c r="DO68" s="589">
        <f>+DO67</f>
        <v>826159.01291666622</v>
      </c>
      <c r="DP68" s="564">
        <f>+DP67</f>
        <v>19592.703863636354</v>
      </c>
      <c r="DQ68" s="564">
        <f t="shared" si="60"/>
        <v>806566.30905302987</v>
      </c>
      <c r="DR68" s="590">
        <f t="shared" si="65"/>
        <v>112407.93147616414</v>
      </c>
      <c r="DS68" s="589">
        <f>+DS67</f>
        <v>352569.49090908963</v>
      </c>
      <c r="DT68" s="564">
        <f>+DT67</f>
        <v>8295.7527272726966</v>
      </c>
      <c r="DU68" s="564">
        <f t="shared" si="61"/>
        <v>344273.73818181694</v>
      </c>
      <c r="DV68" s="590">
        <f t="shared" si="66"/>
        <v>47912.886509958684</v>
      </c>
      <c r="DW68" s="589">
        <f>+DW67</f>
        <v>51619.504034090904</v>
      </c>
      <c r="DX68" s="564">
        <f>+DX67</f>
        <v>1221.7634090909089</v>
      </c>
      <c r="DY68" s="564">
        <f t="shared" si="62"/>
        <v>50397.740624999991</v>
      </c>
      <c r="DZ68" s="590">
        <f t="shared" si="67"/>
        <v>7021.2590175281885</v>
      </c>
      <c r="EA68" s="589">
        <f>+EA67</f>
        <v>-305579.60994318378</v>
      </c>
      <c r="EB68" s="564">
        <f>+EB67</f>
        <v>-7120.3015909091364</v>
      </c>
      <c r="EC68" s="564">
        <f t="shared" si="63"/>
        <v>-298459.30835227465</v>
      </c>
      <c r="ED68" s="590">
        <f t="shared" si="68"/>
        <v>-41465.362036488288</v>
      </c>
      <c r="EE68" s="589">
        <f>+EE67</f>
        <v>8452784.6400000006</v>
      </c>
      <c r="EF68" s="564">
        <f>+EF67</f>
        <v>112063.43272727274</v>
      </c>
      <c r="EG68" s="564">
        <f t="shared" si="72"/>
        <v>8340721.207272728</v>
      </c>
      <c r="EH68" s="590">
        <f t="shared" si="73"/>
        <v>1071867.8885004898</v>
      </c>
      <c r="EI68" s="589">
        <f>+EI67</f>
        <v>337475.76999999996</v>
      </c>
      <c r="EJ68" s="564">
        <f>+EJ67</f>
        <v>1278.3173106060606</v>
      </c>
      <c r="EK68" s="564">
        <f t="shared" si="74"/>
        <v>336197.45268939389</v>
      </c>
      <c r="EL68" s="590">
        <f t="shared" si="75"/>
        <v>39966.076449410517</v>
      </c>
      <c r="EM68" s="589">
        <f>+EM67</f>
        <v>11466731.9</v>
      </c>
      <c r="EN68" s="564">
        <f>+EN67</f>
        <v>0</v>
      </c>
      <c r="EO68" s="564">
        <f t="shared" si="76"/>
        <v>11466731.9</v>
      </c>
      <c r="EP68" s="590">
        <f t="shared" si="77"/>
        <v>1319528.623157949</v>
      </c>
      <c r="EQ68" s="678">
        <f t="shared" ref="EQ68:EQ131" si="94">+R68+J68+F68+N68+V68+Z68+AD68+AH68+AL68+AP68+AT68+BV68+BZ68+CD68+CH68+CL68+CP68+CT68+CX68+DB68+DF68+DJ68+DN68+DR68+DV68+DZ68+ED68+EH68+EL68+EP68</f>
        <v>44466757.976050273</v>
      </c>
      <c r="ER68" s="675">
        <f>+EQ68</f>
        <v>44466757.976050273</v>
      </c>
      <c r="ES68" s="648"/>
      <c r="ET68" s="900">
        <f>+ER68-ES67</f>
        <v>715562.99049968272</v>
      </c>
      <c r="EU68" s="561">
        <v>2020</v>
      </c>
      <c r="EV68" s="589">
        <f>+EV67</f>
        <v>5294635.8333333358</v>
      </c>
      <c r="EW68" s="564">
        <f t="shared" si="78"/>
        <v>1270712.6000000001</v>
      </c>
      <c r="EX68" s="564">
        <f t="shared" si="25"/>
        <v>4023923.2333333357</v>
      </c>
      <c r="EY68" s="590">
        <f t="shared" si="47"/>
        <v>1839388.5104793904</v>
      </c>
      <c r="EZ68" s="589">
        <f>+EZ67</f>
        <v>4472021.9999999981</v>
      </c>
      <c r="FA68" s="564">
        <f t="shared" si="79"/>
        <v>894404.4</v>
      </c>
      <c r="FB68" s="564">
        <f t="shared" si="26"/>
        <v>3577617.5999999982</v>
      </c>
      <c r="FC68" s="590">
        <f t="shared" si="48"/>
        <v>1400006.7259026607</v>
      </c>
      <c r="FD68" s="589">
        <f>+FD67</f>
        <v>690588.07241666643</v>
      </c>
      <c r="FE68" s="564">
        <f t="shared" si="80"/>
        <v>140458.59099999999</v>
      </c>
      <c r="FF68" s="564">
        <f t="shared" si="27"/>
        <v>550129.48141666641</v>
      </c>
      <c r="FG68" s="590">
        <f t="shared" si="49"/>
        <v>218204.95085463938</v>
      </c>
      <c r="FH68" s="589">
        <f>+FH67</f>
        <v>84801.500000000015</v>
      </c>
      <c r="FI68" s="564">
        <f t="shared" si="81"/>
        <v>16960.3</v>
      </c>
      <c r="FJ68" s="564">
        <f t="shared" si="28"/>
        <v>67841.200000000012</v>
      </c>
      <c r="FK68" s="590">
        <f t="shared" si="50"/>
        <v>26547.87261033924</v>
      </c>
      <c r="FL68" s="589">
        <f>+FL67</f>
        <v>6477.8943333333336</v>
      </c>
      <c r="FM68" s="564">
        <f t="shared" si="82"/>
        <v>1253.7860000000001</v>
      </c>
      <c r="FN68" s="564">
        <f t="shared" si="33"/>
        <v>5224.1083333333336</v>
      </c>
      <c r="FO68" s="590">
        <f t="shared" si="51"/>
        <v>1992.0765663536563</v>
      </c>
      <c r="FP68" s="589">
        <f>+FP67</f>
        <v>21174614.894999996</v>
      </c>
      <c r="FQ68" s="564">
        <f t="shared" si="83"/>
        <v>4033259.9799999995</v>
      </c>
      <c r="FR68" s="564">
        <f t="shared" si="29"/>
        <v>17141354.914999995</v>
      </c>
      <c r="FS68" s="590">
        <f t="shared" si="52"/>
        <v>6455740.4916530643</v>
      </c>
      <c r="FT68" s="589">
        <f>+FT67</f>
        <v>296214.49283333338</v>
      </c>
      <c r="FU68" s="564">
        <f t="shared" si="84"/>
        <v>53053.342000000004</v>
      </c>
      <c r="FV68" s="564">
        <f t="shared" si="30"/>
        <v>243161.15083333338</v>
      </c>
      <c r="FW68" s="590">
        <f t="shared" si="53"/>
        <v>87417.787051506108</v>
      </c>
      <c r="FX68" s="589">
        <f>+FX67</f>
        <v>-300979.04149999988</v>
      </c>
      <c r="FY68" s="564">
        <f t="shared" si="85"/>
        <v>-53906.693999999974</v>
      </c>
      <c r="FZ68" s="564">
        <f t="shared" si="31"/>
        <v>-247072.34749999992</v>
      </c>
      <c r="GA68" s="590">
        <f t="shared" si="54"/>
        <v>-88823.884021155536</v>
      </c>
      <c r="GB68" s="589">
        <f>+GB67</f>
        <v>19410549.380833339</v>
      </c>
      <c r="GC68" s="564">
        <f t="shared" si="86"/>
        <v>3327522.7509999997</v>
      </c>
      <c r="GD68" s="564">
        <f t="shared" si="32"/>
        <v>16083026.629833339</v>
      </c>
      <c r="GE68" s="590">
        <f t="shared" si="55"/>
        <v>5600436.3434415655</v>
      </c>
      <c r="GF68" s="589">
        <f>+GF67</f>
        <v>294564.67574999994</v>
      </c>
      <c r="GG68" s="564">
        <f t="shared" si="87"/>
        <v>49785.578999999998</v>
      </c>
      <c r="GH68" s="564">
        <f t="shared" si="37"/>
        <v>244779.09674999994</v>
      </c>
      <c r="GI68" s="590">
        <f t="shared" si="56"/>
        <v>84378.678231497644</v>
      </c>
      <c r="GJ68" s="589">
        <f>+GJ67</f>
        <v>1141440.2414999998</v>
      </c>
      <c r="GK68" s="564">
        <f t="shared" si="88"/>
        <v>175606.19100000002</v>
      </c>
      <c r="GL68" s="564">
        <f t="shared" si="38"/>
        <v>965834.05049999978</v>
      </c>
      <c r="GM68" s="590">
        <f t="shared" si="57"/>
        <v>312101.47835793009</v>
      </c>
      <c r="GN68" s="589">
        <f>+GN67</f>
        <v>27343833.928416662</v>
      </c>
      <c r="GO68" s="564">
        <f t="shared" si="89"/>
        <v>3686809.0689999992</v>
      </c>
      <c r="GP68" s="564">
        <f t="shared" si="58"/>
        <v>23657024.859416664</v>
      </c>
      <c r="GQ68" s="590">
        <f t="shared" si="59"/>
        <v>7030108.4738492314</v>
      </c>
      <c r="GR68" s="589">
        <f>+GR67</f>
        <v>69576412.975333333</v>
      </c>
      <c r="GS68" s="564">
        <f>+GS67</f>
        <v>8028047.6510000005</v>
      </c>
      <c r="GT68" s="564">
        <f t="shared" si="64"/>
        <v>61548365.324333332</v>
      </c>
      <c r="GU68" s="590">
        <f t="shared" si="69"/>
        <v>16726293.283369884</v>
      </c>
      <c r="GV68" s="672">
        <f>+GV67</f>
        <v>-483079.82500000001</v>
      </c>
      <c r="GW68" s="676">
        <f>+GW67</f>
        <v>-53183.1</v>
      </c>
      <c r="GX68" s="676">
        <f t="shared" si="70"/>
        <v>-429896.72500000003</v>
      </c>
      <c r="GY68" s="1366">
        <f t="shared" si="90"/>
        <v>-113937.71616074807</v>
      </c>
      <c r="GZ68" s="672">
        <f>+GZ67</f>
        <v>1211059.7333333334</v>
      </c>
      <c r="HA68" s="671">
        <f>+HA67</f>
        <v>129756.4</v>
      </c>
      <c r="HB68" s="671">
        <f t="shared" si="71"/>
        <v>1081303.3333333335</v>
      </c>
      <c r="HC68" s="1366">
        <f t="shared" si="91"/>
        <v>282570.23911450844</v>
      </c>
      <c r="HD68" s="672">
        <f>+HD67</f>
        <v>4400963</v>
      </c>
      <c r="HE68" s="671">
        <f>+HE67</f>
        <v>403421.60833333334</v>
      </c>
      <c r="HF68" s="671">
        <f t="shared" si="92"/>
        <v>3997541.3916666666</v>
      </c>
      <c r="HG68" s="1366">
        <f t="shared" si="93"/>
        <v>968369.13808576623</v>
      </c>
      <c r="HI68" s="589"/>
      <c r="HJ68" s="564"/>
      <c r="HK68" s="564"/>
      <c r="HL68" s="590"/>
      <c r="HM68" s="589"/>
      <c r="HN68" s="564"/>
      <c r="HO68" s="564"/>
      <c r="HP68" s="590"/>
      <c r="HQ68" s="589"/>
      <c r="HR68" s="564"/>
      <c r="HS68" s="564"/>
      <c r="HT68" s="590"/>
    </row>
    <row r="69" spans="1:228">
      <c r="A69" s="649" t="s">
        <v>24</v>
      </c>
      <c r="B69" s="670">
        <f t="shared" si="0"/>
        <v>2021</v>
      </c>
      <c r="C69" s="671">
        <f>+E68</f>
        <v>14153895.494886361</v>
      </c>
      <c r="D69" s="671">
        <f>+C$31</f>
        <v>445791.98409090913</v>
      </c>
      <c r="E69" s="671">
        <f t="shared" si="6"/>
        <v>13708103.510795452</v>
      </c>
      <c r="F69" s="653">
        <f>+C$28*E69+D69</f>
        <v>2023245.3604715471</v>
      </c>
      <c r="G69" s="671">
        <f>+I68</f>
        <v>3648983.6106818155</v>
      </c>
      <c r="H69" s="671">
        <f>+G$31</f>
        <v>115840.74954545456</v>
      </c>
      <c r="I69" s="671">
        <f t="shared" si="7"/>
        <v>3533142.861136361</v>
      </c>
      <c r="J69" s="653">
        <f>+G$28*I69+H69</f>
        <v>522415.45414595184</v>
      </c>
      <c r="K69" s="672">
        <f>+M68</f>
        <v>9391657.6549431756</v>
      </c>
      <c r="L69" s="671">
        <f>+K$31</f>
        <v>305419.76113636367</v>
      </c>
      <c r="M69" s="671">
        <f t="shared" si="8"/>
        <v>9086237.8938068114</v>
      </c>
      <c r="N69" s="653">
        <f>+K$28*M69+L69</f>
        <v>1351014.1887605486</v>
      </c>
      <c r="O69" s="672">
        <f>+Q68</f>
        <v>3917552.4469696954</v>
      </c>
      <c r="P69" s="671">
        <f>+O$31</f>
        <v>119316.31818181818</v>
      </c>
      <c r="Q69" s="671">
        <f t="shared" si="11"/>
        <v>3798236.128787877</v>
      </c>
      <c r="R69" s="653">
        <f>+O$28*Q69+P69</f>
        <v>556396.50224439707</v>
      </c>
      <c r="S69" s="589">
        <f>+U68</f>
        <v>1817506.1533333315</v>
      </c>
      <c r="T69" s="564">
        <f>+S$31</f>
        <v>58315.705454545445</v>
      </c>
      <c r="U69" s="564">
        <f t="shared" si="12"/>
        <v>1759190.4478787859</v>
      </c>
      <c r="V69" s="590">
        <f>+S$28*U69+T69</f>
        <v>260753.69474442408</v>
      </c>
      <c r="W69" s="589">
        <f>+Y68</f>
        <v>22763140.314393941</v>
      </c>
      <c r="X69" s="564">
        <f>+W$31</f>
        <v>693293.61363636365</v>
      </c>
      <c r="Y69" s="564">
        <f t="shared" si="13"/>
        <v>22069846.700757578</v>
      </c>
      <c r="Z69" s="590">
        <f>+W$28*Y69+X69</f>
        <v>3232970.5402729451</v>
      </c>
      <c r="AA69" s="589">
        <f>+AC68</f>
        <v>14839929.308712116</v>
      </c>
      <c r="AB69" s="564">
        <f>+AA$31</f>
        <v>450833.29545454547</v>
      </c>
      <c r="AC69" s="564">
        <f t="shared" si="14"/>
        <v>14389096.013257571</v>
      </c>
      <c r="AD69" s="590">
        <f>+AA$28*AC69+AB69</f>
        <v>2106651.5544356676</v>
      </c>
      <c r="AE69" s="589">
        <f>+AG68</f>
        <v>149431.30681818194</v>
      </c>
      <c r="AF69" s="564">
        <f>+AE$31</f>
        <v>4597.886363636364</v>
      </c>
      <c r="AG69" s="564">
        <f t="shared" si="15"/>
        <v>144833.42045454559</v>
      </c>
      <c r="AH69" s="590">
        <f>+AE$28*AG69+AF69</f>
        <v>21264.52211881983</v>
      </c>
      <c r="AI69" s="589">
        <f>+AK68</f>
        <v>9999354.7765151523</v>
      </c>
      <c r="AJ69" s="564">
        <f>+AI$31</f>
        <v>295547.43181818182</v>
      </c>
      <c r="AK69" s="564">
        <f t="shared" si="19"/>
        <v>9703807.3446969707</v>
      </c>
      <c r="AL69" s="590">
        <f>+AI$28*AK69+AJ69</f>
        <v>1412208.3650818248</v>
      </c>
      <c r="AM69" s="589">
        <f>+AO68</f>
        <v>3714041.6753409081</v>
      </c>
      <c r="AN69" s="564">
        <f>+AM$31</f>
        <v>110866.91568181818</v>
      </c>
      <c r="AO69" s="564">
        <f t="shared" si="16"/>
        <v>3603174.7596590901</v>
      </c>
      <c r="AP69" s="590">
        <f>+AM$28*AO69+AN69</f>
        <v>525500.5071073256</v>
      </c>
      <c r="AQ69" s="589">
        <f>+AS68</f>
        <v>30541463.007954553</v>
      </c>
      <c r="AR69" s="564">
        <f>+AQ$31</f>
        <v>904932.23727272719</v>
      </c>
      <c r="AS69" s="564">
        <f t="shared" si="17"/>
        <v>29636530.770681825</v>
      </c>
      <c r="AT69" s="590">
        <f>+AQ$28*AS69+AR69</f>
        <v>4315341.6707588257</v>
      </c>
      <c r="AU69" s="672">
        <f>+AW68</f>
        <v>20125000</v>
      </c>
      <c r="AV69" s="671">
        <f>+AU$31</f>
        <v>750000</v>
      </c>
      <c r="AW69" s="671">
        <f t="shared" si="1"/>
        <v>19375000</v>
      </c>
      <c r="AX69" s="653">
        <f>+AU$28*AW69+AV69</f>
        <v>750000</v>
      </c>
      <c r="AY69" s="672">
        <f>+BA68</f>
        <v>13083333.333333332</v>
      </c>
      <c r="AZ69" s="671">
        <f>+AY$31</f>
        <v>500000</v>
      </c>
      <c r="BA69" s="671">
        <f t="shared" si="2"/>
        <v>12583333.333333332</v>
      </c>
      <c r="BB69" s="653">
        <f>+AY$28*BA69+AZ69</f>
        <v>500000</v>
      </c>
      <c r="BC69" s="672">
        <f>+BE68</f>
        <v>20500000</v>
      </c>
      <c r="BD69" s="671">
        <f>+BC$31</f>
        <v>750000</v>
      </c>
      <c r="BE69" s="671">
        <f t="shared" si="4"/>
        <v>19750000</v>
      </c>
      <c r="BF69" s="653">
        <f>+BC$28*BE69+BD69</f>
        <v>750000</v>
      </c>
      <c r="BG69" s="672">
        <f>+BI68</f>
        <v>13095238.095238101</v>
      </c>
      <c r="BH69" s="671">
        <f>+BG$31</f>
        <v>571428.57142857148</v>
      </c>
      <c r="BI69" s="671">
        <f t="shared" si="5"/>
        <v>12523809.52380953</v>
      </c>
      <c r="BJ69" s="653">
        <f>+BG$28*BI69+BH69</f>
        <v>571428.57142857148</v>
      </c>
      <c r="BK69" s="672">
        <f>+BM68</f>
        <v>16400000</v>
      </c>
      <c r="BL69" s="671">
        <f>+BK$31</f>
        <v>1200000</v>
      </c>
      <c r="BM69" s="671">
        <f t="shared" si="9"/>
        <v>15200000</v>
      </c>
      <c r="BN69" s="653">
        <f>+BK$28*BM69+BL69</f>
        <v>1200000</v>
      </c>
      <c r="BO69" s="672">
        <f>+BQ68</f>
        <v>12499999.999999998</v>
      </c>
      <c r="BP69" s="671">
        <f>+BO$31</f>
        <v>666666.66666666663</v>
      </c>
      <c r="BQ69" s="671">
        <f t="shared" si="10"/>
        <v>11833333.333333332</v>
      </c>
      <c r="BR69" s="653">
        <f>+BO$28*BQ69+BP69</f>
        <v>666666.66666666663</v>
      </c>
      <c r="BS69" s="589">
        <f>+BU68</f>
        <v>282570.13636363647</v>
      </c>
      <c r="BT69" s="564">
        <f>+BS$31</f>
        <v>8310.886363636364</v>
      </c>
      <c r="BU69" s="564">
        <f t="shared" si="18"/>
        <v>274259.25000000012</v>
      </c>
      <c r="BV69" s="590">
        <f>+BS$28*BU69+BT69</f>
        <v>39871.136807865536</v>
      </c>
      <c r="BW69" s="589">
        <f>+BY68</f>
        <v>19756812.034090914</v>
      </c>
      <c r="BX69" s="564">
        <f>+BW$31</f>
        <v>576841.22727272729</v>
      </c>
      <c r="BY69" s="564">
        <f t="shared" si="20"/>
        <v>19179970.806818187</v>
      </c>
      <c r="BZ69" s="590">
        <f>+BW$28*BY69+BX69</f>
        <v>2783967.0841989238</v>
      </c>
      <c r="CA69" s="589">
        <f>+CC68</f>
        <v>1864361.7600000007</v>
      </c>
      <c r="CB69" s="564">
        <f>+CA$31</f>
        <v>54433.919999999998</v>
      </c>
      <c r="CC69" s="564">
        <f t="shared" si="21"/>
        <v>1809927.8400000008</v>
      </c>
      <c r="CD69" s="590">
        <f>+CA$28*CC69+CB69</f>
        <v>262710.49012984155</v>
      </c>
      <c r="CE69" s="589">
        <f>+CG68</f>
        <v>161832.24636363643</v>
      </c>
      <c r="CF69" s="564">
        <f>+CE$31</f>
        <v>4725.0290909090909</v>
      </c>
      <c r="CG69" s="564">
        <f t="shared" si="22"/>
        <v>157107.21727272734</v>
      </c>
      <c r="CH69" s="590">
        <f>+CE$28*CG69+CF69</f>
        <v>22804.066074067181</v>
      </c>
      <c r="CI69" s="589">
        <f>+CK68</f>
        <v>435786.13636363624</v>
      </c>
      <c r="CJ69" s="564">
        <f>+CI$31</f>
        <v>12362.727272727272</v>
      </c>
      <c r="CK69" s="564">
        <f t="shared" si="24"/>
        <v>423423.40909090894</v>
      </c>
      <c r="CL69" s="590">
        <f>+CI$28*CK69+CJ69</f>
        <v>61087.971124514894</v>
      </c>
      <c r="CM69" s="589">
        <f>+CO68</f>
        <v>19226743.042329546</v>
      </c>
      <c r="CN69" s="564">
        <f>+CM$31</f>
        <v>483691.64886363636</v>
      </c>
      <c r="CO69" s="564">
        <f t="shared" si="34"/>
        <v>18743051.39346591</v>
      </c>
      <c r="CP69" s="590">
        <f>+CM$28*CO69+CN69</f>
        <v>2640539.2157801306</v>
      </c>
      <c r="CQ69" s="589">
        <f>+CS68</f>
        <v>80205004.581647709</v>
      </c>
      <c r="CR69" s="564">
        <f>+CQ$31</f>
        <v>2017735.9643181816</v>
      </c>
      <c r="CS69" s="564">
        <f t="shared" si="40"/>
        <v>78187268.617329523</v>
      </c>
      <c r="CT69" s="590">
        <f>+CQ$28*CS69+CR69</f>
        <v>11015098.055526186</v>
      </c>
      <c r="CU69" s="589">
        <f>+CW68</f>
        <v>27047814.900000006</v>
      </c>
      <c r="CV69" s="564">
        <f>+CU$31</f>
        <v>676195.37250000006</v>
      </c>
      <c r="CW69" s="564">
        <f t="shared" si="41"/>
        <v>26371619.527500007</v>
      </c>
      <c r="CX69" s="590">
        <f>+CU$28*CW69+CV69</f>
        <v>3710896.72498975</v>
      </c>
      <c r="CY69" s="589">
        <f>+DA68</f>
        <v>29715.81647727278</v>
      </c>
      <c r="CZ69" s="564">
        <f>+CY$31</f>
        <v>733.72386363636497</v>
      </c>
      <c r="DA69" s="564">
        <f t="shared" si="42"/>
        <v>28982.092613636414</v>
      </c>
      <c r="DB69" s="590">
        <f>+CY$28*DA69+CZ69</f>
        <v>4068.824142967725</v>
      </c>
      <c r="DC69" s="589">
        <f>+DE68</f>
        <v>1792359.5772727274</v>
      </c>
      <c r="DD69" s="564">
        <f>+DC$31</f>
        <v>44530.672727272722</v>
      </c>
      <c r="DE69" s="564">
        <f t="shared" si="43"/>
        <v>1747828.9045454548</v>
      </c>
      <c r="DF69" s="590">
        <f>+DC$28*DE69+DD69</f>
        <v>245661.2379173885</v>
      </c>
      <c r="DG69" s="589">
        <f>+DI68</f>
        <v>997898.70988636347</v>
      </c>
      <c r="DH69" s="564">
        <f>+DG$31</f>
        <v>24639.474318181816</v>
      </c>
      <c r="DI69" s="564">
        <f t="shared" si="44"/>
        <v>973259.23556818161</v>
      </c>
      <c r="DJ69" s="590">
        <f>+DG$28*DI69+DH69</f>
        <v>136636.80976517525</v>
      </c>
      <c r="DK69" s="589">
        <f>+DM68</f>
        <v>22077962.156022727</v>
      </c>
      <c r="DL69" s="564">
        <f>+DK$31</f>
        <v>549658.80886363634</v>
      </c>
      <c r="DM69" s="564">
        <f t="shared" si="45"/>
        <v>21528303.347159091</v>
      </c>
      <c r="DN69" s="590">
        <f>+DK$28*DM69+DL69</f>
        <v>3027017.8962077377</v>
      </c>
      <c r="DO69" s="589">
        <f>+DQ68</f>
        <v>806566.30905302987</v>
      </c>
      <c r="DP69" s="564">
        <f t="shared" ref="DP69:DP78" si="95">+DP68</f>
        <v>19592.703863636354</v>
      </c>
      <c r="DQ69" s="564">
        <f t="shared" si="60"/>
        <v>786973.60518939351</v>
      </c>
      <c r="DR69" s="590">
        <f t="shared" si="65"/>
        <v>110153.31056249949</v>
      </c>
      <c r="DS69" s="589">
        <f>+DU68</f>
        <v>344273.73818181694</v>
      </c>
      <c r="DT69" s="564">
        <f t="shared" ref="DT69:DT78" si="96">+DT68</f>
        <v>8295.7527272726966</v>
      </c>
      <c r="DU69" s="564">
        <f t="shared" si="61"/>
        <v>335977.98545454425</v>
      </c>
      <c r="DV69" s="590">
        <f t="shared" si="66"/>
        <v>46958.256780255404</v>
      </c>
      <c r="DW69" s="589">
        <f>+DY68</f>
        <v>50397.740624999991</v>
      </c>
      <c r="DX69" s="564">
        <f t="shared" ref="DX69:DX78" si="97">+DX68</f>
        <v>1221.7634090909089</v>
      </c>
      <c r="DY69" s="564">
        <f t="shared" si="62"/>
        <v>49175.977215909079</v>
      </c>
      <c r="DZ69" s="590">
        <f t="shared" si="67"/>
        <v>6880.6651845963752</v>
      </c>
      <c r="EA69" s="589">
        <f>+EC68</f>
        <v>-298459.30835227465</v>
      </c>
      <c r="EB69" s="564">
        <f t="shared" ref="EB69:EB78" si="98">+EB68</f>
        <v>-7120.3015909091364</v>
      </c>
      <c r="EC69" s="564">
        <f t="shared" si="63"/>
        <v>-291339.00676136551</v>
      </c>
      <c r="ED69" s="590">
        <f t="shared" si="68"/>
        <v>-40645.996777349217</v>
      </c>
      <c r="EE69" s="589">
        <f>+EG68</f>
        <v>8340721.207272728</v>
      </c>
      <c r="EF69" s="564">
        <f>+EE31</f>
        <v>192108.74181818182</v>
      </c>
      <c r="EG69" s="564">
        <f t="shared" si="72"/>
        <v>8148612.4654545458</v>
      </c>
      <c r="EH69" s="590">
        <f t="shared" si="73"/>
        <v>1129806.3771129372</v>
      </c>
      <c r="EI69" s="589">
        <f>+EK68</f>
        <v>336197.45268939389</v>
      </c>
      <c r="EJ69" s="564">
        <f>+EI31</f>
        <v>7669.903863636363</v>
      </c>
      <c r="EK69" s="564">
        <f t="shared" si="74"/>
        <v>328527.54882575752</v>
      </c>
      <c r="EL69" s="590">
        <f t="shared" si="75"/>
        <v>45475.052527791282</v>
      </c>
      <c r="EM69" s="589">
        <f>+EO68</f>
        <v>11466731.9</v>
      </c>
      <c r="EN69" s="564">
        <f>+EM31</f>
        <v>260607.54318181818</v>
      </c>
      <c r="EO69" s="564">
        <f t="shared" si="76"/>
        <v>11206124.356818182</v>
      </c>
      <c r="EP69" s="590">
        <f t="shared" si="77"/>
        <v>1550146.8794498136</v>
      </c>
      <c r="EQ69" s="678">
        <f t="shared" si="94"/>
        <v>43126896.417647369</v>
      </c>
      <c r="ER69" s="652"/>
      <c r="ES69" s="674">
        <f>+EQ69</f>
        <v>43126896.417647369</v>
      </c>
      <c r="EV69" s="589">
        <f>+EX68</f>
        <v>4023923.2333333357</v>
      </c>
      <c r="EW69" s="564">
        <f t="shared" si="78"/>
        <v>1270712.6000000001</v>
      </c>
      <c r="EX69" s="564">
        <f t="shared" si="25"/>
        <v>2753210.6333333356</v>
      </c>
      <c r="EY69" s="590">
        <f t="shared" si="47"/>
        <v>1659806.6440122146</v>
      </c>
      <c r="EZ69" s="589">
        <f>+FB68</f>
        <v>3577617.5999999982</v>
      </c>
      <c r="FA69" s="564">
        <f t="shared" si="79"/>
        <v>894404.4</v>
      </c>
      <c r="FB69" s="564">
        <f t="shared" si="26"/>
        <v>2683213.1999999983</v>
      </c>
      <c r="FC69" s="590">
        <f t="shared" si="48"/>
        <v>1273606.1444269957</v>
      </c>
      <c r="FD69" s="589">
        <f>+FF68</f>
        <v>550129.48141666641</v>
      </c>
      <c r="FE69" s="564">
        <f t="shared" si="80"/>
        <v>140458.59099999999</v>
      </c>
      <c r="FF69" s="564">
        <f t="shared" si="27"/>
        <v>409670.8904166664</v>
      </c>
      <c r="FG69" s="590">
        <f t="shared" si="49"/>
        <v>198354.81642366759</v>
      </c>
      <c r="FH69" s="589">
        <f>+FJ68</f>
        <v>67841.200000000012</v>
      </c>
      <c r="FI69" s="564">
        <f t="shared" si="81"/>
        <v>16960.3</v>
      </c>
      <c r="FJ69" s="564">
        <f t="shared" si="28"/>
        <v>50880.900000000009</v>
      </c>
      <c r="FK69" s="590">
        <f t="shared" si="50"/>
        <v>24150.979457754431</v>
      </c>
      <c r="FL69" s="589">
        <f>+FN68</f>
        <v>5224.1083333333336</v>
      </c>
      <c r="FM69" s="564">
        <f t="shared" si="82"/>
        <v>1253.7860000000001</v>
      </c>
      <c r="FN69" s="564">
        <f t="shared" si="33"/>
        <v>3970.3223333333335</v>
      </c>
      <c r="FO69" s="590">
        <f t="shared" si="51"/>
        <v>1814.8868304287787</v>
      </c>
      <c r="FP69" s="589">
        <f>+FR68</f>
        <v>17141354.914999995</v>
      </c>
      <c r="FQ69" s="564">
        <f t="shared" si="83"/>
        <v>4033259.9799999995</v>
      </c>
      <c r="FR69" s="564">
        <f t="shared" si="29"/>
        <v>13108094.934999995</v>
      </c>
      <c r="FS69" s="590">
        <f t="shared" si="52"/>
        <v>5885745.0771464603</v>
      </c>
      <c r="FT69" s="589">
        <f>+FV68</f>
        <v>243161.15083333338</v>
      </c>
      <c r="FU69" s="564">
        <f t="shared" si="84"/>
        <v>53053.342000000004</v>
      </c>
      <c r="FV69" s="564">
        <f t="shared" si="30"/>
        <v>190107.80883333337</v>
      </c>
      <c r="FW69" s="590">
        <f t="shared" si="53"/>
        <v>79920.089949359332</v>
      </c>
      <c r="FX69" s="589">
        <f>+FZ68</f>
        <v>-247072.34749999992</v>
      </c>
      <c r="FY69" s="564">
        <f t="shared" si="85"/>
        <v>-53906.693999999974</v>
      </c>
      <c r="FZ69" s="564">
        <f t="shared" si="31"/>
        <v>-193165.65349999996</v>
      </c>
      <c r="GA69" s="590">
        <f t="shared" si="54"/>
        <v>-81205.588016539783</v>
      </c>
      <c r="GB69" s="589">
        <f>+GD68</f>
        <v>16083026.629833339</v>
      </c>
      <c r="GC69" s="564">
        <f t="shared" si="86"/>
        <v>3327522.7509999997</v>
      </c>
      <c r="GD69" s="564">
        <f t="shared" si="32"/>
        <v>12755503.878833339</v>
      </c>
      <c r="GE69" s="590">
        <f t="shared" si="55"/>
        <v>5130178.3587984834</v>
      </c>
      <c r="GF69" s="589">
        <f>+GH68</f>
        <v>244779.09674999994</v>
      </c>
      <c r="GG69" s="564">
        <f t="shared" si="87"/>
        <v>49785.578999999998</v>
      </c>
      <c r="GH69" s="564">
        <f t="shared" si="37"/>
        <v>194993.51774999994</v>
      </c>
      <c r="GI69" s="590">
        <f t="shared" si="56"/>
        <v>77342.793642040502</v>
      </c>
      <c r="GJ69" s="589">
        <f>+GL68</f>
        <v>965834.05049999978</v>
      </c>
      <c r="GK69" s="564">
        <f t="shared" si="88"/>
        <v>175606.19100000002</v>
      </c>
      <c r="GL69" s="564">
        <f t="shared" si="38"/>
        <v>790227.85949999979</v>
      </c>
      <c r="GM69" s="590">
        <f t="shared" si="57"/>
        <v>287284.153383761</v>
      </c>
      <c r="GN69" s="589">
        <f>+GP68</f>
        <v>23657024.859416664</v>
      </c>
      <c r="GO69" s="564">
        <f t="shared" si="89"/>
        <v>3686809.0689999992</v>
      </c>
      <c r="GP69" s="564">
        <f t="shared" si="58"/>
        <v>19970215.790416665</v>
      </c>
      <c r="GQ69" s="590">
        <f t="shared" si="59"/>
        <v>6509074.800366234</v>
      </c>
      <c r="GR69" s="589">
        <f>+GT68</f>
        <v>61548365.324333332</v>
      </c>
      <c r="GS69" s="564">
        <f t="shared" ref="GS69:GS78" si="99">+GS68</f>
        <v>8028047.6510000005</v>
      </c>
      <c r="GT69" s="564">
        <f t="shared" si="64"/>
        <v>53520317.673333332</v>
      </c>
      <c r="GU69" s="590">
        <f t="shared" si="69"/>
        <v>15591739.505234681</v>
      </c>
      <c r="GV69" s="672">
        <f>+GX68</f>
        <v>-429896.72500000003</v>
      </c>
      <c r="GW69" s="676">
        <f t="shared" ref="GW69:GW78" si="100">+GW68</f>
        <v>-53183.1</v>
      </c>
      <c r="GX69" s="676">
        <f t="shared" si="70"/>
        <v>-376713.62500000006</v>
      </c>
      <c r="GY69" s="1366">
        <f t="shared" si="90"/>
        <v>-106421.68117178953</v>
      </c>
      <c r="GZ69" s="672">
        <f>+HB68</f>
        <v>1081303.3333333335</v>
      </c>
      <c r="HA69" s="671">
        <f t="shared" ref="HA69:HA78" si="101">+HA68</f>
        <v>129756.4</v>
      </c>
      <c r="HB69" s="671">
        <f t="shared" si="71"/>
        <v>951546.93333333347</v>
      </c>
      <c r="HC69" s="1366">
        <f t="shared" si="91"/>
        <v>264232.57842076744</v>
      </c>
      <c r="HD69" s="672">
        <f>+HF68</f>
        <v>3997541.3916666666</v>
      </c>
      <c r="HE69" s="671">
        <f>+HD31</f>
        <v>440096.3</v>
      </c>
      <c r="HF69" s="671">
        <f t="shared" si="92"/>
        <v>3557445.0916666668</v>
      </c>
      <c r="HG69" s="1366">
        <f t="shared" si="93"/>
        <v>942847.77143106412</v>
      </c>
      <c r="HI69" s="589"/>
      <c r="HJ69" s="564"/>
      <c r="HK69" s="564"/>
      <c r="HL69" s="590"/>
      <c r="HM69" s="589"/>
      <c r="HN69" s="564"/>
      <c r="HO69" s="564"/>
      <c r="HP69" s="590"/>
      <c r="HQ69" s="589"/>
      <c r="HR69" s="564"/>
      <c r="HS69" s="564"/>
      <c r="HT69" s="590"/>
    </row>
    <row r="70" spans="1:228">
      <c r="A70" s="649" t="s">
        <v>23</v>
      </c>
      <c r="B70" s="670">
        <f t="shared" si="0"/>
        <v>2021</v>
      </c>
      <c r="C70" s="671">
        <f>+C69</f>
        <v>14153895.494886361</v>
      </c>
      <c r="D70" s="671">
        <f>+D69</f>
        <v>445791.98409090913</v>
      </c>
      <c r="E70" s="671">
        <f t="shared" si="6"/>
        <v>13708103.510795452</v>
      </c>
      <c r="F70" s="653">
        <f>+C$29*E70+D70</f>
        <v>2106907.3615338695</v>
      </c>
      <c r="G70" s="671">
        <f>+G69</f>
        <v>3648983.6106818155</v>
      </c>
      <c r="H70" s="671">
        <f>+H69</f>
        <v>115840.74954545456</v>
      </c>
      <c r="I70" s="671">
        <f t="shared" si="7"/>
        <v>3533142.861136361</v>
      </c>
      <c r="J70" s="653">
        <f>+G$29*I70+H70</f>
        <v>543978.59755006619</v>
      </c>
      <c r="K70" s="672">
        <f>+K69</f>
        <v>9391657.6549431756</v>
      </c>
      <c r="L70" s="671">
        <f>+L69</f>
        <v>305419.76113636367</v>
      </c>
      <c r="M70" s="671">
        <f t="shared" si="8"/>
        <v>9086237.8938068114</v>
      </c>
      <c r="N70" s="653">
        <f>+K$29*M70+L70</f>
        <v>1406468.4566485556</v>
      </c>
      <c r="O70" s="672">
        <f>+O69</f>
        <v>3917552.4469696954</v>
      </c>
      <c r="P70" s="671">
        <f>+P69</f>
        <v>119316.31818181818</v>
      </c>
      <c r="Q70" s="671">
        <f t="shared" si="11"/>
        <v>3798236.128787877</v>
      </c>
      <c r="R70" s="653">
        <f>+O$29*Q70+P70</f>
        <v>579577.53781152377</v>
      </c>
      <c r="S70" s="589">
        <f>+S69</f>
        <v>1817506.1533333315</v>
      </c>
      <c r="T70" s="564">
        <f>+T69</f>
        <v>58315.705454545445</v>
      </c>
      <c r="U70" s="564">
        <f t="shared" si="12"/>
        <v>1759190.4478787859</v>
      </c>
      <c r="V70" s="590">
        <f>+S$29*U70+T70</f>
        <v>271490.21953090216</v>
      </c>
      <c r="W70" s="589">
        <f>+W69</f>
        <v>22763140.314393941</v>
      </c>
      <c r="X70" s="564">
        <f>+X69</f>
        <v>693293.61363636365</v>
      </c>
      <c r="Y70" s="564">
        <f t="shared" si="13"/>
        <v>22069846.700757578</v>
      </c>
      <c r="Z70" s="590">
        <f>+W$29*Y70+X70</f>
        <v>3367665.141657446</v>
      </c>
      <c r="AA70" s="589">
        <f>+AA69</f>
        <v>14839929.308712116</v>
      </c>
      <c r="AB70" s="564">
        <f>+AB69</f>
        <v>450833.29545454547</v>
      </c>
      <c r="AC70" s="564">
        <f t="shared" si="14"/>
        <v>14389096.013257571</v>
      </c>
      <c r="AD70" s="590">
        <f>+AA$29*AC70+AB70</f>
        <v>2194469.7245420557</v>
      </c>
      <c r="AE70" s="589">
        <f>+AE69</f>
        <v>149431.30681818194</v>
      </c>
      <c r="AF70" s="564">
        <f>+AF69</f>
        <v>4597.886363636364</v>
      </c>
      <c r="AG70" s="564">
        <f t="shared" si="15"/>
        <v>144833.42045454559</v>
      </c>
      <c r="AH70" s="590">
        <f>+AE$29*AG70+AF70</f>
        <v>22148.455754598515</v>
      </c>
      <c r="AI70" s="589">
        <f>+AI69</f>
        <v>9999354.7765151523</v>
      </c>
      <c r="AJ70" s="564">
        <f>+AJ69</f>
        <v>295547.43181818182</v>
      </c>
      <c r="AK70" s="564">
        <f t="shared" si="19"/>
        <v>9703807.3446969707</v>
      </c>
      <c r="AL70" s="590">
        <f>+AI$29*AK70+AJ70</f>
        <v>1471431.7244430427</v>
      </c>
      <c r="AM70" s="589">
        <f>+AM69</f>
        <v>3714041.6753409081</v>
      </c>
      <c r="AN70" s="564">
        <f>+AN69</f>
        <v>110866.91568181818</v>
      </c>
      <c r="AO70" s="564">
        <f t="shared" si="16"/>
        <v>3603174.7596590901</v>
      </c>
      <c r="AP70" s="590">
        <f>+AM$29*AO70+AN70</f>
        <v>547491.06257205014</v>
      </c>
      <c r="AQ70" s="589">
        <f>+AQ69</f>
        <v>30541463.007954553</v>
      </c>
      <c r="AR70" s="564">
        <f>+AR69</f>
        <v>904932.23727272719</v>
      </c>
      <c r="AS70" s="564">
        <f t="shared" si="17"/>
        <v>29636530.770681825</v>
      </c>
      <c r="AT70" s="590">
        <f>+AQ$29*AS70+AR70</f>
        <v>4496216.5428275773</v>
      </c>
      <c r="AU70" s="672">
        <f>+AU69</f>
        <v>20125000</v>
      </c>
      <c r="AV70" s="671">
        <f>+AV69</f>
        <v>750000</v>
      </c>
      <c r="AW70" s="671">
        <f t="shared" si="1"/>
        <v>19375000</v>
      </c>
      <c r="AX70" s="653">
        <f>+AU$29*AW70+AV70</f>
        <v>750000</v>
      </c>
      <c r="AY70" s="672">
        <f>+AY69</f>
        <v>13083333.333333332</v>
      </c>
      <c r="AZ70" s="671">
        <f>+AZ69</f>
        <v>500000</v>
      </c>
      <c r="BA70" s="671">
        <f t="shared" si="2"/>
        <v>12583333.333333332</v>
      </c>
      <c r="BB70" s="653">
        <f>+AY$29*BA70+AZ70</f>
        <v>500000</v>
      </c>
      <c r="BC70" s="672">
        <f>+BC69</f>
        <v>20500000</v>
      </c>
      <c r="BD70" s="671">
        <f>+BD69</f>
        <v>750000</v>
      </c>
      <c r="BE70" s="671">
        <f t="shared" si="4"/>
        <v>19750000</v>
      </c>
      <c r="BF70" s="653">
        <f>+BC$29*BE70+BD70</f>
        <v>750000</v>
      </c>
      <c r="BG70" s="672">
        <f>+BG69</f>
        <v>13095238.095238101</v>
      </c>
      <c r="BH70" s="671">
        <f>+BH69</f>
        <v>571428.57142857148</v>
      </c>
      <c r="BI70" s="671">
        <f t="shared" si="5"/>
        <v>12523809.52380953</v>
      </c>
      <c r="BJ70" s="653">
        <f>+BG$29*BI70+BH70</f>
        <v>571428.57142857148</v>
      </c>
      <c r="BK70" s="672">
        <f>+BK69</f>
        <v>16400000</v>
      </c>
      <c r="BL70" s="671">
        <f>+BL69</f>
        <v>1200000</v>
      </c>
      <c r="BM70" s="671">
        <f t="shared" si="9"/>
        <v>15200000</v>
      </c>
      <c r="BN70" s="653">
        <f>+BK$29*BM70+BL70</f>
        <v>1200000</v>
      </c>
      <c r="BO70" s="672">
        <f>+BO69</f>
        <v>12499999.999999998</v>
      </c>
      <c r="BP70" s="671">
        <f>+BP69</f>
        <v>666666.66666666663</v>
      </c>
      <c r="BQ70" s="671">
        <f t="shared" si="10"/>
        <v>11833333.333333332</v>
      </c>
      <c r="BR70" s="653">
        <f>+BO$29*BQ70+BP70</f>
        <v>666666.66666666663</v>
      </c>
      <c r="BS70" s="589">
        <f>+BS69</f>
        <v>282570.13636363647</v>
      </c>
      <c r="BT70" s="564">
        <f>+BT69</f>
        <v>8310.886363636364</v>
      </c>
      <c r="BU70" s="564">
        <f t="shared" si="18"/>
        <v>274259.25000000012</v>
      </c>
      <c r="BV70" s="590">
        <f>+BS$29*BU70+BT70</f>
        <v>41544.969927580605</v>
      </c>
      <c r="BW70" s="589">
        <f>+BW69</f>
        <v>19756812.034090914</v>
      </c>
      <c r="BX70" s="564">
        <f>+BX69</f>
        <v>576841.22727272729</v>
      </c>
      <c r="BY70" s="564">
        <f t="shared" si="20"/>
        <v>19179970.806818187</v>
      </c>
      <c r="BZ70" s="590">
        <f>+BW$29*BY70+BX70</f>
        <v>2783967.0841989238</v>
      </c>
      <c r="CA70" s="589">
        <f>+CA69</f>
        <v>1864361.7600000007</v>
      </c>
      <c r="CB70" s="564">
        <f>+CB69</f>
        <v>54433.919999999998</v>
      </c>
      <c r="CC70" s="564">
        <f t="shared" si="21"/>
        <v>1809927.8400000008</v>
      </c>
      <c r="CD70" s="590">
        <f>+CA$29*CC70+CB70</f>
        <v>273756.67057001393</v>
      </c>
      <c r="CE70" s="589">
        <f>+CE69</f>
        <v>161832.24636363643</v>
      </c>
      <c r="CF70" s="564">
        <f>+CF69</f>
        <v>4725.0290909090909</v>
      </c>
      <c r="CG70" s="564">
        <f t="shared" si="22"/>
        <v>157107.21727272734</v>
      </c>
      <c r="CH70" s="590">
        <f>+CE$29*CG70+CF70</f>
        <v>23762.907985934733</v>
      </c>
      <c r="CI70" s="589">
        <f>+CI69</f>
        <v>435786.13636363624</v>
      </c>
      <c r="CJ70" s="564">
        <f>+CJ69</f>
        <v>12362.727272727272</v>
      </c>
      <c r="CK70" s="564">
        <f t="shared" si="24"/>
        <v>423423.40909090894</v>
      </c>
      <c r="CL70" s="590">
        <f>+CI$29*CK70+CJ70</f>
        <v>61087.971124514894</v>
      </c>
      <c r="CM70" s="589">
        <f>+CM69</f>
        <v>19226743.042329546</v>
      </c>
      <c r="CN70" s="564">
        <f>+CN69</f>
        <v>483691.64886363636</v>
      </c>
      <c r="CO70" s="564">
        <f t="shared" si="34"/>
        <v>18743051.39346591</v>
      </c>
      <c r="CP70" s="590">
        <f>+CM$29*CO70+CN70</f>
        <v>2640539.2157801306</v>
      </c>
      <c r="CQ70" s="589">
        <f>+CQ69</f>
        <v>80205004.581647709</v>
      </c>
      <c r="CR70" s="564">
        <f>+CR69</f>
        <v>2017735.9643181816</v>
      </c>
      <c r="CS70" s="564">
        <f t="shared" si="40"/>
        <v>78187268.617329523</v>
      </c>
      <c r="CT70" s="590">
        <f>+CQ$29*CS70+CR70</f>
        <v>11015098.055526186</v>
      </c>
      <c r="CU70" s="589">
        <f>+CU69</f>
        <v>27047814.900000006</v>
      </c>
      <c r="CV70" s="564">
        <f>+CV69</f>
        <v>676195.37250000006</v>
      </c>
      <c r="CW70" s="564">
        <f t="shared" si="41"/>
        <v>26371619.527500007</v>
      </c>
      <c r="CX70" s="590">
        <f>+CU$29*CW70+CV70</f>
        <v>3710896.72498975</v>
      </c>
      <c r="CY70" s="589">
        <f>+CY69</f>
        <v>29715.81647727278</v>
      </c>
      <c r="CZ70" s="564">
        <f>+CZ69</f>
        <v>733.72386363636497</v>
      </c>
      <c r="DA70" s="564">
        <f t="shared" si="42"/>
        <v>28982.092613636414</v>
      </c>
      <c r="DB70" s="590">
        <f>+CY$29*DA70+CZ70</f>
        <v>4068.824142967725</v>
      </c>
      <c r="DC70" s="589">
        <f>+DC69</f>
        <v>1792359.5772727274</v>
      </c>
      <c r="DD70" s="564">
        <f>+DD69</f>
        <v>44530.672727272722</v>
      </c>
      <c r="DE70" s="564">
        <f t="shared" si="43"/>
        <v>1747828.9045454548</v>
      </c>
      <c r="DF70" s="590">
        <f>+DC$29*DE70+DD70</f>
        <v>245661.2379173885</v>
      </c>
      <c r="DG70" s="589">
        <f>+DG69</f>
        <v>997898.70988636347</v>
      </c>
      <c r="DH70" s="564">
        <f>+DH69</f>
        <v>24639.474318181816</v>
      </c>
      <c r="DI70" s="564">
        <f t="shared" si="44"/>
        <v>973259.23556818161</v>
      </c>
      <c r="DJ70" s="590">
        <f>+DG$29*DI70+DH70</f>
        <v>136636.80976517525</v>
      </c>
      <c r="DK70" s="589">
        <f>+DK69</f>
        <v>22077962.156022727</v>
      </c>
      <c r="DL70" s="564">
        <f>+DL69</f>
        <v>549658.80886363634</v>
      </c>
      <c r="DM70" s="564">
        <f t="shared" si="45"/>
        <v>21528303.347159091</v>
      </c>
      <c r="DN70" s="590">
        <f>+DK$29*DM70+DL70</f>
        <v>3027017.8962077377</v>
      </c>
      <c r="DO70" s="589">
        <f>+DO69</f>
        <v>806566.30905302987</v>
      </c>
      <c r="DP70" s="564">
        <f t="shared" si="95"/>
        <v>19592.703863636354</v>
      </c>
      <c r="DQ70" s="564">
        <f t="shared" si="60"/>
        <v>786973.60518939351</v>
      </c>
      <c r="DR70" s="590">
        <f t="shared" si="65"/>
        <v>110153.31056249949</v>
      </c>
      <c r="DS70" s="589">
        <f>+DS69</f>
        <v>344273.73818181694</v>
      </c>
      <c r="DT70" s="564">
        <f t="shared" si="96"/>
        <v>8295.7527272726966</v>
      </c>
      <c r="DU70" s="564">
        <f t="shared" si="61"/>
        <v>335977.98545454425</v>
      </c>
      <c r="DV70" s="590">
        <f t="shared" si="66"/>
        <v>46958.256780255404</v>
      </c>
      <c r="DW70" s="589">
        <f>+DW69</f>
        <v>50397.740624999991</v>
      </c>
      <c r="DX70" s="564">
        <f t="shared" si="97"/>
        <v>1221.7634090909089</v>
      </c>
      <c r="DY70" s="564">
        <f t="shared" si="62"/>
        <v>49175.977215909079</v>
      </c>
      <c r="DZ70" s="590">
        <f t="shared" si="67"/>
        <v>6880.6651845963752</v>
      </c>
      <c r="EA70" s="589">
        <f>+EA69</f>
        <v>-298459.30835227465</v>
      </c>
      <c r="EB70" s="564">
        <f t="shared" si="98"/>
        <v>-7120.3015909091364</v>
      </c>
      <c r="EC70" s="564">
        <f t="shared" si="63"/>
        <v>-291339.00676136551</v>
      </c>
      <c r="ED70" s="590">
        <f t="shared" si="68"/>
        <v>-40645.996777349217</v>
      </c>
      <c r="EE70" s="589">
        <f>+EE69</f>
        <v>8340721.207272728</v>
      </c>
      <c r="EF70" s="564">
        <f t="shared" ref="EF70:EF78" si="102">+EF69</f>
        <v>192108.74181818182</v>
      </c>
      <c r="EG70" s="564">
        <f t="shared" si="72"/>
        <v>8148612.4654545458</v>
      </c>
      <c r="EH70" s="590">
        <f t="shared" si="73"/>
        <v>1129806.3771129372</v>
      </c>
      <c r="EI70" s="589">
        <f>+EI69</f>
        <v>336197.45268939389</v>
      </c>
      <c r="EJ70" s="564">
        <f t="shared" ref="EJ70:EJ78" si="103">+EJ69</f>
        <v>7669.903863636363</v>
      </c>
      <c r="EK70" s="564">
        <f t="shared" si="74"/>
        <v>328527.54882575752</v>
      </c>
      <c r="EL70" s="590">
        <f t="shared" si="75"/>
        <v>45475.052527791282</v>
      </c>
      <c r="EM70" s="589">
        <f>+EM69</f>
        <v>11466731.9</v>
      </c>
      <c r="EN70" s="564">
        <f t="shared" ref="EN70:EN78" si="104">+EN69</f>
        <v>260607.54318181818</v>
      </c>
      <c r="EO70" s="564">
        <f t="shared" si="76"/>
        <v>11206124.356818182</v>
      </c>
      <c r="EP70" s="590">
        <f t="shared" si="77"/>
        <v>1550146.8794498136</v>
      </c>
      <c r="EQ70" s="678">
        <f t="shared" si="94"/>
        <v>43820657.737848528</v>
      </c>
      <c r="ER70" s="675">
        <f>+EQ70</f>
        <v>43820657.737848528</v>
      </c>
      <c r="ES70" s="648"/>
      <c r="EV70" s="589">
        <f>+EV69</f>
        <v>4023923.2333333357</v>
      </c>
      <c r="EW70" s="564">
        <f t="shared" si="78"/>
        <v>1270712.6000000001</v>
      </c>
      <c r="EX70" s="564">
        <f t="shared" si="25"/>
        <v>2753210.6333333356</v>
      </c>
      <c r="EY70" s="590">
        <f t="shared" si="47"/>
        <v>1659806.6440122146</v>
      </c>
      <c r="EZ70" s="589">
        <f>+EZ69</f>
        <v>3577617.5999999982</v>
      </c>
      <c r="FA70" s="564">
        <f t="shared" si="79"/>
        <v>894404.4</v>
      </c>
      <c r="FB70" s="564">
        <f t="shared" si="26"/>
        <v>2683213.1999999983</v>
      </c>
      <c r="FC70" s="590">
        <f t="shared" si="48"/>
        <v>1273606.1444269957</v>
      </c>
      <c r="FD70" s="589">
        <f>+FD69</f>
        <v>550129.48141666641</v>
      </c>
      <c r="FE70" s="564">
        <f t="shared" si="80"/>
        <v>140458.59099999999</v>
      </c>
      <c r="FF70" s="564">
        <f t="shared" si="27"/>
        <v>409670.8904166664</v>
      </c>
      <c r="FG70" s="590">
        <f t="shared" si="49"/>
        <v>198354.81642366759</v>
      </c>
      <c r="FH70" s="589">
        <f>+FH69</f>
        <v>67841.200000000012</v>
      </c>
      <c r="FI70" s="564">
        <f t="shared" si="81"/>
        <v>16960.3</v>
      </c>
      <c r="FJ70" s="564">
        <f t="shared" si="28"/>
        <v>50880.900000000009</v>
      </c>
      <c r="FK70" s="590">
        <f t="shared" si="50"/>
        <v>24150.979457754431</v>
      </c>
      <c r="FL70" s="589">
        <f>+FL69</f>
        <v>5224.1083333333336</v>
      </c>
      <c r="FM70" s="564">
        <f t="shared" si="82"/>
        <v>1253.7860000000001</v>
      </c>
      <c r="FN70" s="564">
        <f t="shared" si="33"/>
        <v>3970.3223333333335</v>
      </c>
      <c r="FO70" s="590">
        <f t="shared" si="51"/>
        <v>1814.8868304287787</v>
      </c>
      <c r="FP70" s="589">
        <f>+FP69</f>
        <v>17141354.914999995</v>
      </c>
      <c r="FQ70" s="564">
        <f t="shared" si="83"/>
        <v>4033259.9799999995</v>
      </c>
      <c r="FR70" s="564">
        <f t="shared" si="29"/>
        <v>13108094.934999995</v>
      </c>
      <c r="FS70" s="590">
        <f t="shared" si="52"/>
        <v>5885745.0771464603</v>
      </c>
      <c r="FT70" s="589">
        <f>+FT69</f>
        <v>243161.15083333338</v>
      </c>
      <c r="FU70" s="564">
        <f t="shared" si="84"/>
        <v>53053.342000000004</v>
      </c>
      <c r="FV70" s="564">
        <f t="shared" si="30"/>
        <v>190107.80883333337</v>
      </c>
      <c r="FW70" s="590">
        <f t="shared" si="53"/>
        <v>79920.089949359332</v>
      </c>
      <c r="FX70" s="589">
        <f>+FX69</f>
        <v>-247072.34749999992</v>
      </c>
      <c r="FY70" s="564">
        <f t="shared" si="85"/>
        <v>-53906.693999999974</v>
      </c>
      <c r="FZ70" s="564">
        <f t="shared" si="31"/>
        <v>-193165.65349999996</v>
      </c>
      <c r="GA70" s="590">
        <f t="shared" si="54"/>
        <v>-81205.588016539783</v>
      </c>
      <c r="GB70" s="589">
        <f>+GB69</f>
        <v>16083026.629833339</v>
      </c>
      <c r="GC70" s="564">
        <f t="shared" si="86"/>
        <v>3327522.7509999997</v>
      </c>
      <c r="GD70" s="564">
        <f t="shared" si="32"/>
        <v>12755503.878833339</v>
      </c>
      <c r="GE70" s="590">
        <f t="shared" si="55"/>
        <v>5130178.3587984834</v>
      </c>
      <c r="GF70" s="589">
        <f>+GF69</f>
        <v>244779.09674999994</v>
      </c>
      <c r="GG70" s="564">
        <f t="shared" si="87"/>
        <v>49785.578999999998</v>
      </c>
      <c r="GH70" s="564">
        <f t="shared" si="37"/>
        <v>194993.51774999994</v>
      </c>
      <c r="GI70" s="590">
        <f t="shared" si="56"/>
        <v>77342.793642040502</v>
      </c>
      <c r="GJ70" s="589">
        <f>+GJ69</f>
        <v>965834.05049999978</v>
      </c>
      <c r="GK70" s="564">
        <f t="shared" si="88"/>
        <v>175606.19100000002</v>
      </c>
      <c r="GL70" s="564">
        <f t="shared" si="38"/>
        <v>790227.85949999979</v>
      </c>
      <c r="GM70" s="590">
        <f t="shared" si="57"/>
        <v>287284.153383761</v>
      </c>
      <c r="GN70" s="589">
        <f>+GN69</f>
        <v>23657024.859416664</v>
      </c>
      <c r="GO70" s="564">
        <f t="shared" si="89"/>
        <v>3686809.0689999992</v>
      </c>
      <c r="GP70" s="564">
        <f t="shared" si="58"/>
        <v>19970215.790416665</v>
      </c>
      <c r="GQ70" s="590">
        <f t="shared" si="59"/>
        <v>6509074.800366234</v>
      </c>
      <c r="GR70" s="589">
        <f>+GR69</f>
        <v>61548365.324333332</v>
      </c>
      <c r="GS70" s="564">
        <f t="shared" si="99"/>
        <v>8028047.6510000005</v>
      </c>
      <c r="GT70" s="564">
        <f t="shared" si="64"/>
        <v>53520317.673333332</v>
      </c>
      <c r="GU70" s="590">
        <f t="shared" si="69"/>
        <v>15591739.505234681</v>
      </c>
      <c r="GV70" s="672">
        <f>+GV69</f>
        <v>-429896.72500000003</v>
      </c>
      <c r="GW70" s="676">
        <f t="shared" si="100"/>
        <v>-53183.1</v>
      </c>
      <c r="GX70" s="676">
        <f t="shared" si="70"/>
        <v>-376713.62500000006</v>
      </c>
      <c r="GY70" s="1366">
        <f t="shared" si="90"/>
        <v>-106421.68117178953</v>
      </c>
      <c r="GZ70" s="672">
        <f>+GZ69</f>
        <v>1081303.3333333335</v>
      </c>
      <c r="HA70" s="671">
        <f t="shared" si="101"/>
        <v>129756.4</v>
      </c>
      <c r="HB70" s="671">
        <f t="shared" si="71"/>
        <v>951546.93333333347</v>
      </c>
      <c r="HC70" s="1366">
        <f t="shared" si="91"/>
        <v>264232.57842076744</v>
      </c>
      <c r="HD70" s="672">
        <f>+HD69</f>
        <v>3997541.3916666666</v>
      </c>
      <c r="HE70" s="671">
        <f t="shared" ref="HE70:HE78" si="105">+HE69</f>
        <v>440096.3</v>
      </c>
      <c r="HF70" s="671">
        <f t="shared" si="92"/>
        <v>3557445.0916666668</v>
      </c>
      <c r="HG70" s="1366">
        <f t="shared" si="93"/>
        <v>942847.77143106412</v>
      </c>
      <c r="HI70" s="589"/>
      <c r="HJ70" s="564"/>
      <c r="HK70" s="564"/>
      <c r="HL70" s="590"/>
      <c r="HM70" s="589"/>
      <c r="HN70" s="564"/>
      <c r="HO70" s="564"/>
      <c r="HP70" s="590"/>
      <c r="HQ70" s="589"/>
      <c r="HR70" s="564"/>
      <c r="HS70" s="564"/>
      <c r="HT70" s="590"/>
    </row>
    <row r="71" spans="1:228">
      <c r="A71" s="649" t="s">
        <v>24</v>
      </c>
      <c r="B71" s="670">
        <f t="shared" si="0"/>
        <v>2022</v>
      </c>
      <c r="C71" s="671">
        <f>+E70</f>
        <v>13708103.510795452</v>
      </c>
      <c r="D71" s="671">
        <f>+C$31</f>
        <v>445791.98409090913</v>
      </c>
      <c r="E71" s="671">
        <f t="shared" si="6"/>
        <v>13262311.526704542</v>
      </c>
      <c r="F71" s="653">
        <f>+C$28*E71+D71</f>
        <v>1971946.0636786807</v>
      </c>
      <c r="G71" s="671">
        <f>+I70</f>
        <v>3533142.861136361</v>
      </c>
      <c r="H71" s="671">
        <f>+G$31</f>
        <v>115840.74954545456</v>
      </c>
      <c r="I71" s="671">
        <f t="shared" si="7"/>
        <v>3417302.1115909065</v>
      </c>
      <c r="J71" s="653">
        <f>+G$28*I71+H71</f>
        <v>509085.13596232893</v>
      </c>
      <c r="K71" s="672">
        <f>+M70</f>
        <v>9086237.8938068114</v>
      </c>
      <c r="L71" s="671">
        <f>+K$31</f>
        <v>305419.76113636367</v>
      </c>
      <c r="M71" s="671">
        <f t="shared" si="8"/>
        <v>8780818.1326704472</v>
      </c>
      <c r="N71" s="653">
        <f>+K$28*M71+L71</f>
        <v>1315868.1575799037</v>
      </c>
      <c r="O71" s="672">
        <f>+Q70</f>
        <v>3798236.128787877</v>
      </c>
      <c r="P71" s="671">
        <f>+O$31</f>
        <v>119316.31818181818</v>
      </c>
      <c r="Q71" s="671">
        <f t="shared" si="11"/>
        <v>3678919.8106060587</v>
      </c>
      <c r="R71" s="653">
        <f>+O$28*Q71+P71</f>
        <v>542666.23468222178</v>
      </c>
      <c r="S71" s="589">
        <f>+U70</f>
        <v>1759190.4478787859</v>
      </c>
      <c r="T71" s="564">
        <f>+S$31</f>
        <v>58315.705454545445</v>
      </c>
      <c r="U71" s="564">
        <f t="shared" si="12"/>
        <v>1700874.7424242403</v>
      </c>
      <c r="V71" s="590">
        <f>+S$28*U71+T71</f>
        <v>254043.04316575406</v>
      </c>
      <c r="W71" s="589">
        <f>+Y70</f>
        <v>22069846.700757578</v>
      </c>
      <c r="X71" s="564">
        <f>+W$31</f>
        <v>693293.61363636365</v>
      </c>
      <c r="Y71" s="564">
        <f t="shared" si="13"/>
        <v>21376553.087121215</v>
      </c>
      <c r="Z71" s="590">
        <f>+W$28*Y71+X71</f>
        <v>3153190.1132581835</v>
      </c>
      <c r="AA71" s="589">
        <f>+AC70</f>
        <v>14389096.013257571</v>
      </c>
      <c r="AB71" s="564">
        <f>+AA$31</f>
        <v>450833.29545454547</v>
      </c>
      <c r="AC71" s="564">
        <f t="shared" si="14"/>
        <v>13938262.717803026</v>
      </c>
      <c r="AD71" s="590">
        <f>+AA$28*AC71+AB71</f>
        <v>2054772.1311777732</v>
      </c>
      <c r="AE71" s="589">
        <f>+AG70</f>
        <v>144833.42045454559</v>
      </c>
      <c r="AF71" s="564">
        <f>+AE$31</f>
        <v>4597.886363636364</v>
      </c>
      <c r="AG71" s="564">
        <f t="shared" si="15"/>
        <v>140235.53409090923</v>
      </c>
      <c r="AH71" s="590">
        <f>+AE$28*AG71+AF71</f>
        <v>20735.42257103623</v>
      </c>
      <c r="AI71" s="589">
        <f>+AK70</f>
        <v>9703807.3446969707</v>
      </c>
      <c r="AJ71" s="564">
        <f>+AI$31</f>
        <v>295547.43181818182</v>
      </c>
      <c r="AK71" s="564">
        <f t="shared" si="19"/>
        <v>9408259.912878789</v>
      </c>
      <c r="AL71" s="590">
        <f>+AI$28*AK71+AJ71</f>
        <v>1378198.3874189728</v>
      </c>
      <c r="AM71" s="589">
        <f>+AO70</f>
        <v>3603174.7596590901</v>
      </c>
      <c r="AN71" s="564">
        <f>+AM$31</f>
        <v>110866.91568181818</v>
      </c>
      <c r="AO71" s="564">
        <f t="shared" si="16"/>
        <v>3492307.843977272</v>
      </c>
      <c r="AP71" s="590">
        <f>+AM$28*AO71+AN71</f>
        <v>512742.55044807924</v>
      </c>
      <c r="AQ71" s="589">
        <f>+AS70</f>
        <v>29636530.770681825</v>
      </c>
      <c r="AR71" s="564">
        <f>+AQ$31</f>
        <v>904932.23727272719</v>
      </c>
      <c r="AS71" s="564">
        <f t="shared" si="17"/>
        <v>28731598.533409096</v>
      </c>
      <c r="AT71" s="590">
        <f>+AQ$28*AS71+AR71</f>
        <v>4211207.0315684099</v>
      </c>
      <c r="AU71" s="672">
        <f>+AW70</f>
        <v>19375000</v>
      </c>
      <c r="AV71" s="671">
        <f>+AU$31</f>
        <v>750000</v>
      </c>
      <c r="AW71" s="671">
        <f t="shared" si="1"/>
        <v>18625000</v>
      </c>
      <c r="AX71" s="653">
        <f>+AU$28*AW71+AV71</f>
        <v>750000</v>
      </c>
      <c r="AY71" s="672">
        <f>+BA70</f>
        <v>12583333.333333332</v>
      </c>
      <c r="AZ71" s="671">
        <f>+AY$31</f>
        <v>500000</v>
      </c>
      <c r="BA71" s="671">
        <f t="shared" si="2"/>
        <v>12083333.333333332</v>
      </c>
      <c r="BB71" s="653">
        <f>+AY$28*BA71+AZ71</f>
        <v>500000</v>
      </c>
      <c r="BC71" s="672">
        <f>+BE70</f>
        <v>19750000</v>
      </c>
      <c r="BD71" s="671">
        <f>+BC$31</f>
        <v>750000</v>
      </c>
      <c r="BE71" s="671">
        <f t="shared" si="4"/>
        <v>19000000</v>
      </c>
      <c r="BF71" s="653">
        <f>+BC$28*BE71+BD71</f>
        <v>750000</v>
      </c>
      <c r="BG71" s="672">
        <f>+BI70</f>
        <v>12523809.52380953</v>
      </c>
      <c r="BH71" s="671">
        <f>+BG$31</f>
        <v>571428.57142857148</v>
      </c>
      <c r="BI71" s="671">
        <f t="shared" si="5"/>
        <v>11952380.952380959</v>
      </c>
      <c r="BJ71" s="653">
        <f>+BG$28*BI71+BH71</f>
        <v>571428.57142857148</v>
      </c>
      <c r="BK71" s="672">
        <f>+BM70</f>
        <v>15200000</v>
      </c>
      <c r="BL71" s="671">
        <f>+BK$31</f>
        <v>1200000</v>
      </c>
      <c r="BM71" s="671">
        <f t="shared" si="9"/>
        <v>14000000</v>
      </c>
      <c r="BN71" s="653">
        <f>+BK$28*BM71+BL71</f>
        <v>1200000</v>
      </c>
      <c r="BO71" s="672">
        <f>+BQ70</f>
        <v>11833333.333333332</v>
      </c>
      <c r="BP71" s="671">
        <f>+BO$31</f>
        <v>666666.66666666663</v>
      </c>
      <c r="BQ71" s="671">
        <f t="shared" si="10"/>
        <v>11166666.666666666</v>
      </c>
      <c r="BR71" s="653">
        <f>+BO$28*BQ71+BP71</f>
        <v>666666.66666666663</v>
      </c>
      <c r="BS71" s="589">
        <f>+BU70</f>
        <v>274259.25000000012</v>
      </c>
      <c r="BT71" s="564">
        <f>+BS$31</f>
        <v>8310.886363636364</v>
      </c>
      <c r="BU71" s="564">
        <f t="shared" si="18"/>
        <v>265948.36363636376</v>
      </c>
      <c r="BV71" s="590">
        <f>+BS$28*BU71+BT71</f>
        <v>38914.765582282838</v>
      </c>
      <c r="BW71" s="589">
        <f>+BY70</f>
        <v>19179970.806818187</v>
      </c>
      <c r="BX71" s="564">
        <f>+BW$31</f>
        <v>576841.22727272729</v>
      </c>
      <c r="BY71" s="564">
        <f t="shared" si="20"/>
        <v>18603129.579545461</v>
      </c>
      <c r="BZ71" s="590">
        <f>+BW$28*BY71+BX71</f>
        <v>2717587.3591785878</v>
      </c>
      <c r="CA71" s="589">
        <f>+CC70</f>
        <v>1809927.8400000008</v>
      </c>
      <c r="CB71" s="564">
        <f>+CA$31</f>
        <v>54433.919999999998</v>
      </c>
      <c r="CC71" s="564">
        <f t="shared" si="21"/>
        <v>1755493.9200000009</v>
      </c>
      <c r="CD71" s="590">
        <f>+CA$28*CC71+CB71</f>
        <v>256446.53313345538</v>
      </c>
      <c r="CE71" s="589">
        <f>+CG70</f>
        <v>157107.21727272734</v>
      </c>
      <c r="CF71" s="564">
        <f>+CE$31</f>
        <v>4725.0290909090909</v>
      </c>
      <c r="CG71" s="564">
        <f t="shared" si="22"/>
        <v>152382.18818181826</v>
      </c>
      <c r="CH71" s="590">
        <f>+CE$28*CG71+CF71</f>
        <v>22260.335638483481</v>
      </c>
      <c r="CI71" s="589">
        <f>+CK70</f>
        <v>423423.40909090894</v>
      </c>
      <c r="CJ71" s="564">
        <f>+CI$31</f>
        <v>12362.727272727272</v>
      </c>
      <c r="CK71" s="564">
        <f t="shared" si="24"/>
        <v>411060.68181818165</v>
      </c>
      <c r="CL71" s="590">
        <f>+CI$28*CK71+CJ71</f>
        <v>59665.336267528393</v>
      </c>
      <c r="CM71" s="589">
        <f>+CO70</f>
        <v>18743051.39346591</v>
      </c>
      <c r="CN71" s="564">
        <f>+CM$31</f>
        <v>483691.64886363636</v>
      </c>
      <c r="CO71" s="564">
        <f t="shared" si="34"/>
        <v>18259359.744602274</v>
      </c>
      <c r="CP71" s="590">
        <f>+CM$28*CO71+CN71</f>
        <v>2584878.633408092</v>
      </c>
      <c r="CQ71" s="589">
        <f>+CS70</f>
        <v>78187268.617329523</v>
      </c>
      <c r="CR71" s="564">
        <f>+CQ$31</f>
        <v>2017735.9643181816</v>
      </c>
      <c r="CS71" s="564">
        <f t="shared" si="40"/>
        <v>76169532.653011337</v>
      </c>
      <c r="CT71" s="590">
        <f>+CQ$28*CS71+CR71</f>
        <v>10782908.066075657</v>
      </c>
      <c r="CU71" s="589">
        <f>+CW70</f>
        <v>26371619.527500007</v>
      </c>
      <c r="CV71" s="564">
        <f>+CU$31</f>
        <v>676195.37250000006</v>
      </c>
      <c r="CW71" s="564">
        <f t="shared" si="41"/>
        <v>25695424.155000009</v>
      </c>
      <c r="CX71" s="590">
        <f>+CU$28*CW71+CV71</f>
        <v>3633083.8697977057</v>
      </c>
      <c r="CY71" s="589">
        <f>+DA70</f>
        <v>28982.092613636414</v>
      </c>
      <c r="CZ71" s="564">
        <f>+CY$31</f>
        <v>733.72386363636497</v>
      </c>
      <c r="DA71" s="564">
        <f t="shared" si="42"/>
        <v>28248.368750000049</v>
      </c>
      <c r="DB71" s="590">
        <f>+CY$28*DA71+CZ71</f>
        <v>3984.3912245036399</v>
      </c>
      <c r="DC71" s="589">
        <f>+DE70</f>
        <v>1747828.9045454548</v>
      </c>
      <c r="DD71" s="564">
        <f>+DC$31</f>
        <v>44530.672727272722</v>
      </c>
      <c r="DE71" s="564">
        <f t="shared" si="43"/>
        <v>1703298.2318181822</v>
      </c>
      <c r="DF71" s="590">
        <f>+DC$28*DE71+DD71</f>
        <v>240536.89230744925</v>
      </c>
      <c r="DG71" s="589">
        <f>+DI70</f>
        <v>973259.23556818161</v>
      </c>
      <c r="DH71" s="564">
        <f>+DG$31</f>
        <v>24639.474318181816</v>
      </c>
      <c r="DI71" s="564">
        <f t="shared" si="44"/>
        <v>948619.76124999975</v>
      </c>
      <c r="DJ71" s="590">
        <f>+DG$28*DI71+DH71</f>
        <v>133801.43418423869</v>
      </c>
      <c r="DK71" s="589">
        <f>+DM70</f>
        <v>21528303.347159091</v>
      </c>
      <c r="DL71" s="564">
        <f>+DK$31</f>
        <v>549658.80886363634</v>
      </c>
      <c r="DM71" s="564">
        <f t="shared" si="45"/>
        <v>20978644.538295455</v>
      </c>
      <c r="DN71" s="590">
        <f>+DK$28*DM71+DL71</f>
        <v>2963766.1748287398</v>
      </c>
      <c r="DO71" s="589">
        <f>+DQ70</f>
        <v>786973.60518939351</v>
      </c>
      <c r="DP71" s="564">
        <f t="shared" si="95"/>
        <v>19592.703863636354</v>
      </c>
      <c r="DQ71" s="564">
        <f t="shared" si="60"/>
        <v>767380.90132575715</v>
      </c>
      <c r="DR71" s="590">
        <f t="shared" si="65"/>
        <v>107898.68964883486</v>
      </c>
      <c r="DS71" s="589">
        <f>+DU70</f>
        <v>335977.98545454425</v>
      </c>
      <c r="DT71" s="564">
        <f t="shared" si="96"/>
        <v>8295.7527272726966</v>
      </c>
      <c r="DU71" s="564">
        <f t="shared" si="61"/>
        <v>327682.23272727156</v>
      </c>
      <c r="DV71" s="590">
        <f t="shared" si="66"/>
        <v>46003.627050552132</v>
      </c>
      <c r="DW71" s="589">
        <f>+DY70</f>
        <v>49175.977215909079</v>
      </c>
      <c r="DX71" s="564">
        <f t="shared" si="97"/>
        <v>1221.7634090909089</v>
      </c>
      <c r="DY71" s="564">
        <f t="shared" si="62"/>
        <v>47954.213806818167</v>
      </c>
      <c r="DZ71" s="590">
        <f t="shared" si="67"/>
        <v>6740.0713516645619</v>
      </c>
      <c r="EA71" s="589">
        <f>+EC70</f>
        <v>-291339.00676136551</v>
      </c>
      <c r="EB71" s="564">
        <f t="shared" si="98"/>
        <v>-7120.3015909091364</v>
      </c>
      <c r="EC71" s="564">
        <f t="shared" si="63"/>
        <v>-284218.70517045638</v>
      </c>
      <c r="ED71" s="590">
        <f t="shared" si="68"/>
        <v>-39826.631518210153</v>
      </c>
      <c r="EE71" s="589">
        <f>+EG70</f>
        <v>8148612.4654545458</v>
      </c>
      <c r="EF71" s="564">
        <f t="shared" si="102"/>
        <v>192108.74181818182</v>
      </c>
      <c r="EG71" s="564">
        <f t="shared" si="72"/>
        <v>7956503.7236363636</v>
      </c>
      <c r="EH71" s="590">
        <f t="shared" si="73"/>
        <v>1107699.5566344752</v>
      </c>
      <c r="EI71" s="589">
        <f>+EK70</f>
        <v>328527.54882575752</v>
      </c>
      <c r="EJ71" s="564">
        <f t="shared" si="103"/>
        <v>7669.903863636363</v>
      </c>
      <c r="EK71" s="564">
        <f t="shared" si="74"/>
        <v>320857.64496212115</v>
      </c>
      <c r="EL71" s="590">
        <f t="shared" si="75"/>
        <v>44592.442053141749</v>
      </c>
      <c r="EM71" s="589">
        <f>+EO70</f>
        <v>11206124.356818182</v>
      </c>
      <c r="EN71" s="564">
        <f t="shared" si="104"/>
        <v>260607.54318181818</v>
      </c>
      <c r="EO71" s="564">
        <f t="shared" si="76"/>
        <v>10945516.813636364</v>
      </c>
      <c r="EP71" s="590">
        <f t="shared" si="77"/>
        <v>1520157.5925598603</v>
      </c>
      <c r="EQ71" s="678">
        <f t="shared" si="94"/>
        <v>42155553.410918377</v>
      </c>
      <c r="ER71" s="652"/>
      <c r="ES71" s="674">
        <f>+EQ71</f>
        <v>42155553.410918377</v>
      </c>
      <c r="EV71" s="589">
        <f>+EX70</f>
        <v>2753210.6333333356</v>
      </c>
      <c r="EW71" s="564">
        <f t="shared" si="78"/>
        <v>1270712.6000000001</v>
      </c>
      <c r="EX71" s="564">
        <f t="shared" si="25"/>
        <v>1482498.0333333355</v>
      </c>
      <c r="EY71" s="590">
        <f t="shared" si="47"/>
        <v>1480224.7775450388</v>
      </c>
      <c r="EZ71" s="589">
        <f>+FB70</f>
        <v>2683213.1999999983</v>
      </c>
      <c r="FA71" s="564">
        <f t="shared" si="79"/>
        <v>894404.4</v>
      </c>
      <c r="FB71" s="564">
        <f t="shared" si="26"/>
        <v>1788808.7999999984</v>
      </c>
      <c r="FC71" s="590">
        <f t="shared" si="48"/>
        <v>1147205.5629513303</v>
      </c>
      <c r="FD71" s="589">
        <f>+FF70</f>
        <v>409670.8904166664</v>
      </c>
      <c r="FE71" s="564">
        <f t="shared" si="80"/>
        <v>140458.59099999999</v>
      </c>
      <c r="FF71" s="564">
        <f t="shared" si="27"/>
        <v>269212.29941666638</v>
      </c>
      <c r="FG71" s="590">
        <f t="shared" si="49"/>
        <v>178504.68199269584</v>
      </c>
      <c r="FH71" s="589">
        <f>+FJ70</f>
        <v>50880.900000000009</v>
      </c>
      <c r="FI71" s="564">
        <f t="shared" si="81"/>
        <v>16960.3</v>
      </c>
      <c r="FJ71" s="564">
        <f t="shared" si="28"/>
        <v>33920.600000000006</v>
      </c>
      <c r="FK71" s="590">
        <f t="shared" si="50"/>
        <v>21754.086305169621</v>
      </c>
      <c r="FL71" s="589">
        <f>+FN70</f>
        <v>3970.3223333333335</v>
      </c>
      <c r="FM71" s="564">
        <f t="shared" si="82"/>
        <v>1253.7860000000001</v>
      </c>
      <c r="FN71" s="564">
        <f t="shared" si="33"/>
        <v>2716.5363333333335</v>
      </c>
      <c r="FO71" s="590">
        <f t="shared" si="51"/>
        <v>1637.6970945039011</v>
      </c>
      <c r="FP71" s="589">
        <f>+FR70</f>
        <v>13108094.934999995</v>
      </c>
      <c r="FQ71" s="564">
        <f t="shared" si="83"/>
        <v>4033259.9799999995</v>
      </c>
      <c r="FR71" s="564">
        <f t="shared" si="29"/>
        <v>9074834.9549999945</v>
      </c>
      <c r="FS71" s="590">
        <f t="shared" si="52"/>
        <v>5315749.6626398563</v>
      </c>
      <c r="FT71" s="589">
        <f>+FV70</f>
        <v>190107.80883333337</v>
      </c>
      <c r="FU71" s="564">
        <f t="shared" si="84"/>
        <v>53053.342000000004</v>
      </c>
      <c r="FV71" s="564">
        <f t="shared" si="30"/>
        <v>137054.46683333337</v>
      </c>
      <c r="FW71" s="590">
        <f t="shared" si="53"/>
        <v>72422.392847212541</v>
      </c>
      <c r="FX71" s="589">
        <f>+FZ70</f>
        <v>-193165.65349999996</v>
      </c>
      <c r="FY71" s="564">
        <f t="shared" si="85"/>
        <v>-53906.693999999974</v>
      </c>
      <c r="FZ71" s="564">
        <f t="shared" si="31"/>
        <v>-139258.9595</v>
      </c>
      <c r="GA71" s="590">
        <f t="shared" si="54"/>
        <v>-73587.29201192403</v>
      </c>
      <c r="GB71" s="589">
        <f>+GD70</f>
        <v>12755503.878833339</v>
      </c>
      <c r="GC71" s="564">
        <f t="shared" si="86"/>
        <v>3327522.7509999997</v>
      </c>
      <c r="GD71" s="564">
        <f t="shared" si="32"/>
        <v>9427981.1278333385</v>
      </c>
      <c r="GE71" s="590">
        <f t="shared" si="55"/>
        <v>4659920.3741554003</v>
      </c>
      <c r="GF71" s="589">
        <f>+GH70</f>
        <v>194993.51774999994</v>
      </c>
      <c r="GG71" s="564">
        <f t="shared" si="87"/>
        <v>49785.578999999998</v>
      </c>
      <c r="GH71" s="564">
        <f t="shared" si="37"/>
        <v>145207.93874999994</v>
      </c>
      <c r="GI71" s="590">
        <f t="shared" si="56"/>
        <v>70306.909052583345</v>
      </c>
      <c r="GJ71" s="589">
        <f>+GL70</f>
        <v>790227.85949999979</v>
      </c>
      <c r="GK71" s="564">
        <f t="shared" si="88"/>
        <v>175606.19100000002</v>
      </c>
      <c r="GL71" s="564">
        <f t="shared" si="38"/>
        <v>614621.6684999998</v>
      </c>
      <c r="GM71" s="590">
        <f t="shared" si="57"/>
        <v>262466.82840959186</v>
      </c>
      <c r="GN71" s="589">
        <f>+GP70</f>
        <v>19970215.790416665</v>
      </c>
      <c r="GO71" s="564">
        <f t="shared" si="89"/>
        <v>3686809.0689999992</v>
      </c>
      <c r="GP71" s="564">
        <f t="shared" si="58"/>
        <v>16283406.721416667</v>
      </c>
      <c r="GQ71" s="590">
        <f t="shared" si="59"/>
        <v>5988041.1268832376</v>
      </c>
      <c r="GR71" s="589">
        <f>+GT70</f>
        <v>53520317.673333332</v>
      </c>
      <c r="GS71" s="564">
        <f t="shared" si="99"/>
        <v>8028047.6510000005</v>
      </c>
      <c r="GT71" s="564">
        <f t="shared" si="64"/>
        <v>45492270.022333331</v>
      </c>
      <c r="GU71" s="590">
        <f t="shared" si="69"/>
        <v>14457185.72709948</v>
      </c>
      <c r="GV71" s="672">
        <f>+GX70</f>
        <v>-376713.62500000006</v>
      </c>
      <c r="GW71" s="676">
        <f t="shared" si="100"/>
        <v>-53183.1</v>
      </c>
      <c r="GX71" s="676">
        <f t="shared" si="70"/>
        <v>-323530.52500000008</v>
      </c>
      <c r="GY71" s="1366">
        <f t="shared" si="90"/>
        <v>-98905.646182831028</v>
      </c>
      <c r="GZ71" s="672">
        <f>+HB70</f>
        <v>951546.93333333347</v>
      </c>
      <c r="HA71" s="671">
        <f t="shared" si="101"/>
        <v>129756.4</v>
      </c>
      <c r="HB71" s="671">
        <f t="shared" si="71"/>
        <v>821790.53333333344</v>
      </c>
      <c r="HC71" s="1366">
        <f t="shared" si="91"/>
        <v>245894.91772702642</v>
      </c>
      <c r="HD71" s="672">
        <f>+HF70</f>
        <v>3557445.0916666668</v>
      </c>
      <c r="HE71" s="671">
        <f t="shared" si="105"/>
        <v>440096.3</v>
      </c>
      <c r="HF71" s="671">
        <f t="shared" si="92"/>
        <v>3117348.791666667</v>
      </c>
      <c r="HG71" s="1366">
        <f t="shared" si="93"/>
        <v>880651.71310969535</v>
      </c>
      <c r="HI71" s="589"/>
      <c r="HJ71" s="564"/>
      <c r="HK71" s="564"/>
      <c r="HL71" s="590"/>
      <c r="HM71" s="589"/>
      <c r="HN71" s="564"/>
      <c r="HO71" s="564"/>
      <c r="HP71" s="590"/>
      <c r="HQ71" s="589"/>
      <c r="HR71" s="564"/>
      <c r="HS71" s="564"/>
      <c r="HT71" s="590"/>
    </row>
    <row r="72" spans="1:228">
      <c r="A72" s="649" t="s">
        <v>23</v>
      </c>
      <c r="B72" s="670">
        <f t="shared" si="0"/>
        <v>2022</v>
      </c>
      <c r="C72" s="671">
        <f>+C71</f>
        <v>13708103.510795452</v>
      </c>
      <c r="D72" s="671">
        <f>+D71</f>
        <v>445791.98409090913</v>
      </c>
      <c r="E72" s="671">
        <f t="shared" si="6"/>
        <v>13262311.526704542</v>
      </c>
      <c r="F72" s="653">
        <f>+C$29*E72+D72</f>
        <v>2052887.3492593016</v>
      </c>
      <c r="G72" s="671">
        <f>+G71</f>
        <v>3533142.861136361</v>
      </c>
      <c r="H72" s="671">
        <f>+H71</f>
        <v>115840.74954545456</v>
      </c>
      <c r="I72" s="671">
        <f t="shared" si="7"/>
        <v>3417302.1115909065</v>
      </c>
      <c r="J72" s="653">
        <f>+G$29*I72+H72</f>
        <v>529941.2910581117</v>
      </c>
      <c r="K72" s="672">
        <f>+K71</f>
        <v>9086237.8938068114</v>
      </c>
      <c r="L72" s="671">
        <f>+L71</f>
        <v>305419.76113636367</v>
      </c>
      <c r="M72" s="671">
        <f t="shared" si="8"/>
        <v>8780818.1326704472</v>
      </c>
      <c r="N72" s="653">
        <f>+K$29*M72+L72</f>
        <v>1369458.4164632717</v>
      </c>
      <c r="O72" s="672">
        <f>+O71</f>
        <v>3798236.128787877</v>
      </c>
      <c r="P72" s="671">
        <f>+P71</f>
        <v>119316.31818181818</v>
      </c>
      <c r="Q72" s="671">
        <f t="shared" si="11"/>
        <v>3678919.8106060587</v>
      </c>
      <c r="R72" s="653">
        <f>+O$29*Q72+P72</f>
        <v>565119.07017917698</v>
      </c>
      <c r="S72" s="589">
        <f>+S71</f>
        <v>1759190.4478787859</v>
      </c>
      <c r="T72" s="564">
        <f>+T71</f>
        <v>58315.705454545445</v>
      </c>
      <c r="U72" s="564">
        <f t="shared" si="12"/>
        <v>1700874.7424242403</v>
      </c>
      <c r="V72" s="590">
        <f>+S$29*U72+T72</f>
        <v>264423.66105323285</v>
      </c>
      <c r="W72" s="589">
        <f>+W71</f>
        <v>22069846.700757578</v>
      </c>
      <c r="X72" s="564">
        <f>+X71</f>
        <v>693293.61363636365</v>
      </c>
      <c r="Y72" s="564">
        <f t="shared" si="13"/>
        <v>21376553.087121215</v>
      </c>
      <c r="Z72" s="590">
        <f>+W$29*Y72+X72</f>
        <v>3283653.4706201348</v>
      </c>
      <c r="AA72" s="589">
        <f>+AA71</f>
        <v>14389096.013257571</v>
      </c>
      <c r="AB72" s="564">
        <f>+AB71</f>
        <v>450833.29545454547</v>
      </c>
      <c r="AC72" s="564">
        <f t="shared" si="14"/>
        <v>13938262.717803026</v>
      </c>
      <c r="AD72" s="590">
        <f>+AA$29*AC72+AB72</f>
        <v>2139838.8181476691</v>
      </c>
      <c r="AE72" s="589">
        <f>+AE71</f>
        <v>144833.42045454559</v>
      </c>
      <c r="AF72" s="564">
        <f>+AF71</f>
        <v>4597.886363636364</v>
      </c>
      <c r="AG72" s="564">
        <f t="shared" si="15"/>
        <v>140235.53409090923</v>
      </c>
      <c r="AH72" s="590">
        <f>+AE$29*AG72+AF72</f>
        <v>21591.294821552099</v>
      </c>
      <c r="AI72" s="589">
        <f>+AI71</f>
        <v>9703807.3446969707</v>
      </c>
      <c r="AJ72" s="564">
        <f>+AJ71</f>
        <v>295547.43181818182</v>
      </c>
      <c r="AK72" s="564">
        <f t="shared" si="19"/>
        <v>9408259.912878789</v>
      </c>
      <c r="AL72" s="590">
        <f>+AI$29*AK72+AJ72</f>
        <v>1435617.9896422855</v>
      </c>
      <c r="AM72" s="589">
        <f>+AM71</f>
        <v>3603174.7596590901</v>
      </c>
      <c r="AN72" s="564">
        <f>+AN71</f>
        <v>110866.91568181818</v>
      </c>
      <c r="AO72" s="564">
        <f t="shared" si="16"/>
        <v>3492307.843977272</v>
      </c>
      <c r="AP72" s="590">
        <f>+AM$29*AO72+AN72</f>
        <v>534056.47343696607</v>
      </c>
      <c r="AQ72" s="589">
        <f>+AQ71</f>
        <v>29636530.770681825</v>
      </c>
      <c r="AR72" s="564">
        <f>+AR71</f>
        <v>904932.23727272719</v>
      </c>
      <c r="AS72" s="564">
        <f t="shared" si="17"/>
        <v>28731598.533409096</v>
      </c>
      <c r="AT72" s="590">
        <f>+AQ$29*AS72+AR72</f>
        <v>4386559.006780101</v>
      </c>
      <c r="AU72" s="672">
        <f>+AU71</f>
        <v>19375000</v>
      </c>
      <c r="AV72" s="671">
        <f>+AV71</f>
        <v>750000</v>
      </c>
      <c r="AW72" s="671">
        <f t="shared" si="1"/>
        <v>18625000</v>
      </c>
      <c r="AX72" s="653">
        <f>+AU$29*AW72+AV72</f>
        <v>750000</v>
      </c>
      <c r="AY72" s="672">
        <f>+AY71</f>
        <v>12583333.333333332</v>
      </c>
      <c r="AZ72" s="671">
        <f>+AZ71</f>
        <v>500000</v>
      </c>
      <c r="BA72" s="671">
        <f t="shared" si="2"/>
        <v>12083333.333333332</v>
      </c>
      <c r="BB72" s="653">
        <f>+AY$29*BA72+AZ72</f>
        <v>500000</v>
      </c>
      <c r="BC72" s="672">
        <f>+BC71</f>
        <v>19750000</v>
      </c>
      <c r="BD72" s="671">
        <f>+BD71</f>
        <v>750000</v>
      </c>
      <c r="BE72" s="671">
        <f t="shared" si="4"/>
        <v>19000000</v>
      </c>
      <c r="BF72" s="653">
        <f>+BC$29*BE72+BD72</f>
        <v>750000</v>
      </c>
      <c r="BG72" s="672">
        <f>+BG71</f>
        <v>12523809.52380953</v>
      </c>
      <c r="BH72" s="671">
        <f>+BH71</f>
        <v>571428.57142857148</v>
      </c>
      <c r="BI72" s="671">
        <f t="shared" si="5"/>
        <v>11952380.952380959</v>
      </c>
      <c r="BJ72" s="653">
        <f>+BG$29*BI72+BH72</f>
        <v>571428.57142857148</v>
      </c>
      <c r="BK72" s="672">
        <f>+BK71</f>
        <v>15200000</v>
      </c>
      <c r="BL72" s="671">
        <f>+BL71</f>
        <v>1200000</v>
      </c>
      <c r="BM72" s="671">
        <f t="shared" si="9"/>
        <v>14000000</v>
      </c>
      <c r="BN72" s="653">
        <f>+BK$29*BM72+BL72</f>
        <v>1200000</v>
      </c>
      <c r="BO72" s="672">
        <f>+BO71</f>
        <v>11833333.333333332</v>
      </c>
      <c r="BP72" s="671">
        <f>+BP71</f>
        <v>666666.66666666663</v>
      </c>
      <c r="BQ72" s="671">
        <f t="shared" si="10"/>
        <v>11166666.666666666</v>
      </c>
      <c r="BR72" s="653">
        <f>+BO$29*BQ72+BP72</f>
        <v>666666.66666666663</v>
      </c>
      <c r="BS72" s="589">
        <f>+BS71</f>
        <v>274259.25000000012</v>
      </c>
      <c r="BT72" s="564">
        <f>+BT71</f>
        <v>8310.886363636364</v>
      </c>
      <c r="BU72" s="564">
        <f t="shared" si="18"/>
        <v>265948.36363636376</v>
      </c>
      <c r="BV72" s="590">
        <f>+BS$29*BU72+BT72</f>
        <v>40537.876486248962</v>
      </c>
      <c r="BW72" s="589">
        <f>+BW71</f>
        <v>19179970.806818187</v>
      </c>
      <c r="BX72" s="564">
        <f>+BX71</f>
        <v>576841.22727272729</v>
      </c>
      <c r="BY72" s="564">
        <f t="shared" si="20"/>
        <v>18603129.579545461</v>
      </c>
      <c r="BZ72" s="590">
        <f>+BW$29*BY72+BX72</f>
        <v>2717587.3591785878</v>
      </c>
      <c r="CA72" s="589">
        <f>+CA71</f>
        <v>1809927.8400000008</v>
      </c>
      <c r="CB72" s="564">
        <f>+CB71</f>
        <v>54433.919999999998</v>
      </c>
      <c r="CC72" s="564">
        <f t="shared" si="21"/>
        <v>1755493.9200000009</v>
      </c>
      <c r="CD72" s="590">
        <f>+CA$29*CC72+CB72</f>
        <v>267160.49762053986</v>
      </c>
      <c r="CE72" s="589">
        <f>+CE71</f>
        <v>157107.21727272734</v>
      </c>
      <c r="CF72" s="564">
        <f>+CF71</f>
        <v>4725.0290909090909</v>
      </c>
      <c r="CG72" s="564">
        <f t="shared" si="22"/>
        <v>152382.18818181826</v>
      </c>
      <c r="CH72" s="590">
        <f>+CE$29*CG72+CF72</f>
        <v>23190.340199618175</v>
      </c>
      <c r="CI72" s="589">
        <f>+CI71</f>
        <v>423423.40909090894</v>
      </c>
      <c r="CJ72" s="564">
        <f>+CJ71</f>
        <v>12362.727272727272</v>
      </c>
      <c r="CK72" s="564">
        <f t="shared" si="24"/>
        <v>411060.68181818165</v>
      </c>
      <c r="CL72" s="590">
        <f>+CI$29*CK72+CJ72</f>
        <v>59665.336267528393</v>
      </c>
      <c r="CM72" s="589">
        <f>+CM71</f>
        <v>18743051.39346591</v>
      </c>
      <c r="CN72" s="564">
        <f>+CN71</f>
        <v>483691.64886363636</v>
      </c>
      <c r="CO72" s="564">
        <f t="shared" si="34"/>
        <v>18259359.744602274</v>
      </c>
      <c r="CP72" s="590">
        <f>+CM$29*CO72+CN72</f>
        <v>2584878.633408092</v>
      </c>
      <c r="CQ72" s="589">
        <f>+CQ71</f>
        <v>78187268.617329523</v>
      </c>
      <c r="CR72" s="564">
        <f>+CR71</f>
        <v>2017735.9643181816</v>
      </c>
      <c r="CS72" s="564">
        <f t="shared" si="40"/>
        <v>76169532.653011337</v>
      </c>
      <c r="CT72" s="590">
        <f>+CQ$29*CS72+CR72</f>
        <v>10782908.066075657</v>
      </c>
      <c r="CU72" s="589">
        <f>+CU71</f>
        <v>26371619.527500007</v>
      </c>
      <c r="CV72" s="564">
        <f>+CV71</f>
        <v>676195.37250000006</v>
      </c>
      <c r="CW72" s="564">
        <f t="shared" si="41"/>
        <v>25695424.155000009</v>
      </c>
      <c r="CX72" s="590">
        <f>+CU$29*CW72+CV72</f>
        <v>3633083.8697977057</v>
      </c>
      <c r="CY72" s="589">
        <f>+CY71</f>
        <v>28982.092613636414</v>
      </c>
      <c r="CZ72" s="564">
        <f>+CZ71</f>
        <v>733.72386363636497</v>
      </c>
      <c r="DA72" s="564">
        <f t="shared" si="42"/>
        <v>28248.368750000049</v>
      </c>
      <c r="DB72" s="590">
        <f>+CY$29*DA72+CZ72</f>
        <v>3984.3912245036399</v>
      </c>
      <c r="DC72" s="589">
        <f>+DC71</f>
        <v>1747828.9045454548</v>
      </c>
      <c r="DD72" s="564">
        <f>+DD71</f>
        <v>44530.672727272722</v>
      </c>
      <c r="DE72" s="564">
        <f t="shared" si="43"/>
        <v>1703298.2318181822</v>
      </c>
      <c r="DF72" s="590">
        <f>+DC$29*DE72+DD72</f>
        <v>240536.89230744925</v>
      </c>
      <c r="DG72" s="589">
        <f>+DG71</f>
        <v>973259.23556818161</v>
      </c>
      <c r="DH72" s="564">
        <f>+DH71</f>
        <v>24639.474318181816</v>
      </c>
      <c r="DI72" s="564">
        <f t="shared" si="44"/>
        <v>948619.76124999975</v>
      </c>
      <c r="DJ72" s="590">
        <f>+DG$29*DI72+DH72</f>
        <v>133801.43418423869</v>
      </c>
      <c r="DK72" s="589">
        <f>+DK71</f>
        <v>21528303.347159091</v>
      </c>
      <c r="DL72" s="564">
        <f>+DL71</f>
        <v>549658.80886363634</v>
      </c>
      <c r="DM72" s="564">
        <f t="shared" si="45"/>
        <v>20978644.538295455</v>
      </c>
      <c r="DN72" s="590">
        <f>+DK$29*DM72+DL72</f>
        <v>2963766.1748287398</v>
      </c>
      <c r="DO72" s="589">
        <f>+DO71</f>
        <v>786973.60518939351</v>
      </c>
      <c r="DP72" s="564">
        <f t="shared" si="95"/>
        <v>19592.703863636354</v>
      </c>
      <c r="DQ72" s="564">
        <f t="shared" si="60"/>
        <v>767380.90132575715</v>
      </c>
      <c r="DR72" s="590">
        <f t="shared" si="65"/>
        <v>107898.68964883486</v>
      </c>
      <c r="DS72" s="589">
        <f>+DS71</f>
        <v>335977.98545454425</v>
      </c>
      <c r="DT72" s="564">
        <f t="shared" si="96"/>
        <v>8295.7527272726966</v>
      </c>
      <c r="DU72" s="564">
        <f t="shared" si="61"/>
        <v>327682.23272727156</v>
      </c>
      <c r="DV72" s="590">
        <f t="shared" si="66"/>
        <v>46003.627050552132</v>
      </c>
      <c r="DW72" s="589">
        <f>+DW71</f>
        <v>49175.977215909079</v>
      </c>
      <c r="DX72" s="564">
        <f t="shared" si="97"/>
        <v>1221.7634090909089</v>
      </c>
      <c r="DY72" s="564">
        <f t="shared" si="62"/>
        <v>47954.213806818167</v>
      </c>
      <c r="DZ72" s="590">
        <f t="shared" si="67"/>
        <v>6740.0713516645619</v>
      </c>
      <c r="EA72" s="589">
        <f>+EA71</f>
        <v>-291339.00676136551</v>
      </c>
      <c r="EB72" s="564">
        <f t="shared" si="98"/>
        <v>-7120.3015909091364</v>
      </c>
      <c r="EC72" s="564">
        <f t="shared" si="63"/>
        <v>-284218.70517045638</v>
      </c>
      <c r="ED72" s="590">
        <f t="shared" si="68"/>
        <v>-39826.631518210153</v>
      </c>
      <c r="EE72" s="589">
        <f>+EE71</f>
        <v>8148612.4654545458</v>
      </c>
      <c r="EF72" s="564">
        <f t="shared" si="102"/>
        <v>192108.74181818182</v>
      </c>
      <c r="EG72" s="564">
        <f t="shared" si="72"/>
        <v>7956503.7236363636</v>
      </c>
      <c r="EH72" s="590">
        <f t="shared" si="73"/>
        <v>1107699.5566344752</v>
      </c>
      <c r="EI72" s="589">
        <f>+EI71</f>
        <v>328527.54882575752</v>
      </c>
      <c r="EJ72" s="564">
        <f t="shared" si="103"/>
        <v>7669.903863636363</v>
      </c>
      <c r="EK72" s="564">
        <f t="shared" si="74"/>
        <v>320857.64496212115</v>
      </c>
      <c r="EL72" s="590">
        <f t="shared" si="75"/>
        <v>44592.442053141749</v>
      </c>
      <c r="EM72" s="589">
        <f>+EM71</f>
        <v>11206124.356818182</v>
      </c>
      <c r="EN72" s="564">
        <f t="shared" si="104"/>
        <v>260607.54318181818</v>
      </c>
      <c r="EO72" s="564">
        <f t="shared" si="76"/>
        <v>10945516.813636364</v>
      </c>
      <c r="EP72" s="590">
        <f t="shared" si="77"/>
        <v>1520157.5925598603</v>
      </c>
      <c r="EQ72" s="678">
        <f t="shared" si="94"/>
        <v>42827513.060821034</v>
      </c>
      <c r="ER72" s="675">
        <f>+EQ72</f>
        <v>42827513.060821034</v>
      </c>
      <c r="ES72" s="648"/>
      <c r="EV72" s="589">
        <f>+EV71</f>
        <v>2753210.6333333356</v>
      </c>
      <c r="EW72" s="564">
        <f t="shared" si="78"/>
        <v>1270712.6000000001</v>
      </c>
      <c r="EX72" s="564">
        <f t="shared" si="25"/>
        <v>1482498.0333333355</v>
      </c>
      <c r="EY72" s="590">
        <f t="shared" si="47"/>
        <v>1480224.7775450388</v>
      </c>
      <c r="EZ72" s="589">
        <f>+EZ71</f>
        <v>2683213.1999999983</v>
      </c>
      <c r="FA72" s="564">
        <f t="shared" si="79"/>
        <v>894404.4</v>
      </c>
      <c r="FB72" s="564">
        <f t="shared" si="26"/>
        <v>1788808.7999999984</v>
      </c>
      <c r="FC72" s="590">
        <f t="shared" si="48"/>
        <v>1147205.5629513303</v>
      </c>
      <c r="FD72" s="589">
        <f>+FD71</f>
        <v>409670.8904166664</v>
      </c>
      <c r="FE72" s="564">
        <f t="shared" si="80"/>
        <v>140458.59099999999</v>
      </c>
      <c r="FF72" s="564">
        <f t="shared" si="27"/>
        <v>269212.29941666638</v>
      </c>
      <c r="FG72" s="590">
        <f t="shared" si="49"/>
        <v>178504.68199269584</v>
      </c>
      <c r="FH72" s="589">
        <f>+FH71</f>
        <v>50880.900000000009</v>
      </c>
      <c r="FI72" s="564">
        <f t="shared" si="81"/>
        <v>16960.3</v>
      </c>
      <c r="FJ72" s="564">
        <f t="shared" si="28"/>
        <v>33920.600000000006</v>
      </c>
      <c r="FK72" s="590">
        <f t="shared" si="50"/>
        <v>21754.086305169621</v>
      </c>
      <c r="FL72" s="589">
        <f>+FL71</f>
        <v>3970.3223333333335</v>
      </c>
      <c r="FM72" s="564">
        <f t="shared" si="82"/>
        <v>1253.7860000000001</v>
      </c>
      <c r="FN72" s="564">
        <f t="shared" si="33"/>
        <v>2716.5363333333335</v>
      </c>
      <c r="FO72" s="590">
        <f t="shared" si="51"/>
        <v>1637.6970945039011</v>
      </c>
      <c r="FP72" s="589">
        <f>+FP71</f>
        <v>13108094.934999995</v>
      </c>
      <c r="FQ72" s="564">
        <f t="shared" si="83"/>
        <v>4033259.9799999995</v>
      </c>
      <c r="FR72" s="564">
        <f t="shared" si="29"/>
        <v>9074834.9549999945</v>
      </c>
      <c r="FS72" s="590">
        <f t="shared" si="52"/>
        <v>5315749.6626398563</v>
      </c>
      <c r="FT72" s="589">
        <f>+FT71</f>
        <v>190107.80883333337</v>
      </c>
      <c r="FU72" s="564">
        <f t="shared" si="84"/>
        <v>53053.342000000004</v>
      </c>
      <c r="FV72" s="564">
        <f t="shared" si="30"/>
        <v>137054.46683333337</v>
      </c>
      <c r="FW72" s="590">
        <f t="shared" si="53"/>
        <v>72422.392847212541</v>
      </c>
      <c r="FX72" s="589">
        <f>+FX71</f>
        <v>-193165.65349999996</v>
      </c>
      <c r="FY72" s="564">
        <f t="shared" si="85"/>
        <v>-53906.693999999974</v>
      </c>
      <c r="FZ72" s="564">
        <f t="shared" si="31"/>
        <v>-139258.9595</v>
      </c>
      <c r="GA72" s="590">
        <f t="shared" si="54"/>
        <v>-73587.29201192403</v>
      </c>
      <c r="GB72" s="589">
        <f>+GB71</f>
        <v>12755503.878833339</v>
      </c>
      <c r="GC72" s="564">
        <f t="shared" si="86"/>
        <v>3327522.7509999997</v>
      </c>
      <c r="GD72" s="564">
        <f t="shared" si="32"/>
        <v>9427981.1278333385</v>
      </c>
      <c r="GE72" s="590">
        <f t="shared" si="55"/>
        <v>4659920.3741554003</v>
      </c>
      <c r="GF72" s="589">
        <f>+GF71</f>
        <v>194993.51774999994</v>
      </c>
      <c r="GG72" s="564">
        <f t="shared" si="87"/>
        <v>49785.578999999998</v>
      </c>
      <c r="GH72" s="564">
        <f t="shared" si="37"/>
        <v>145207.93874999994</v>
      </c>
      <c r="GI72" s="590">
        <f t="shared" si="56"/>
        <v>70306.909052583345</v>
      </c>
      <c r="GJ72" s="589">
        <f>+GJ71</f>
        <v>790227.85949999979</v>
      </c>
      <c r="GK72" s="564">
        <f t="shared" si="88"/>
        <v>175606.19100000002</v>
      </c>
      <c r="GL72" s="564">
        <f t="shared" si="38"/>
        <v>614621.6684999998</v>
      </c>
      <c r="GM72" s="590">
        <f t="shared" si="57"/>
        <v>262466.82840959186</v>
      </c>
      <c r="GN72" s="589">
        <f>+GN71</f>
        <v>19970215.790416665</v>
      </c>
      <c r="GO72" s="564">
        <f t="shared" si="89"/>
        <v>3686809.0689999992</v>
      </c>
      <c r="GP72" s="564">
        <f t="shared" si="58"/>
        <v>16283406.721416667</v>
      </c>
      <c r="GQ72" s="590">
        <f t="shared" si="59"/>
        <v>5988041.1268832376</v>
      </c>
      <c r="GR72" s="589">
        <f>+GR71</f>
        <v>53520317.673333332</v>
      </c>
      <c r="GS72" s="564">
        <f t="shared" si="99"/>
        <v>8028047.6510000005</v>
      </c>
      <c r="GT72" s="564">
        <f t="shared" si="64"/>
        <v>45492270.022333331</v>
      </c>
      <c r="GU72" s="590">
        <f t="shared" si="69"/>
        <v>14457185.72709948</v>
      </c>
      <c r="GV72" s="672">
        <f>+GV71</f>
        <v>-376713.62500000006</v>
      </c>
      <c r="GW72" s="676">
        <f t="shared" si="100"/>
        <v>-53183.1</v>
      </c>
      <c r="GX72" s="676">
        <f t="shared" si="70"/>
        <v>-323530.52500000008</v>
      </c>
      <c r="GY72" s="1366">
        <f t="shared" si="90"/>
        <v>-98905.646182831028</v>
      </c>
      <c r="GZ72" s="672">
        <f>+GZ71</f>
        <v>951546.93333333347</v>
      </c>
      <c r="HA72" s="671">
        <f t="shared" si="101"/>
        <v>129756.4</v>
      </c>
      <c r="HB72" s="671">
        <f t="shared" si="71"/>
        <v>821790.53333333344</v>
      </c>
      <c r="HC72" s="1366">
        <f t="shared" si="91"/>
        <v>245894.91772702642</v>
      </c>
      <c r="HD72" s="672">
        <f>+HD71</f>
        <v>3557445.0916666668</v>
      </c>
      <c r="HE72" s="671">
        <f t="shared" si="105"/>
        <v>440096.3</v>
      </c>
      <c r="HF72" s="671">
        <f t="shared" si="92"/>
        <v>3117348.791666667</v>
      </c>
      <c r="HG72" s="1366">
        <f t="shared" si="93"/>
        <v>880651.71310969535</v>
      </c>
      <c r="HI72" s="589"/>
      <c r="HJ72" s="564"/>
      <c r="HK72" s="564"/>
      <c r="HL72" s="590"/>
      <c r="HM72" s="589"/>
      <c r="HN72" s="564"/>
      <c r="HO72" s="564"/>
      <c r="HP72" s="590"/>
      <c r="HQ72" s="589"/>
      <c r="HR72" s="564"/>
      <c r="HS72" s="564"/>
      <c r="HT72" s="590"/>
    </row>
    <row r="73" spans="1:228">
      <c r="A73" s="649" t="s">
        <v>24</v>
      </c>
      <c r="B73" s="670">
        <v>2023</v>
      </c>
      <c r="C73" s="671">
        <f>+E72</f>
        <v>13262311.526704542</v>
      </c>
      <c r="D73" s="671">
        <f>+C$31</f>
        <v>445791.98409090913</v>
      </c>
      <c r="E73" s="671">
        <f t="shared" si="6"/>
        <v>12816519.542613633</v>
      </c>
      <c r="F73" s="653">
        <f>+C$28*E73+D73</f>
        <v>1920646.7668858145</v>
      </c>
      <c r="G73" s="671">
        <f>+I72</f>
        <v>3417302.1115909065</v>
      </c>
      <c r="H73" s="671">
        <f>+G$31</f>
        <v>115840.74954545456</v>
      </c>
      <c r="I73" s="671">
        <f t="shared" si="7"/>
        <v>3301461.362045452</v>
      </c>
      <c r="J73" s="653">
        <f>+G$28*I73+H73</f>
        <v>495754.81777870608</v>
      </c>
      <c r="K73" s="672">
        <f>+M72</f>
        <v>8780818.1326704472</v>
      </c>
      <c r="L73" s="671">
        <f>+K$31</f>
        <v>305419.76113636367</v>
      </c>
      <c r="M73" s="671">
        <f t="shared" si="8"/>
        <v>8475398.371534083</v>
      </c>
      <c r="N73" s="653">
        <f>+K$28*M73+L73</f>
        <v>1280722.1263992586</v>
      </c>
      <c r="O73" s="672">
        <f>+Q72</f>
        <v>3678919.8106060587</v>
      </c>
      <c r="P73" s="671">
        <f>+O$31</f>
        <v>119316.31818181818</v>
      </c>
      <c r="Q73" s="671">
        <f t="shared" si="11"/>
        <v>3559603.4924242403</v>
      </c>
      <c r="R73" s="653">
        <f>+O$28*Q73+P73</f>
        <v>528935.96712004649</v>
      </c>
      <c r="S73" s="589">
        <f>+U72</f>
        <v>1700874.7424242403</v>
      </c>
      <c r="T73" s="564">
        <f>+S$31</f>
        <v>58315.705454545445</v>
      </c>
      <c r="U73" s="564">
        <f t="shared" si="12"/>
        <v>1642559.0369696948</v>
      </c>
      <c r="V73" s="590">
        <f>+S$28*U73+T73</f>
        <v>247332.39158708401</v>
      </c>
      <c r="W73" s="589">
        <f>+Y72</f>
        <v>21376553.087121215</v>
      </c>
      <c r="X73" s="564">
        <f>+W$31</f>
        <v>693293.61363636365</v>
      </c>
      <c r="Y73" s="564">
        <f t="shared" si="13"/>
        <v>20683259.473484851</v>
      </c>
      <c r="Z73" s="590">
        <f>+W$28*Y73+X73</f>
        <v>3073409.6862434219</v>
      </c>
      <c r="AA73" s="589">
        <f>+AC72</f>
        <v>13938262.717803026</v>
      </c>
      <c r="AB73" s="564">
        <f>+AA$31</f>
        <v>450833.29545454547</v>
      </c>
      <c r="AC73" s="564">
        <f t="shared" si="14"/>
        <v>13487429.422348481</v>
      </c>
      <c r="AD73" s="590">
        <f>+AA$28*AC73+AB73</f>
        <v>2002892.7079198791</v>
      </c>
      <c r="AE73" s="589">
        <f>+AG72</f>
        <v>140235.53409090923</v>
      </c>
      <c r="AF73" s="564">
        <f>+AE$31</f>
        <v>4597.886363636364</v>
      </c>
      <c r="AG73" s="564">
        <f t="shared" si="15"/>
        <v>135637.64772727288</v>
      </c>
      <c r="AH73" s="590">
        <f>+AE$28*AG73+AF73</f>
        <v>20206.323023252629</v>
      </c>
      <c r="AI73" s="589">
        <f>+AK72</f>
        <v>9408259.912878789</v>
      </c>
      <c r="AJ73" s="564">
        <f>+AI$31</f>
        <v>295547.43181818182</v>
      </c>
      <c r="AK73" s="564">
        <f t="shared" si="19"/>
        <v>9112712.4810606074</v>
      </c>
      <c r="AL73" s="590">
        <f>+AI$28*AK73+AJ73</f>
        <v>1344188.4097561208</v>
      </c>
      <c r="AM73" s="589">
        <f>+AO72</f>
        <v>3492307.843977272</v>
      </c>
      <c r="AN73" s="564">
        <f>+AM$31</f>
        <v>110866.91568181818</v>
      </c>
      <c r="AO73" s="564">
        <f t="shared" si="16"/>
        <v>3381440.928295454</v>
      </c>
      <c r="AP73" s="590">
        <f>+AM$28*AO73+AN73</f>
        <v>499984.59378883289</v>
      </c>
      <c r="AQ73" s="589">
        <f>+AS72</f>
        <v>28731598.533409096</v>
      </c>
      <c r="AR73" s="564">
        <f>+AQ$31</f>
        <v>904932.23727272719</v>
      </c>
      <c r="AS73" s="564">
        <f t="shared" si="17"/>
        <v>27826666.296136368</v>
      </c>
      <c r="AT73" s="590">
        <f>+AQ$28*AS73+AR73</f>
        <v>4107072.392377995</v>
      </c>
      <c r="AU73" s="672">
        <f>+AW72</f>
        <v>18625000</v>
      </c>
      <c r="AV73" s="671">
        <f>+AU$31</f>
        <v>750000</v>
      </c>
      <c r="AW73" s="671">
        <f t="shared" si="1"/>
        <v>17875000</v>
      </c>
      <c r="AX73" s="653">
        <f>+AU$28*AW73+AV73</f>
        <v>750000</v>
      </c>
      <c r="AY73" s="672">
        <f>+BA72</f>
        <v>12083333.333333332</v>
      </c>
      <c r="AZ73" s="671">
        <f>+AY$31</f>
        <v>500000</v>
      </c>
      <c r="BA73" s="671">
        <f t="shared" si="2"/>
        <v>11583333.333333332</v>
      </c>
      <c r="BB73" s="653">
        <f>+AY$28*BA73+AZ73</f>
        <v>500000</v>
      </c>
      <c r="BC73" s="672">
        <f>+BE72</f>
        <v>19000000</v>
      </c>
      <c r="BD73" s="671">
        <f>+BC$31</f>
        <v>750000</v>
      </c>
      <c r="BE73" s="671">
        <f t="shared" si="4"/>
        <v>18250000</v>
      </c>
      <c r="BF73" s="653">
        <f>+BC$28*BE73+BD73</f>
        <v>750000</v>
      </c>
      <c r="BG73" s="672">
        <f>+BI72</f>
        <v>11952380.952380959</v>
      </c>
      <c r="BH73" s="671">
        <f>+BG$31</f>
        <v>571428.57142857148</v>
      </c>
      <c r="BI73" s="671">
        <f t="shared" si="5"/>
        <v>11380952.380952388</v>
      </c>
      <c r="BJ73" s="653">
        <f>+BG$28*BI73+BH73</f>
        <v>571428.57142857148</v>
      </c>
      <c r="BK73" s="672">
        <f>+BM72</f>
        <v>14000000</v>
      </c>
      <c r="BL73" s="671">
        <f>+BK$31</f>
        <v>1200000</v>
      </c>
      <c r="BM73" s="671">
        <f t="shared" si="9"/>
        <v>12800000</v>
      </c>
      <c r="BN73" s="653">
        <f>+BK$28*BM73+BL73</f>
        <v>1200000</v>
      </c>
      <c r="BO73" s="672">
        <f>+BQ72</f>
        <v>11166666.666666666</v>
      </c>
      <c r="BP73" s="671">
        <f>+BO$31</f>
        <v>666666.66666666663</v>
      </c>
      <c r="BQ73" s="671">
        <f t="shared" si="10"/>
        <v>10500000</v>
      </c>
      <c r="BR73" s="653">
        <f>+BO$28*BQ73+BP73</f>
        <v>666666.66666666663</v>
      </c>
      <c r="BS73" s="589">
        <f>+BU72</f>
        <v>265948.36363636376</v>
      </c>
      <c r="BT73" s="564">
        <f>+BS$31</f>
        <v>8310.886363636364</v>
      </c>
      <c r="BU73" s="564">
        <f t="shared" si="18"/>
        <v>257637.47727272741</v>
      </c>
      <c r="BV73" s="590">
        <f>+BS$28*BU73+BT73</f>
        <v>37958.394356700141</v>
      </c>
      <c r="BW73" s="589">
        <f>+BY72</f>
        <v>18603129.579545461</v>
      </c>
      <c r="BX73" s="564">
        <f>+BW$31</f>
        <v>576841.22727272729</v>
      </c>
      <c r="BY73" s="564">
        <f t="shared" si="20"/>
        <v>18026288.352272734</v>
      </c>
      <c r="BZ73" s="590">
        <f>+BW$28*BY73+BX73</f>
        <v>2651207.6341582509</v>
      </c>
      <c r="CA73" s="589">
        <f>+CC72</f>
        <v>1755493.9200000009</v>
      </c>
      <c r="CB73" s="564">
        <f>+CA$31</f>
        <v>54433.919999999998</v>
      </c>
      <c r="CC73" s="564">
        <f t="shared" si="21"/>
        <v>1701060.0000000009</v>
      </c>
      <c r="CD73" s="590">
        <f>+CA$28*CC73+CB73</f>
        <v>250182.57613706915</v>
      </c>
      <c r="CE73" s="589">
        <f>+CG72</f>
        <v>152382.18818181826</v>
      </c>
      <c r="CF73" s="564">
        <f>+CE$31</f>
        <v>4725.0290909090909</v>
      </c>
      <c r="CG73" s="564">
        <f t="shared" si="22"/>
        <v>147657.15909090918</v>
      </c>
      <c r="CH73" s="590">
        <f>+CE$28*CG73+CF73</f>
        <v>21716.60520289978</v>
      </c>
      <c r="CI73" s="589">
        <f>+CK72</f>
        <v>411060.68181818165</v>
      </c>
      <c r="CJ73" s="564">
        <f>+CI$31</f>
        <v>12362.727272727272</v>
      </c>
      <c r="CK73" s="564">
        <f t="shared" si="24"/>
        <v>398697.95454545435</v>
      </c>
      <c r="CL73" s="590">
        <f>+CI$28*CK73+CJ73</f>
        <v>58242.701410541886</v>
      </c>
      <c r="CM73" s="589">
        <f>+CO72</f>
        <v>18259359.744602274</v>
      </c>
      <c r="CN73" s="564">
        <f>+CM$31</f>
        <v>483691.64886363636</v>
      </c>
      <c r="CO73" s="564">
        <f t="shared" si="34"/>
        <v>17775668.095738638</v>
      </c>
      <c r="CP73" s="590">
        <f>+CM$28*CO73+CN73</f>
        <v>2529218.0510360533</v>
      </c>
      <c r="CQ73" s="589">
        <f>+CS72</f>
        <v>76169532.653011337</v>
      </c>
      <c r="CR73" s="564">
        <f>+CQ$31</f>
        <v>2017735.9643181816</v>
      </c>
      <c r="CS73" s="564">
        <f t="shared" si="40"/>
        <v>74151796.688693151</v>
      </c>
      <c r="CT73" s="590">
        <f>+CQ$28*CS73+CR73</f>
        <v>10550718.076625127</v>
      </c>
      <c r="CU73" s="589">
        <f>+CW72</f>
        <v>25695424.155000009</v>
      </c>
      <c r="CV73" s="564">
        <f>+CU$31</f>
        <v>676195.37250000006</v>
      </c>
      <c r="CW73" s="564">
        <f t="shared" si="41"/>
        <v>25019228.78250001</v>
      </c>
      <c r="CX73" s="590">
        <f>+CU$28*CW73+CV73</f>
        <v>3555271.0146056609</v>
      </c>
      <c r="CY73" s="589">
        <f>+DA72</f>
        <v>28248.368750000049</v>
      </c>
      <c r="CZ73" s="564">
        <f>+CY$31</f>
        <v>733.72386363636497</v>
      </c>
      <c r="DA73" s="564">
        <f t="shared" si="42"/>
        <v>27514.644886363683</v>
      </c>
      <c r="DB73" s="590">
        <f>+CY$28*DA73+CZ73</f>
        <v>3899.9583060395548</v>
      </c>
      <c r="DC73" s="589">
        <f>+DE72</f>
        <v>1703298.2318181822</v>
      </c>
      <c r="DD73" s="564">
        <f>+DC$31</f>
        <v>44530.672727272722</v>
      </c>
      <c r="DE73" s="564">
        <f t="shared" si="43"/>
        <v>1658767.5590909095</v>
      </c>
      <c r="DF73" s="590">
        <f>+DC$28*DE73+DD73</f>
        <v>235412.54669751</v>
      </c>
      <c r="DG73" s="589">
        <f>+DI72</f>
        <v>948619.76124999975</v>
      </c>
      <c r="DH73" s="564">
        <f>+DG$31</f>
        <v>24639.474318181816</v>
      </c>
      <c r="DI73" s="564">
        <f t="shared" si="44"/>
        <v>923980.28693181789</v>
      </c>
      <c r="DJ73" s="590">
        <f>+DG$28*DI73+DH73</f>
        <v>130966.05860330217</v>
      </c>
      <c r="DK73" s="589">
        <f>+DM72</f>
        <v>20978644.538295455</v>
      </c>
      <c r="DL73" s="564">
        <f>+DK$31</f>
        <v>549658.80886363634</v>
      </c>
      <c r="DM73" s="564">
        <f t="shared" si="45"/>
        <v>20428985.729431819</v>
      </c>
      <c r="DN73" s="590">
        <f>+DK$28*DM73+DL73</f>
        <v>2900514.453449741</v>
      </c>
      <c r="DO73" s="589">
        <f>+DQ72</f>
        <v>767380.90132575715</v>
      </c>
      <c r="DP73" s="564">
        <f t="shared" si="95"/>
        <v>19592.703863636354</v>
      </c>
      <c r="DQ73" s="564">
        <f t="shared" si="60"/>
        <v>747788.19746212079</v>
      </c>
      <c r="DR73" s="590">
        <f t="shared" si="65"/>
        <v>105644.06873517021</v>
      </c>
      <c r="DS73" s="589">
        <f>+DU72</f>
        <v>327682.23272727156</v>
      </c>
      <c r="DT73" s="564">
        <f t="shared" si="96"/>
        <v>8295.7527272726966</v>
      </c>
      <c r="DU73" s="564">
        <f t="shared" si="61"/>
        <v>319386.47999999888</v>
      </c>
      <c r="DV73" s="590">
        <f t="shared" si="66"/>
        <v>45048.997320848852</v>
      </c>
      <c r="DW73" s="589">
        <f>+DY72</f>
        <v>47954.213806818167</v>
      </c>
      <c r="DX73" s="564">
        <f t="shared" si="97"/>
        <v>1221.7634090909089</v>
      </c>
      <c r="DY73" s="564">
        <f t="shared" si="62"/>
        <v>46732.450397727254</v>
      </c>
      <c r="DZ73" s="590">
        <f t="shared" si="67"/>
        <v>6599.4775187327486</v>
      </c>
      <c r="EA73" s="589">
        <f>+EC72</f>
        <v>-284218.70517045638</v>
      </c>
      <c r="EB73" s="564">
        <f t="shared" si="98"/>
        <v>-7120.3015909091364</v>
      </c>
      <c r="EC73" s="564">
        <f t="shared" si="63"/>
        <v>-277098.40357954724</v>
      </c>
      <c r="ED73" s="590">
        <f t="shared" si="68"/>
        <v>-39007.26625907109</v>
      </c>
      <c r="EE73" s="589">
        <f>+EG72</f>
        <v>7956503.7236363636</v>
      </c>
      <c r="EF73" s="564">
        <f t="shared" si="102"/>
        <v>192108.74181818182</v>
      </c>
      <c r="EG73" s="564">
        <f t="shared" si="72"/>
        <v>7764394.9818181815</v>
      </c>
      <c r="EH73" s="590">
        <f t="shared" si="73"/>
        <v>1085592.7361560133</v>
      </c>
      <c r="EI73" s="589">
        <f>+EK72</f>
        <v>320857.64496212115</v>
      </c>
      <c r="EJ73" s="564">
        <f t="shared" si="103"/>
        <v>7669.903863636363</v>
      </c>
      <c r="EK73" s="564">
        <f t="shared" si="74"/>
        <v>313187.74109848478</v>
      </c>
      <c r="EL73" s="590">
        <f t="shared" si="75"/>
        <v>43709.831578492223</v>
      </c>
      <c r="EM73" s="589">
        <f>+EO72</f>
        <v>10945516.813636364</v>
      </c>
      <c r="EN73" s="564">
        <f t="shared" si="104"/>
        <v>260607.54318181818</v>
      </c>
      <c r="EO73" s="564">
        <f t="shared" si="76"/>
        <v>10684909.270454546</v>
      </c>
      <c r="EP73" s="590">
        <f t="shared" si="77"/>
        <v>1490168.305669907</v>
      </c>
      <c r="EQ73" s="678">
        <f t="shared" si="94"/>
        <v>41184210.404189385</v>
      </c>
      <c r="ER73" s="652"/>
      <c r="ES73" s="674">
        <f>+EQ73</f>
        <v>41184210.404189385</v>
      </c>
      <c r="EV73" s="589">
        <f>+EX72</f>
        <v>1482498.0333333355</v>
      </c>
      <c r="EW73" s="564">
        <f t="shared" si="78"/>
        <v>1270712.6000000001</v>
      </c>
      <c r="EX73" s="564">
        <f t="shared" si="25"/>
        <v>211785.43333333544</v>
      </c>
      <c r="EY73" s="590">
        <f t="shared" si="47"/>
        <v>1300642.9110778631</v>
      </c>
      <c r="EZ73" s="589">
        <f>+FB72</f>
        <v>1788808.7999999984</v>
      </c>
      <c r="FA73" s="564">
        <f t="shared" si="79"/>
        <v>894404.4</v>
      </c>
      <c r="FB73" s="564">
        <f t="shared" si="26"/>
        <v>894404.39999999839</v>
      </c>
      <c r="FC73" s="590">
        <f t="shared" si="48"/>
        <v>1020804.9814756651</v>
      </c>
      <c r="FD73" s="589">
        <f>+FF72</f>
        <v>269212.29941666638</v>
      </c>
      <c r="FE73" s="564">
        <f t="shared" si="80"/>
        <v>140458.59099999999</v>
      </c>
      <c r="FF73" s="564">
        <f t="shared" si="27"/>
        <v>128753.7084166664</v>
      </c>
      <c r="FG73" s="590">
        <f t="shared" si="49"/>
        <v>158654.54756172406</v>
      </c>
      <c r="FH73" s="589">
        <f>+FJ72</f>
        <v>33920.600000000006</v>
      </c>
      <c r="FI73" s="564">
        <f t="shared" si="81"/>
        <v>16960.3</v>
      </c>
      <c r="FJ73" s="564">
        <f t="shared" si="28"/>
        <v>16960.300000000007</v>
      </c>
      <c r="FK73" s="590">
        <f t="shared" si="50"/>
        <v>19357.193152584812</v>
      </c>
      <c r="FL73" s="589">
        <f>+FN72</f>
        <v>2716.5363333333335</v>
      </c>
      <c r="FM73" s="564">
        <f t="shared" si="82"/>
        <v>1253.7860000000001</v>
      </c>
      <c r="FN73" s="564">
        <f t="shared" si="33"/>
        <v>1462.7503333333334</v>
      </c>
      <c r="FO73" s="590">
        <f t="shared" si="51"/>
        <v>1460.5073585790237</v>
      </c>
      <c r="FP73" s="589">
        <f>+FR72</f>
        <v>9074834.9549999945</v>
      </c>
      <c r="FQ73" s="564">
        <f t="shared" si="83"/>
        <v>4033259.9799999995</v>
      </c>
      <c r="FR73" s="564">
        <f t="shared" si="29"/>
        <v>5041574.974999995</v>
      </c>
      <c r="FS73" s="590">
        <f t="shared" si="52"/>
        <v>4745754.2481332533</v>
      </c>
      <c r="FT73" s="589">
        <f>+FV72</f>
        <v>137054.46683333337</v>
      </c>
      <c r="FU73" s="564">
        <f t="shared" si="84"/>
        <v>53053.342000000004</v>
      </c>
      <c r="FV73" s="564">
        <f t="shared" si="30"/>
        <v>84001.124833333364</v>
      </c>
      <c r="FW73" s="590">
        <f t="shared" si="53"/>
        <v>64924.69574506575</v>
      </c>
      <c r="FX73" s="589">
        <f>+FZ72</f>
        <v>-139258.9595</v>
      </c>
      <c r="FY73" s="564">
        <f t="shared" si="85"/>
        <v>-53906.693999999974</v>
      </c>
      <c r="FZ73" s="564">
        <f t="shared" si="31"/>
        <v>-85352.265500000023</v>
      </c>
      <c r="GA73" s="590">
        <f t="shared" si="54"/>
        <v>-65968.996007308262</v>
      </c>
      <c r="GB73" s="589">
        <f>+GD72</f>
        <v>9427981.1278333385</v>
      </c>
      <c r="GC73" s="564">
        <f t="shared" si="86"/>
        <v>3327522.7509999997</v>
      </c>
      <c r="GD73" s="564">
        <f t="shared" si="32"/>
        <v>6100458.3768333383</v>
      </c>
      <c r="GE73" s="590">
        <f t="shared" si="55"/>
        <v>4189662.3895123182</v>
      </c>
      <c r="GF73" s="589">
        <f>+GH72</f>
        <v>145207.93874999994</v>
      </c>
      <c r="GG73" s="564">
        <f t="shared" si="87"/>
        <v>49785.578999999998</v>
      </c>
      <c r="GH73" s="564">
        <f t="shared" si="37"/>
        <v>95422.359749999945</v>
      </c>
      <c r="GI73" s="590">
        <f t="shared" si="56"/>
        <v>63271.024463126196</v>
      </c>
      <c r="GJ73" s="589">
        <f>+GL72</f>
        <v>614621.6684999998</v>
      </c>
      <c r="GK73" s="564">
        <f t="shared" si="88"/>
        <v>175606.19100000002</v>
      </c>
      <c r="GL73" s="564">
        <f t="shared" si="38"/>
        <v>439015.4774999998</v>
      </c>
      <c r="GM73" s="590">
        <f t="shared" si="57"/>
        <v>237649.50343542278</v>
      </c>
      <c r="GN73" s="589">
        <f>+GP72</f>
        <v>16283406.721416667</v>
      </c>
      <c r="GO73" s="564">
        <f t="shared" si="89"/>
        <v>3686809.0689999992</v>
      </c>
      <c r="GP73" s="564">
        <f t="shared" si="58"/>
        <v>12596597.652416669</v>
      </c>
      <c r="GQ73" s="590">
        <f t="shared" si="59"/>
        <v>5467007.4534002403</v>
      </c>
      <c r="GR73" s="589">
        <f>+GT72</f>
        <v>45492270.022333331</v>
      </c>
      <c r="GS73" s="564">
        <f t="shared" si="99"/>
        <v>8028047.6510000005</v>
      </c>
      <c r="GT73" s="564">
        <f t="shared" si="64"/>
        <v>37464222.371333331</v>
      </c>
      <c r="GU73" s="590">
        <f t="shared" si="69"/>
        <v>13322631.948964277</v>
      </c>
      <c r="GV73" s="672">
        <f>+GX72</f>
        <v>-323530.52500000008</v>
      </c>
      <c r="GW73" s="676">
        <f t="shared" si="100"/>
        <v>-53183.1</v>
      </c>
      <c r="GX73" s="676">
        <f t="shared" si="70"/>
        <v>-270347.4250000001</v>
      </c>
      <c r="GY73" s="1366">
        <f t="shared" si="90"/>
        <v>-91389.611193872493</v>
      </c>
      <c r="GZ73" s="672">
        <f>+HB72</f>
        <v>821790.53333333344</v>
      </c>
      <c r="HA73" s="671">
        <f t="shared" si="101"/>
        <v>129756.4</v>
      </c>
      <c r="HB73" s="671">
        <f t="shared" si="71"/>
        <v>692034.13333333342</v>
      </c>
      <c r="HC73" s="1366">
        <f t="shared" si="91"/>
        <v>227557.25703328539</v>
      </c>
      <c r="HD73" s="672">
        <f>+HF72</f>
        <v>3117348.791666667</v>
      </c>
      <c r="HE73" s="671">
        <f t="shared" si="105"/>
        <v>440096.3</v>
      </c>
      <c r="HF73" s="671">
        <f t="shared" si="92"/>
        <v>2677252.4916666672</v>
      </c>
      <c r="HG73" s="1366">
        <f t="shared" si="93"/>
        <v>818455.6547883267</v>
      </c>
      <c r="HI73" s="589"/>
      <c r="HJ73" s="564"/>
      <c r="HK73" s="564"/>
      <c r="HL73" s="590"/>
      <c r="HM73" s="589"/>
      <c r="HN73" s="564"/>
      <c r="HO73" s="564"/>
      <c r="HP73" s="590"/>
      <c r="HQ73" s="589"/>
      <c r="HR73" s="564"/>
      <c r="HS73" s="564"/>
      <c r="HT73" s="590"/>
    </row>
    <row r="74" spans="1:228">
      <c r="A74" s="649" t="s">
        <v>23</v>
      </c>
      <c r="B74" s="670">
        <v>2023</v>
      </c>
      <c r="C74" s="671">
        <f>+C73</f>
        <v>13262311.526704542</v>
      </c>
      <c r="D74" s="671">
        <f>+D73</f>
        <v>445791.98409090913</v>
      </c>
      <c r="E74" s="671">
        <f t="shared" si="6"/>
        <v>12816519.542613633</v>
      </c>
      <c r="F74" s="653">
        <f>+C$29*E74+D74</f>
        <v>1998867.3369847338</v>
      </c>
      <c r="G74" s="671">
        <f>+G73</f>
        <v>3417302.1115909065</v>
      </c>
      <c r="H74" s="671">
        <f>+H73</f>
        <v>115840.74954545456</v>
      </c>
      <c r="I74" s="671">
        <f t="shared" si="7"/>
        <v>3301461.362045452</v>
      </c>
      <c r="J74" s="653">
        <f>+G$29*I74+H74</f>
        <v>515903.98456615728</v>
      </c>
      <c r="K74" s="672">
        <f>+K73</f>
        <v>8780818.1326704472</v>
      </c>
      <c r="L74" s="671">
        <f>+L73</f>
        <v>305419.76113636367</v>
      </c>
      <c r="M74" s="671">
        <f t="shared" si="8"/>
        <v>8475398.371534083</v>
      </c>
      <c r="N74" s="653">
        <f>+K$29*M74+L74</f>
        <v>1332448.3762779878</v>
      </c>
      <c r="O74" s="672">
        <f>+O73</f>
        <v>3678919.8106060587</v>
      </c>
      <c r="P74" s="671">
        <f>+P73</f>
        <v>119316.31818181818</v>
      </c>
      <c r="Q74" s="671">
        <f t="shared" si="11"/>
        <v>3559603.4924242403</v>
      </c>
      <c r="R74" s="653">
        <f>+O$29*Q74+P74</f>
        <v>550660.6025468302</v>
      </c>
      <c r="S74" s="589">
        <f>+S73</f>
        <v>1700874.7424242403</v>
      </c>
      <c r="T74" s="564">
        <f>+T73</f>
        <v>58315.705454545445</v>
      </c>
      <c r="U74" s="564">
        <f t="shared" si="12"/>
        <v>1642559.0369696948</v>
      </c>
      <c r="V74" s="590">
        <f>+S$29*U74+T74</f>
        <v>257357.10257556353</v>
      </c>
      <c r="W74" s="589">
        <f>+W73</f>
        <v>21376553.087121215</v>
      </c>
      <c r="X74" s="564">
        <f>+X73</f>
        <v>693293.61363636365</v>
      </c>
      <c r="Y74" s="564">
        <f t="shared" si="13"/>
        <v>20683259.473484851</v>
      </c>
      <c r="Z74" s="590">
        <f>+W$29*Y74+X74</f>
        <v>3199641.7995828232</v>
      </c>
      <c r="AA74" s="589">
        <f>+AA73</f>
        <v>13938262.717803026</v>
      </c>
      <c r="AB74" s="564">
        <f>+AB73</f>
        <v>450833.29545454547</v>
      </c>
      <c r="AC74" s="564">
        <f t="shared" si="14"/>
        <v>13487429.422348481</v>
      </c>
      <c r="AD74" s="590">
        <f>+AA$29*AC74+AB74</f>
        <v>2085207.9117532824</v>
      </c>
      <c r="AE74" s="589">
        <f>+AE73</f>
        <v>140235.53409090923</v>
      </c>
      <c r="AF74" s="564">
        <f>+AF73</f>
        <v>4597.886363636364</v>
      </c>
      <c r="AG74" s="564">
        <f t="shared" si="15"/>
        <v>135637.64772727288</v>
      </c>
      <c r="AH74" s="590">
        <f>+AE$29*AG74+AF74</f>
        <v>21034.133888505683</v>
      </c>
      <c r="AI74" s="589">
        <f>+AI73</f>
        <v>9408259.912878789</v>
      </c>
      <c r="AJ74" s="564">
        <f>+AJ73</f>
        <v>295547.43181818182</v>
      </c>
      <c r="AK74" s="564">
        <f t="shared" si="19"/>
        <v>9112712.4810606074</v>
      </c>
      <c r="AL74" s="590">
        <f>+AI$29*AK74+AJ74</f>
        <v>1399804.2548415284</v>
      </c>
      <c r="AM74" s="589">
        <f>+AM73</f>
        <v>3492307.843977272</v>
      </c>
      <c r="AN74" s="564">
        <f>+AN73</f>
        <v>110866.91568181818</v>
      </c>
      <c r="AO74" s="564">
        <f t="shared" si="16"/>
        <v>3381440.928295454</v>
      </c>
      <c r="AP74" s="590">
        <f>+AM$29*AO74+AN74</f>
        <v>520621.884301882</v>
      </c>
      <c r="AQ74" s="589">
        <f>+AQ73</f>
        <v>28731598.533409096</v>
      </c>
      <c r="AR74" s="564">
        <f>+AR73</f>
        <v>904932.23727272719</v>
      </c>
      <c r="AS74" s="564">
        <f t="shared" si="17"/>
        <v>27826666.296136368</v>
      </c>
      <c r="AT74" s="590">
        <f>+AQ$29*AS74+AR74</f>
        <v>4276901.4707326246</v>
      </c>
      <c r="AU74" s="672">
        <f>+AU73</f>
        <v>18625000</v>
      </c>
      <c r="AV74" s="671">
        <f>+AV73</f>
        <v>750000</v>
      </c>
      <c r="AW74" s="671">
        <f t="shared" si="1"/>
        <v>17875000</v>
      </c>
      <c r="AX74" s="653">
        <f>+AU$29*AW74+AV74</f>
        <v>750000</v>
      </c>
      <c r="AY74" s="672">
        <f>+AY73</f>
        <v>12083333.333333332</v>
      </c>
      <c r="AZ74" s="671">
        <f>+AZ73</f>
        <v>500000</v>
      </c>
      <c r="BA74" s="671">
        <f t="shared" si="2"/>
        <v>11583333.333333332</v>
      </c>
      <c r="BB74" s="653">
        <f>+AY$29*BA74+AZ74</f>
        <v>500000</v>
      </c>
      <c r="BC74" s="672">
        <f>+BC73</f>
        <v>19000000</v>
      </c>
      <c r="BD74" s="671">
        <f>+BD73</f>
        <v>750000</v>
      </c>
      <c r="BE74" s="671">
        <f t="shared" si="4"/>
        <v>18250000</v>
      </c>
      <c r="BF74" s="653">
        <f>+BC$29*BE74+BD74</f>
        <v>750000</v>
      </c>
      <c r="BG74" s="672">
        <f>+BG73</f>
        <v>11952380.952380959</v>
      </c>
      <c r="BH74" s="671">
        <f>+BH73</f>
        <v>571428.57142857148</v>
      </c>
      <c r="BI74" s="671">
        <f t="shared" si="5"/>
        <v>11380952.380952388</v>
      </c>
      <c r="BJ74" s="653">
        <f>+BG$29*BI74+BH74</f>
        <v>571428.57142857148</v>
      </c>
      <c r="BK74" s="672">
        <f>+BK73</f>
        <v>14000000</v>
      </c>
      <c r="BL74" s="671">
        <f>+BL73</f>
        <v>1200000</v>
      </c>
      <c r="BM74" s="671">
        <f t="shared" si="9"/>
        <v>12800000</v>
      </c>
      <c r="BN74" s="653">
        <f>+BK$29*BM74+BL74</f>
        <v>1200000</v>
      </c>
      <c r="BO74" s="672">
        <f>+BO73</f>
        <v>11166666.666666666</v>
      </c>
      <c r="BP74" s="671">
        <f>+BP73</f>
        <v>666666.66666666663</v>
      </c>
      <c r="BQ74" s="671">
        <f t="shared" si="10"/>
        <v>10500000</v>
      </c>
      <c r="BR74" s="653">
        <f>+BO$29*BQ74+BP74</f>
        <v>666666.66666666663</v>
      </c>
      <c r="BS74" s="589">
        <f>+BS73</f>
        <v>265948.36363636376</v>
      </c>
      <c r="BT74" s="564">
        <f>+BT73</f>
        <v>8310.886363636364</v>
      </c>
      <c r="BU74" s="564">
        <f t="shared" si="18"/>
        <v>257637.47727272741</v>
      </c>
      <c r="BV74" s="590">
        <f>+BS$29*BU74+BT74</f>
        <v>39530.78304491732</v>
      </c>
      <c r="BW74" s="589">
        <f>+BW73</f>
        <v>18603129.579545461</v>
      </c>
      <c r="BX74" s="564">
        <f>+BX73</f>
        <v>576841.22727272729</v>
      </c>
      <c r="BY74" s="564">
        <f t="shared" si="20"/>
        <v>18026288.352272734</v>
      </c>
      <c r="BZ74" s="590">
        <f>+BW$29*BY74+BX74</f>
        <v>2651207.6341582509</v>
      </c>
      <c r="CA74" s="589">
        <f>+CA73</f>
        <v>1755493.9200000009</v>
      </c>
      <c r="CB74" s="564">
        <f>+CB73</f>
        <v>54433.919999999998</v>
      </c>
      <c r="CC74" s="564">
        <f t="shared" si="21"/>
        <v>1701060.0000000009</v>
      </c>
      <c r="CD74" s="590">
        <f>+CA$29*CC74+CB74</f>
        <v>260564.32467106573</v>
      </c>
      <c r="CE74" s="589">
        <f>+CE73</f>
        <v>152382.18818181826</v>
      </c>
      <c r="CF74" s="564">
        <f>+CF73</f>
        <v>4725.0290909090909</v>
      </c>
      <c r="CG74" s="564">
        <f t="shared" si="22"/>
        <v>147657.15909090918</v>
      </c>
      <c r="CH74" s="590">
        <f>+CE$29*CG74+CF74</f>
        <v>22617.772413301616</v>
      </c>
      <c r="CI74" s="589">
        <f>+CI73</f>
        <v>411060.68181818165</v>
      </c>
      <c r="CJ74" s="564">
        <f>+CJ73</f>
        <v>12362.727272727272</v>
      </c>
      <c r="CK74" s="564">
        <f t="shared" si="24"/>
        <v>398697.95454545435</v>
      </c>
      <c r="CL74" s="590">
        <f>+CI$29*CK74+CJ74</f>
        <v>58242.701410541886</v>
      </c>
      <c r="CM74" s="589">
        <f>+CM73</f>
        <v>18259359.744602274</v>
      </c>
      <c r="CN74" s="564">
        <f>+CN73</f>
        <v>483691.64886363636</v>
      </c>
      <c r="CO74" s="564">
        <f t="shared" si="34"/>
        <v>17775668.095738638</v>
      </c>
      <c r="CP74" s="590">
        <f>+CM$29*CO74+CN74</f>
        <v>2529218.0510360533</v>
      </c>
      <c r="CQ74" s="589">
        <f>+CQ73</f>
        <v>76169532.653011337</v>
      </c>
      <c r="CR74" s="564">
        <f>+CR73</f>
        <v>2017735.9643181816</v>
      </c>
      <c r="CS74" s="564">
        <f t="shared" si="40"/>
        <v>74151796.688693151</v>
      </c>
      <c r="CT74" s="590">
        <f>+CQ$29*CS74+CR74</f>
        <v>10550718.076625127</v>
      </c>
      <c r="CU74" s="589">
        <f>+CU73</f>
        <v>25695424.155000009</v>
      </c>
      <c r="CV74" s="564">
        <f>+CV73</f>
        <v>676195.37250000006</v>
      </c>
      <c r="CW74" s="564">
        <f t="shared" si="41"/>
        <v>25019228.78250001</v>
      </c>
      <c r="CX74" s="590">
        <f>+CU$29*CW74+CV74</f>
        <v>3555271.0146056609</v>
      </c>
      <c r="CY74" s="589">
        <f>+CY73</f>
        <v>28248.368750000049</v>
      </c>
      <c r="CZ74" s="564">
        <f>+CZ73</f>
        <v>733.72386363636497</v>
      </c>
      <c r="DA74" s="564">
        <f t="shared" si="42"/>
        <v>27514.644886363683</v>
      </c>
      <c r="DB74" s="590">
        <f>+CY$29*DA74+CZ74</f>
        <v>3899.9583060395548</v>
      </c>
      <c r="DC74" s="589">
        <f>+DC73</f>
        <v>1703298.2318181822</v>
      </c>
      <c r="DD74" s="564">
        <f>+DD73</f>
        <v>44530.672727272722</v>
      </c>
      <c r="DE74" s="564">
        <f t="shared" si="43"/>
        <v>1658767.5590909095</v>
      </c>
      <c r="DF74" s="590">
        <f>+DC$29*DE74+DD74</f>
        <v>235412.54669751</v>
      </c>
      <c r="DG74" s="589">
        <f>+DG73</f>
        <v>948619.76124999975</v>
      </c>
      <c r="DH74" s="564">
        <f>+DH73</f>
        <v>24639.474318181816</v>
      </c>
      <c r="DI74" s="564">
        <f t="shared" si="44"/>
        <v>923980.28693181789</v>
      </c>
      <c r="DJ74" s="590">
        <f>+DG$29*DI74+DH74</f>
        <v>130966.05860330217</v>
      </c>
      <c r="DK74" s="589">
        <f>+DK73</f>
        <v>20978644.538295455</v>
      </c>
      <c r="DL74" s="564">
        <f>+DL73</f>
        <v>549658.80886363634</v>
      </c>
      <c r="DM74" s="564">
        <f t="shared" si="45"/>
        <v>20428985.729431819</v>
      </c>
      <c r="DN74" s="590">
        <f>+DK$29*DM74+DL74</f>
        <v>2900514.453449741</v>
      </c>
      <c r="DO74" s="589">
        <f>+DO73</f>
        <v>767380.90132575715</v>
      </c>
      <c r="DP74" s="564">
        <f t="shared" si="95"/>
        <v>19592.703863636354</v>
      </c>
      <c r="DQ74" s="564">
        <f t="shared" si="60"/>
        <v>747788.19746212079</v>
      </c>
      <c r="DR74" s="590">
        <f t="shared" si="65"/>
        <v>105644.06873517021</v>
      </c>
      <c r="DS74" s="589">
        <f>+DS73</f>
        <v>327682.23272727156</v>
      </c>
      <c r="DT74" s="564">
        <f t="shared" si="96"/>
        <v>8295.7527272726966</v>
      </c>
      <c r="DU74" s="564">
        <f t="shared" si="61"/>
        <v>319386.47999999888</v>
      </c>
      <c r="DV74" s="590">
        <f t="shared" si="66"/>
        <v>45048.997320848852</v>
      </c>
      <c r="DW74" s="589">
        <f>+DW73</f>
        <v>47954.213806818167</v>
      </c>
      <c r="DX74" s="564">
        <f t="shared" si="97"/>
        <v>1221.7634090909089</v>
      </c>
      <c r="DY74" s="564">
        <f t="shared" si="62"/>
        <v>46732.450397727254</v>
      </c>
      <c r="DZ74" s="590">
        <f t="shared" si="67"/>
        <v>6599.4775187327486</v>
      </c>
      <c r="EA74" s="589">
        <f>+EA73</f>
        <v>-284218.70517045638</v>
      </c>
      <c r="EB74" s="564">
        <f t="shared" si="98"/>
        <v>-7120.3015909091364</v>
      </c>
      <c r="EC74" s="564">
        <f t="shared" si="63"/>
        <v>-277098.40357954724</v>
      </c>
      <c r="ED74" s="590">
        <f t="shared" si="68"/>
        <v>-39007.26625907109</v>
      </c>
      <c r="EE74" s="589">
        <f>+EE73</f>
        <v>7956503.7236363636</v>
      </c>
      <c r="EF74" s="564">
        <f t="shared" si="102"/>
        <v>192108.74181818182</v>
      </c>
      <c r="EG74" s="564">
        <f t="shared" si="72"/>
        <v>7764394.9818181815</v>
      </c>
      <c r="EH74" s="590">
        <f t="shared" si="73"/>
        <v>1085592.7361560133</v>
      </c>
      <c r="EI74" s="589">
        <f>+EI73</f>
        <v>320857.64496212115</v>
      </c>
      <c r="EJ74" s="564">
        <f t="shared" si="103"/>
        <v>7669.903863636363</v>
      </c>
      <c r="EK74" s="564">
        <f t="shared" si="74"/>
        <v>313187.74109848478</v>
      </c>
      <c r="EL74" s="590">
        <f t="shared" si="75"/>
        <v>43709.831578492223</v>
      </c>
      <c r="EM74" s="589">
        <f>+EM73</f>
        <v>10945516.813636364</v>
      </c>
      <c r="EN74" s="564">
        <f t="shared" si="104"/>
        <v>260607.54318181818</v>
      </c>
      <c r="EO74" s="564">
        <f t="shared" si="76"/>
        <v>10684909.270454546</v>
      </c>
      <c r="EP74" s="590">
        <f t="shared" si="77"/>
        <v>1490168.305669907</v>
      </c>
      <c r="EQ74" s="678">
        <f t="shared" si="94"/>
        <v>41834368.383793518</v>
      </c>
      <c r="ER74" s="675">
        <f>+EQ74</f>
        <v>41834368.383793518</v>
      </c>
      <c r="ES74" s="648"/>
      <c r="EV74" s="589">
        <f>+EV73</f>
        <v>1482498.0333333355</v>
      </c>
      <c r="EW74" s="564">
        <f t="shared" si="78"/>
        <v>1270712.6000000001</v>
      </c>
      <c r="EX74" s="564">
        <f t="shared" si="25"/>
        <v>211785.43333333544</v>
      </c>
      <c r="EY74" s="590">
        <f t="shared" si="47"/>
        <v>1300642.9110778631</v>
      </c>
      <c r="EZ74" s="589">
        <f>+EZ73</f>
        <v>1788808.7999999984</v>
      </c>
      <c r="FA74" s="564">
        <f t="shared" si="79"/>
        <v>894404.4</v>
      </c>
      <c r="FB74" s="564">
        <f t="shared" si="26"/>
        <v>894404.39999999839</v>
      </c>
      <c r="FC74" s="590">
        <f t="shared" si="48"/>
        <v>1020804.9814756651</v>
      </c>
      <c r="FD74" s="589">
        <f>+FD73</f>
        <v>269212.29941666638</v>
      </c>
      <c r="FE74" s="564">
        <f t="shared" si="80"/>
        <v>140458.59099999999</v>
      </c>
      <c r="FF74" s="564">
        <f t="shared" si="27"/>
        <v>128753.7084166664</v>
      </c>
      <c r="FG74" s="590">
        <f t="shared" si="49"/>
        <v>158654.54756172406</v>
      </c>
      <c r="FH74" s="589">
        <f>+FH73</f>
        <v>33920.600000000006</v>
      </c>
      <c r="FI74" s="564">
        <f t="shared" si="81"/>
        <v>16960.3</v>
      </c>
      <c r="FJ74" s="564">
        <f t="shared" si="28"/>
        <v>16960.300000000007</v>
      </c>
      <c r="FK74" s="590">
        <f t="shared" si="50"/>
        <v>19357.193152584812</v>
      </c>
      <c r="FL74" s="589">
        <f>+FL73</f>
        <v>2716.5363333333335</v>
      </c>
      <c r="FM74" s="564">
        <f t="shared" si="82"/>
        <v>1253.7860000000001</v>
      </c>
      <c r="FN74" s="564">
        <f t="shared" si="33"/>
        <v>1462.7503333333334</v>
      </c>
      <c r="FO74" s="590">
        <f t="shared" si="51"/>
        <v>1460.5073585790237</v>
      </c>
      <c r="FP74" s="589">
        <f>+FP73</f>
        <v>9074834.9549999945</v>
      </c>
      <c r="FQ74" s="564">
        <f t="shared" si="83"/>
        <v>4033259.9799999995</v>
      </c>
      <c r="FR74" s="564">
        <f t="shared" si="29"/>
        <v>5041574.974999995</v>
      </c>
      <c r="FS74" s="590">
        <f t="shared" si="52"/>
        <v>4745754.2481332533</v>
      </c>
      <c r="FT74" s="589">
        <f>+FT73</f>
        <v>137054.46683333337</v>
      </c>
      <c r="FU74" s="564">
        <f t="shared" si="84"/>
        <v>53053.342000000004</v>
      </c>
      <c r="FV74" s="564">
        <f t="shared" si="30"/>
        <v>84001.124833333364</v>
      </c>
      <c r="FW74" s="590">
        <f t="shared" si="53"/>
        <v>64924.69574506575</v>
      </c>
      <c r="FX74" s="589">
        <f>+FX73</f>
        <v>-139258.9595</v>
      </c>
      <c r="FY74" s="564">
        <f t="shared" si="85"/>
        <v>-53906.693999999974</v>
      </c>
      <c r="FZ74" s="564">
        <f t="shared" si="31"/>
        <v>-85352.265500000023</v>
      </c>
      <c r="GA74" s="590">
        <f t="shared" si="54"/>
        <v>-65968.996007308262</v>
      </c>
      <c r="GB74" s="589">
        <f>+GB73</f>
        <v>9427981.1278333385</v>
      </c>
      <c r="GC74" s="564">
        <f t="shared" si="86"/>
        <v>3327522.7509999997</v>
      </c>
      <c r="GD74" s="564">
        <f t="shared" si="32"/>
        <v>6100458.3768333383</v>
      </c>
      <c r="GE74" s="590">
        <f t="shared" si="55"/>
        <v>4189662.3895123182</v>
      </c>
      <c r="GF74" s="589">
        <f>+GF73</f>
        <v>145207.93874999994</v>
      </c>
      <c r="GG74" s="564">
        <f t="shared" si="87"/>
        <v>49785.578999999998</v>
      </c>
      <c r="GH74" s="564">
        <f t="shared" si="37"/>
        <v>95422.359749999945</v>
      </c>
      <c r="GI74" s="590">
        <f t="shared" si="56"/>
        <v>63271.024463126196</v>
      </c>
      <c r="GJ74" s="589">
        <f>+GJ73</f>
        <v>614621.6684999998</v>
      </c>
      <c r="GK74" s="564">
        <f t="shared" si="88"/>
        <v>175606.19100000002</v>
      </c>
      <c r="GL74" s="564">
        <f t="shared" si="38"/>
        <v>439015.4774999998</v>
      </c>
      <c r="GM74" s="590">
        <f t="shared" si="57"/>
        <v>237649.50343542278</v>
      </c>
      <c r="GN74" s="589">
        <f>+GN73</f>
        <v>16283406.721416667</v>
      </c>
      <c r="GO74" s="564">
        <f t="shared" si="89"/>
        <v>3686809.0689999992</v>
      </c>
      <c r="GP74" s="564">
        <f t="shared" si="58"/>
        <v>12596597.652416669</v>
      </c>
      <c r="GQ74" s="590">
        <f t="shared" si="59"/>
        <v>5467007.4534002403</v>
      </c>
      <c r="GR74" s="589">
        <f>+GR73</f>
        <v>45492270.022333331</v>
      </c>
      <c r="GS74" s="564">
        <f t="shared" si="99"/>
        <v>8028047.6510000005</v>
      </c>
      <c r="GT74" s="564">
        <f t="shared" si="64"/>
        <v>37464222.371333331</v>
      </c>
      <c r="GU74" s="590">
        <f t="shared" si="69"/>
        <v>13322631.948964277</v>
      </c>
      <c r="GV74" s="672">
        <f>+GV73</f>
        <v>-323530.52500000008</v>
      </c>
      <c r="GW74" s="676">
        <f t="shared" si="100"/>
        <v>-53183.1</v>
      </c>
      <c r="GX74" s="676">
        <f t="shared" si="70"/>
        <v>-270347.4250000001</v>
      </c>
      <c r="GY74" s="1366">
        <f t="shared" si="90"/>
        <v>-91389.611193872493</v>
      </c>
      <c r="GZ74" s="672">
        <f>+GZ73</f>
        <v>821790.53333333344</v>
      </c>
      <c r="HA74" s="671">
        <f t="shared" si="101"/>
        <v>129756.4</v>
      </c>
      <c r="HB74" s="671">
        <f t="shared" si="71"/>
        <v>692034.13333333342</v>
      </c>
      <c r="HC74" s="1366">
        <f t="shared" si="91"/>
        <v>227557.25703328539</v>
      </c>
      <c r="HD74" s="672">
        <f>+HD73</f>
        <v>3117348.791666667</v>
      </c>
      <c r="HE74" s="671">
        <f t="shared" si="105"/>
        <v>440096.3</v>
      </c>
      <c r="HF74" s="671">
        <f t="shared" si="92"/>
        <v>2677252.4916666672</v>
      </c>
      <c r="HG74" s="1366">
        <f t="shared" si="93"/>
        <v>818455.6547883267</v>
      </c>
      <c r="HI74" s="589"/>
      <c r="HJ74" s="564"/>
      <c r="HK74" s="564"/>
      <c r="HL74" s="590"/>
      <c r="HM74" s="589"/>
      <c r="HN74" s="564"/>
      <c r="HO74" s="564"/>
      <c r="HP74" s="590"/>
      <c r="HQ74" s="589"/>
      <c r="HR74" s="564"/>
      <c r="HS74" s="564"/>
      <c r="HT74" s="590"/>
    </row>
    <row r="75" spans="1:228">
      <c r="A75" s="649" t="s">
        <v>24</v>
      </c>
      <c r="B75" s="670">
        <v>2024</v>
      </c>
      <c r="C75" s="671">
        <f>+E74</f>
        <v>12816519.542613633</v>
      </c>
      <c r="D75" s="671">
        <f>+C$31</f>
        <v>445791.98409090913</v>
      </c>
      <c r="E75" s="671">
        <f t="shared" si="6"/>
        <v>12370727.558522724</v>
      </c>
      <c r="F75" s="653">
        <f>+C$28*E75+D75</f>
        <v>1869347.4700929481</v>
      </c>
      <c r="G75" s="671">
        <f>+I74</f>
        <v>3301461.362045452</v>
      </c>
      <c r="H75" s="671">
        <f>+G$31</f>
        <v>115840.74954545456</v>
      </c>
      <c r="I75" s="671">
        <f t="shared" si="7"/>
        <v>3185620.6124999975</v>
      </c>
      <c r="J75" s="653">
        <f>+G$28*I75+H75</f>
        <v>482424.49959508324</v>
      </c>
      <c r="K75" s="672">
        <f>+M74</f>
        <v>8475398.371534083</v>
      </c>
      <c r="L75" s="671">
        <f>+K$31</f>
        <v>305419.76113636367</v>
      </c>
      <c r="M75" s="671">
        <f t="shared" si="8"/>
        <v>8169978.6103977198</v>
      </c>
      <c r="N75" s="653">
        <f>+K$28*M75+L75</f>
        <v>1245576.0952186137</v>
      </c>
      <c r="O75" s="672">
        <f>+Q74</f>
        <v>3559603.4924242403</v>
      </c>
      <c r="P75" s="671">
        <f>+O$31</f>
        <v>119316.31818181818</v>
      </c>
      <c r="Q75" s="671">
        <f t="shared" si="11"/>
        <v>3440287.174242422</v>
      </c>
      <c r="R75" s="653">
        <f>+O$28*Q75+P75</f>
        <v>515205.69955787127</v>
      </c>
      <c r="S75" s="589">
        <f>+U74</f>
        <v>1642559.0369696948</v>
      </c>
      <c r="T75" s="564">
        <f>+S$31</f>
        <v>58315.705454545445</v>
      </c>
      <c r="U75" s="564">
        <f t="shared" si="12"/>
        <v>1584243.3315151492</v>
      </c>
      <c r="V75" s="590">
        <f>+S$28*U75+T75</f>
        <v>240621.740008414</v>
      </c>
      <c r="W75" s="589">
        <f>+Y74</f>
        <v>20683259.473484851</v>
      </c>
      <c r="X75" s="564">
        <f>+W$31</f>
        <v>693293.61363636365</v>
      </c>
      <c r="Y75" s="564">
        <f t="shared" si="13"/>
        <v>19989965.859848488</v>
      </c>
      <c r="Z75" s="590">
        <f>+W$28*Y75+X75</f>
        <v>2993629.2592286603</v>
      </c>
      <c r="AA75" s="589">
        <f>+AC74</f>
        <v>13487429.422348481</v>
      </c>
      <c r="AB75" s="564">
        <f>+AA$31</f>
        <v>450833.29545454547</v>
      </c>
      <c r="AC75" s="564">
        <f t="shared" si="14"/>
        <v>13036596.126893936</v>
      </c>
      <c r="AD75" s="590">
        <f>+AA$28*AC75+AB75</f>
        <v>1951013.284661985</v>
      </c>
      <c r="AE75" s="589">
        <f>+AG74</f>
        <v>135637.64772727288</v>
      </c>
      <c r="AF75" s="564">
        <f>+AE$31</f>
        <v>4597.886363636364</v>
      </c>
      <c r="AG75" s="564">
        <f t="shared" si="15"/>
        <v>131039.76136363651</v>
      </c>
      <c r="AH75" s="590">
        <f>+AE$28*AG75+AF75</f>
        <v>19677.223475469029</v>
      </c>
      <c r="AI75" s="589">
        <f>+AK74</f>
        <v>9112712.4810606074</v>
      </c>
      <c r="AJ75" s="564">
        <f>+AI$31</f>
        <v>295547.43181818182</v>
      </c>
      <c r="AK75" s="564">
        <f t="shared" si="19"/>
        <v>8817165.0492424257</v>
      </c>
      <c r="AL75" s="590">
        <f>+AI$28*AK75+AJ75</f>
        <v>1310178.4320932685</v>
      </c>
      <c r="AM75" s="589">
        <f>+AO74</f>
        <v>3381440.928295454</v>
      </c>
      <c r="AN75" s="564">
        <f>+AM$31</f>
        <v>110866.91568181818</v>
      </c>
      <c r="AO75" s="564">
        <f t="shared" si="16"/>
        <v>3270574.012613636</v>
      </c>
      <c r="AP75" s="590">
        <f>+AM$28*AO75+AN75</f>
        <v>487226.63712958654</v>
      </c>
      <c r="AQ75" s="589">
        <f>+AS74</f>
        <v>27826666.296136368</v>
      </c>
      <c r="AR75" s="564">
        <f>+AQ$31</f>
        <v>904932.23727272719</v>
      </c>
      <c r="AS75" s="564">
        <f t="shared" si="17"/>
        <v>26921734.05886364</v>
      </c>
      <c r="AT75" s="590">
        <f>+AQ$28*AS75+AR75</f>
        <v>4002937.7531875796</v>
      </c>
      <c r="AU75" s="672">
        <f>+AW74</f>
        <v>17875000</v>
      </c>
      <c r="AV75" s="671">
        <f>+AU$31</f>
        <v>750000</v>
      </c>
      <c r="AW75" s="671">
        <f t="shared" si="1"/>
        <v>17125000</v>
      </c>
      <c r="AX75" s="653">
        <f>+AU$28*AW75+AV75</f>
        <v>750000</v>
      </c>
      <c r="AY75" s="672">
        <f>+BA74</f>
        <v>11583333.333333332</v>
      </c>
      <c r="AZ75" s="671">
        <f>+AY$31</f>
        <v>500000</v>
      </c>
      <c r="BA75" s="671">
        <f t="shared" si="2"/>
        <v>11083333.333333332</v>
      </c>
      <c r="BB75" s="653">
        <f>+AY$28*BA75+AZ75</f>
        <v>500000</v>
      </c>
      <c r="BC75" s="672">
        <f>+BE74</f>
        <v>18250000</v>
      </c>
      <c r="BD75" s="671">
        <f>+BC$31</f>
        <v>750000</v>
      </c>
      <c r="BE75" s="671">
        <f t="shared" si="4"/>
        <v>17500000</v>
      </c>
      <c r="BF75" s="653">
        <f>+BC$28*BE75+BD75</f>
        <v>750000</v>
      </c>
      <c r="BG75" s="672">
        <f>+BI74</f>
        <v>11380952.380952388</v>
      </c>
      <c r="BH75" s="671">
        <f>+BG$31</f>
        <v>571428.57142857148</v>
      </c>
      <c r="BI75" s="671">
        <f t="shared" si="5"/>
        <v>10809523.809523817</v>
      </c>
      <c r="BJ75" s="653">
        <f>+BG$28*BI75+BH75</f>
        <v>571428.57142857148</v>
      </c>
      <c r="BK75" s="672">
        <f>+BM74</f>
        <v>12800000</v>
      </c>
      <c r="BL75" s="671">
        <f>+BK$31</f>
        <v>1200000</v>
      </c>
      <c r="BM75" s="671">
        <f t="shared" si="9"/>
        <v>11600000</v>
      </c>
      <c r="BN75" s="653">
        <f>+BK$28*BM75+BL75</f>
        <v>1200000</v>
      </c>
      <c r="BO75" s="672">
        <f>+BQ74</f>
        <v>10500000</v>
      </c>
      <c r="BP75" s="671">
        <f>+BO$31</f>
        <v>666666.66666666663</v>
      </c>
      <c r="BQ75" s="671">
        <f t="shared" si="10"/>
        <v>9833333.333333334</v>
      </c>
      <c r="BR75" s="653">
        <f>+BO$28*BQ75+BP75</f>
        <v>666666.66666666663</v>
      </c>
      <c r="BS75" s="589">
        <f>+BU74</f>
        <v>257637.47727272741</v>
      </c>
      <c r="BT75" s="564">
        <f>+BS$31</f>
        <v>8310.886363636364</v>
      </c>
      <c r="BU75" s="564">
        <f t="shared" si="18"/>
        <v>249326.59090909106</v>
      </c>
      <c r="BV75" s="590">
        <f>+BS$28*BU75+BT75</f>
        <v>37002.023131117436</v>
      </c>
      <c r="BW75" s="589">
        <f>+BY74</f>
        <v>18026288.352272734</v>
      </c>
      <c r="BX75" s="564">
        <f>+BW$31</f>
        <v>576841.22727272729</v>
      </c>
      <c r="BY75" s="564">
        <f t="shared" si="20"/>
        <v>17449447.125000007</v>
      </c>
      <c r="BZ75" s="590">
        <f>+BW$28*BY75+BX75</f>
        <v>2584827.909137914</v>
      </c>
      <c r="CA75" s="589">
        <f>+CC74</f>
        <v>1701060.0000000009</v>
      </c>
      <c r="CB75" s="564">
        <f>+CA$31</f>
        <v>54433.919999999998</v>
      </c>
      <c r="CC75" s="564">
        <f t="shared" si="21"/>
        <v>1646626.080000001</v>
      </c>
      <c r="CD75" s="590">
        <f>+CA$28*CC75+CB75</f>
        <v>243918.61914068297</v>
      </c>
      <c r="CE75" s="589">
        <f>+CG74</f>
        <v>147657.15909090918</v>
      </c>
      <c r="CF75" s="564">
        <f>+CE$31</f>
        <v>4725.0290909090909</v>
      </c>
      <c r="CG75" s="564">
        <f t="shared" si="22"/>
        <v>142932.13000000009</v>
      </c>
      <c r="CH75" s="590">
        <f>+CE$28*CG75+CF75</f>
        <v>21172.87476731608</v>
      </c>
      <c r="CI75" s="589">
        <f>+CK74</f>
        <v>398697.95454545435</v>
      </c>
      <c r="CJ75" s="564">
        <f>+CI$31</f>
        <v>12362.727272727272</v>
      </c>
      <c r="CK75" s="564">
        <f t="shared" si="24"/>
        <v>386335.22727272706</v>
      </c>
      <c r="CL75" s="590">
        <f>+CI$28*CK75+CJ75</f>
        <v>56820.066553555385</v>
      </c>
      <c r="CM75" s="589">
        <f>+CO74</f>
        <v>17775668.095738638</v>
      </c>
      <c r="CN75" s="564">
        <f>+CM$31</f>
        <v>483691.64886363636</v>
      </c>
      <c r="CO75" s="564">
        <f t="shared" si="34"/>
        <v>17291976.446875002</v>
      </c>
      <c r="CP75" s="590">
        <f>+CM$28*CO75+CN75</f>
        <v>2473557.4686640147</v>
      </c>
      <c r="CQ75" s="589">
        <f>+CS74</f>
        <v>74151796.688693151</v>
      </c>
      <c r="CR75" s="564">
        <f>+CQ$31</f>
        <v>2017735.9643181816</v>
      </c>
      <c r="CS75" s="564">
        <f t="shared" si="40"/>
        <v>72134060.724374965</v>
      </c>
      <c r="CT75" s="590">
        <f>+CQ$28*CS75+CR75</f>
        <v>10318528.087174596</v>
      </c>
      <c r="CU75" s="589">
        <f>+CW74</f>
        <v>25019228.78250001</v>
      </c>
      <c r="CV75" s="564">
        <f>+CU$31</f>
        <v>676195.37250000006</v>
      </c>
      <c r="CW75" s="564">
        <f t="shared" si="41"/>
        <v>24343033.410000011</v>
      </c>
      <c r="CX75" s="590">
        <f>+CU$28*CW75+CV75</f>
        <v>3477458.1594136162</v>
      </c>
      <c r="CY75" s="589">
        <f>+DA74</f>
        <v>27514.644886363683</v>
      </c>
      <c r="CZ75" s="564">
        <f>+CY$31</f>
        <v>733.72386363636497</v>
      </c>
      <c r="DA75" s="564">
        <f t="shared" si="42"/>
        <v>26780.921022727318</v>
      </c>
      <c r="DB75" s="590">
        <f>+CY$28*DA75+CZ75</f>
        <v>3815.5253875754697</v>
      </c>
      <c r="DC75" s="589">
        <f>+DE74</f>
        <v>1658767.5590909095</v>
      </c>
      <c r="DD75" s="564">
        <f>+DC$31</f>
        <v>44530.672727272722</v>
      </c>
      <c r="DE75" s="564">
        <f t="shared" si="43"/>
        <v>1614236.8863636369</v>
      </c>
      <c r="DF75" s="590">
        <f>+DC$28*DE75+DD75</f>
        <v>230288.20108757078</v>
      </c>
      <c r="DG75" s="589">
        <f>+DI74</f>
        <v>923980.28693181789</v>
      </c>
      <c r="DH75" s="564">
        <f>+DG$31</f>
        <v>24639.474318181816</v>
      </c>
      <c r="DI75" s="564">
        <f t="shared" si="44"/>
        <v>899340.81261363602</v>
      </c>
      <c r="DJ75" s="590">
        <f>+DG$28*DI75+DH75</f>
        <v>128130.68302236561</v>
      </c>
      <c r="DK75" s="589">
        <f>+DM74</f>
        <v>20428985.729431819</v>
      </c>
      <c r="DL75" s="564">
        <f>+DK$31</f>
        <v>549658.80886363634</v>
      </c>
      <c r="DM75" s="564">
        <f t="shared" si="45"/>
        <v>19879326.920568183</v>
      </c>
      <c r="DN75" s="590">
        <f>+DK$28*DM75+DL75</f>
        <v>2837262.7320707431</v>
      </c>
      <c r="DO75" s="589">
        <f>+DQ74</f>
        <v>747788.19746212079</v>
      </c>
      <c r="DP75" s="564">
        <f t="shared" si="95"/>
        <v>19592.703863636354</v>
      </c>
      <c r="DQ75" s="564">
        <f t="shared" si="60"/>
        <v>728195.49359848443</v>
      </c>
      <c r="DR75" s="590">
        <f t="shared" si="65"/>
        <v>103389.44782150557</v>
      </c>
      <c r="DS75" s="589">
        <f>+DU74</f>
        <v>319386.47999999888</v>
      </c>
      <c r="DT75" s="564">
        <f t="shared" si="96"/>
        <v>8295.7527272726966</v>
      </c>
      <c r="DU75" s="564">
        <f t="shared" si="61"/>
        <v>311090.72727272619</v>
      </c>
      <c r="DV75" s="590">
        <f t="shared" si="66"/>
        <v>44094.367591145579</v>
      </c>
      <c r="DW75" s="589">
        <f>+DY74</f>
        <v>46732.450397727254</v>
      </c>
      <c r="DX75" s="564">
        <f t="shared" si="97"/>
        <v>1221.7634090909089</v>
      </c>
      <c r="DY75" s="564">
        <f t="shared" si="62"/>
        <v>45510.686988636342</v>
      </c>
      <c r="DZ75" s="590">
        <f t="shared" si="67"/>
        <v>6458.8836858009354</v>
      </c>
      <c r="EA75" s="589">
        <f>+EC74</f>
        <v>-277098.40357954724</v>
      </c>
      <c r="EB75" s="564">
        <f t="shared" si="98"/>
        <v>-7120.3015909091364</v>
      </c>
      <c r="EC75" s="564">
        <f t="shared" si="63"/>
        <v>-269978.10198863811</v>
      </c>
      <c r="ED75" s="590">
        <f t="shared" si="68"/>
        <v>-38187.900999932026</v>
      </c>
      <c r="EE75" s="589">
        <f>+EG74</f>
        <v>7764394.9818181815</v>
      </c>
      <c r="EF75" s="564">
        <f t="shared" si="102"/>
        <v>192108.74181818182</v>
      </c>
      <c r="EG75" s="564">
        <f t="shared" si="72"/>
        <v>7572286.2399999993</v>
      </c>
      <c r="EH75" s="590">
        <f t="shared" si="73"/>
        <v>1063485.9156775516</v>
      </c>
      <c r="EI75" s="589">
        <f>+EK74</f>
        <v>313187.74109848478</v>
      </c>
      <c r="EJ75" s="564">
        <f t="shared" si="103"/>
        <v>7669.903863636363</v>
      </c>
      <c r="EK75" s="564">
        <f t="shared" si="74"/>
        <v>305517.83723484841</v>
      </c>
      <c r="EL75" s="590">
        <f t="shared" si="75"/>
        <v>42827.22110384269</v>
      </c>
      <c r="EM75" s="589">
        <f>+EO74</f>
        <v>10684909.270454546</v>
      </c>
      <c r="EN75" s="564">
        <f t="shared" si="104"/>
        <v>260607.54318181818</v>
      </c>
      <c r="EO75" s="564">
        <f t="shared" si="76"/>
        <v>10424301.727272728</v>
      </c>
      <c r="EP75" s="590">
        <f t="shared" si="77"/>
        <v>1460179.0187799537</v>
      </c>
      <c r="EQ75" s="678">
        <f t="shared" si="94"/>
        <v>40212867.397460409</v>
      </c>
      <c r="ER75" s="652"/>
      <c r="ES75" s="674">
        <f>+EQ75</f>
        <v>40212867.397460409</v>
      </c>
      <c r="EV75" s="589">
        <f>+EX74</f>
        <v>211785.43333333544</v>
      </c>
      <c r="EW75" s="564">
        <f>+EV$31/12*(12-10)</f>
        <v>211785.43333333335</v>
      </c>
      <c r="EX75" s="564">
        <f t="shared" si="25"/>
        <v>2.0954757928848267E-9</v>
      </c>
      <c r="EY75" s="590">
        <f t="shared" si="47"/>
        <v>211785.43333333364</v>
      </c>
      <c r="EZ75" s="589">
        <f>+FB74</f>
        <v>894404.39999999839</v>
      </c>
      <c r="FA75" s="564">
        <f>+EZ$31/12*(12-0)</f>
        <v>894404.39999999991</v>
      </c>
      <c r="FB75" s="564">
        <f t="shared" si="26"/>
        <v>-1.5133991837501526E-9</v>
      </c>
      <c r="FC75" s="590">
        <f t="shared" si="48"/>
        <v>894404.39999999967</v>
      </c>
      <c r="FD75" s="589">
        <f>+FF74</f>
        <v>128753.7084166664</v>
      </c>
      <c r="FE75" s="564">
        <f>+FD$31/12*(12-1)</f>
        <v>128753.70841666666</v>
      </c>
      <c r="FF75" s="564">
        <f t="shared" si="27"/>
        <v>-2.6193447411060333E-10</v>
      </c>
      <c r="FG75" s="590">
        <f t="shared" si="49"/>
        <v>128753.70841666662</v>
      </c>
      <c r="FH75" s="589">
        <f>+FJ74</f>
        <v>16960.300000000007</v>
      </c>
      <c r="FI75" s="564">
        <f>+FH$31/12*(12-0)</f>
        <v>16960.3</v>
      </c>
      <c r="FJ75" s="564">
        <f t="shared" si="28"/>
        <v>0</v>
      </c>
      <c r="FK75" s="590">
        <f t="shared" si="50"/>
        <v>16960.3</v>
      </c>
      <c r="FL75" s="589">
        <f>+FN74</f>
        <v>1462.7503333333334</v>
      </c>
      <c r="FM75" s="564">
        <f t="shared" si="82"/>
        <v>1253.7860000000001</v>
      </c>
      <c r="FN75" s="564">
        <f t="shared" ref="FN75:FN76" si="106">+FL75-FM75</f>
        <v>208.96433333333334</v>
      </c>
      <c r="FO75" s="590">
        <f t="shared" ref="FO75:FO76" si="107">+FL$29*FN75+FM75</f>
        <v>1283.3176226541464</v>
      </c>
      <c r="FP75" s="589">
        <f>+FR74</f>
        <v>5041574.974999995</v>
      </c>
      <c r="FQ75" s="564">
        <f t="shared" si="83"/>
        <v>4033259.9799999995</v>
      </c>
      <c r="FR75" s="564">
        <f t="shared" ref="FR75:FR76" si="108">+FP75-FQ75</f>
        <v>1008314.9949999955</v>
      </c>
      <c r="FS75" s="590">
        <f t="shared" ref="FS75:FS76" si="109">+FP$29*FR75+FQ75</f>
        <v>4175758.8336266498</v>
      </c>
      <c r="FT75" s="589">
        <f>+FV74</f>
        <v>84001.124833333364</v>
      </c>
      <c r="FU75" s="564">
        <f t="shared" si="84"/>
        <v>53053.342000000004</v>
      </c>
      <c r="FV75" s="564">
        <f t="shared" ref="FV75:FV76" si="110">+FT75-FU75</f>
        <v>30947.78283333336</v>
      </c>
      <c r="FW75" s="590">
        <f t="shared" ref="FW75:FW76" si="111">+FT$29*FV75+FU75</f>
        <v>57426.998642918967</v>
      </c>
      <c r="FX75" s="589">
        <f>+FZ74</f>
        <v>-85352.265500000023</v>
      </c>
      <c r="FY75" s="564">
        <f t="shared" si="85"/>
        <v>-53906.693999999974</v>
      </c>
      <c r="FZ75" s="564">
        <f t="shared" si="31"/>
        <v>-31445.571500000049</v>
      </c>
      <c r="GA75" s="590">
        <f t="shared" si="54"/>
        <v>-58350.700002692509</v>
      </c>
      <c r="GB75" s="589">
        <f>+GD74</f>
        <v>6100458.3768333383</v>
      </c>
      <c r="GC75" s="564">
        <f t="shared" si="86"/>
        <v>3327522.7509999997</v>
      </c>
      <c r="GD75" s="564">
        <f t="shared" si="32"/>
        <v>2772935.6258333386</v>
      </c>
      <c r="GE75" s="590">
        <f t="shared" si="55"/>
        <v>3719404.4048692361</v>
      </c>
      <c r="GF75" s="589">
        <f>+GH74</f>
        <v>95422.359749999945</v>
      </c>
      <c r="GG75" s="564">
        <f t="shared" si="87"/>
        <v>49785.578999999998</v>
      </c>
      <c r="GH75" s="564">
        <f t="shared" si="37"/>
        <v>45636.780749999947</v>
      </c>
      <c r="GI75" s="590">
        <f t="shared" si="56"/>
        <v>56235.139873669046</v>
      </c>
      <c r="GJ75" s="589">
        <f>+GL74</f>
        <v>439015.4774999998</v>
      </c>
      <c r="GK75" s="564">
        <f t="shared" si="88"/>
        <v>175606.19100000002</v>
      </c>
      <c r="GL75" s="564">
        <f t="shared" si="38"/>
        <v>263409.28649999981</v>
      </c>
      <c r="GM75" s="590">
        <f t="shared" si="57"/>
        <v>212832.17846125364</v>
      </c>
      <c r="GN75" s="589">
        <f>+GP74</f>
        <v>12596597.652416669</v>
      </c>
      <c r="GO75" s="564">
        <f t="shared" si="89"/>
        <v>3686809.0689999992</v>
      </c>
      <c r="GP75" s="564">
        <f t="shared" si="58"/>
        <v>8909788.5834166706</v>
      </c>
      <c r="GQ75" s="590">
        <f t="shared" si="59"/>
        <v>4945973.7799172439</v>
      </c>
      <c r="GR75" s="589">
        <f>+GT74</f>
        <v>37464222.371333331</v>
      </c>
      <c r="GS75" s="564">
        <f t="shared" si="99"/>
        <v>8028047.6510000005</v>
      </c>
      <c r="GT75" s="564">
        <f t="shared" si="64"/>
        <v>29436174.72033333</v>
      </c>
      <c r="GU75" s="590">
        <f t="shared" si="69"/>
        <v>12188078.170829076</v>
      </c>
      <c r="GV75" s="672">
        <f>+GX74</f>
        <v>-270347.4250000001</v>
      </c>
      <c r="GW75" s="676">
        <f t="shared" si="100"/>
        <v>-53183.1</v>
      </c>
      <c r="GX75" s="676">
        <f t="shared" si="70"/>
        <v>-217164.3250000001</v>
      </c>
      <c r="GY75" s="1366">
        <f t="shared" si="90"/>
        <v>-83873.576204913988</v>
      </c>
      <c r="GZ75" s="672">
        <f>+HB74</f>
        <v>692034.13333333342</v>
      </c>
      <c r="HA75" s="671">
        <f t="shared" si="101"/>
        <v>129756.4</v>
      </c>
      <c r="HB75" s="671">
        <f t="shared" si="71"/>
        <v>562277.7333333334</v>
      </c>
      <c r="HC75" s="1366">
        <f t="shared" si="91"/>
        <v>209219.5963395444</v>
      </c>
      <c r="HD75" s="672">
        <f>+HF74</f>
        <v>2677252.4916666672</v>
      </c>
      <c r="HE75" s="671">
        <f t="shared" si="105"/>
        <v>440096.3</v>
      </c>
      <c r="HF75" s="671">
        <f t="shared" si="92"/>
        <v>2237156.1916666673</v>
      </c>
      <c r="HG75" s="1366">
        <f t="shared" si="93"/>
        <v>756259.59646695794</v>
      </c>
      <c r="HI75" s="589"/>
      <c r="HJ75" s="564"/>
      <c r="HK75" s="564"/>
      <c r="HL75" s="590"/>
      <c r="HM75" s="589"/>
      <c r="HN75" s="564"/>
      <c r="HO75" s="564"/>
      <c r="HP75" s="590"/>
      <c r="HQ75" s="589"/>
      <c r="HR75" s="564"/>
      <c r="HS75" s="564"/>
      <c r="HT75" s="590"/>
    </row>
    <row r="76" spans="1:228">
      <c r="A76" s="649" t="s">
        <v>23</v>
      </c>
      <c r="B76" s="670">
        <v>2024</v>
      </c>
      <c r="C76" s="671">
        <f>+C75</f>
        <v>12816519.542613633</v>
      </c>
      <c r="D76" s="671">
        <f>+D75</f>
        <v>445791.98409090913</v>
      </c>
      <c r="E76" s="671">
        <f t="shared" si="6"/>
        <v>12370727.558522724</v>
      </c>
      <c r="F76" s="653">
        <f>+C$29*E76+D76</f>
        <v>1944847.3247101658</v>
      </c>
      <c r="G76" s="671">
        <f>+G75</f>
        <v>3301461.362045452</v>
      </c>
      <c r="H76" s="671">
        <f>+H75</f>
        <v>115840.74954545456</v>
      </c>
      <c r="I76" s="671">
        <f t="shared" si="7"/>
        <v>3185620.6124999975</v>
      </c>
      <c r="J76" s="653">
        <f>+G$29*I76+H76</f>
        <v>501866.67807420279</v>
      </c>
      <c r="K76" s="672">
        <f>+K75</f>
        <v>8475398.371534083</v>
      </c>
      <c r="L76" s="671">
        <f>+L75</f>
        <v>305419.76113636367</v>
      </c>
      <c r="M76" s="671">
        <f t="shared" si="8"/>
        <v>8169978.6103977198</v>
      </c>
      <c r="N76" s="653">
        <f>+K$29*M76+L76</f>
        <v>1295438.3360927042</v>
      </c>
      <c r="O76" s="672">
        <f>+O75</f>
        <v>3559603.4924242403</v>
      </c>
      <c r="P76" s="671">
        <f>+P75</f>
        <v>119316.31818181818</v>
      </c>
      <c r="Q76" s="671">
        <f t="shared" si="11"/>
        <v>3440287.174242422</v>
      </c>
      <c r="R76" s="653">
        <f>+O$29*Q76+P76</f>
        <v>536202.13491448329</v>
      </c>
      <c r="S76" s="589">
        <f>+S75</f>
        <v>1642559.0369696948</v>
      </c>
      <c r="T76" s="564">
        <f>+T75</f>
        <v>58315.705454545445</v>
      </c>
      <c r="U76" s="564">
        <f t="shared" si="12"/>
        <v>1584243.3315151492</v>
      </c>
      <c r="V76" s="590">
        <f>+S$29*U76+T76</f>
        <v>250290.54409789425</v>
      </c>
      <c r="W76" s="589">
        <f>+W75</f>
        <v>20683259.473484851</v>
      </c>
      <c r="X76" s="564">
        <f>+X75</f>
        <v>693293.61363636365</v>
      </c>
      <c r="Y76" s="564">
        <f t="shared" si="13"/>
        <v>19989965.859848488</v>
      </c>
      <c r="Z76" s="590">
        <f>+W$29*Y76+X76</f>
        <v>3115630.128545512</v>
      </c>
      <c r="AA76" s="589">
        <f>+AA75</f>
        <v>13487429.422348481</v>
      </c>
      <c r="AB76" s="564">
        <f>+AB75</f>
        <v>450833.29545454547</v>
      </c>
      <c r="AC76" s="564">
        <f t="shared" si="14"/>
        <v>13036596.126893936</v>
      </c>
      <c r="AD76" s="590">
        <f>+AA$29*AC76+AB76</f>
        <v>2030577.0053588955</v>
      </c>
      <c r="AE76" s="589">
        <f>+AE75</f>
        <v>135637.64772727288</v>
      </c>
      <c r="AF76" s="564">
        <f>+AF75</f>
        <v>4597.886363636364</v>
      </c>
      <c r="AG76" s="564">
        <f t="shared" si="15"/>
        <v>131039.76136363651</v>
      </c>
      <c r="AH76" s="590">
        <f>+AE$29*AG76+AF76</f>
        <v>20476.972955459267</v>
      </c>
      <c r="AI76" s="589">
        <f>+AI75</f>
        <v>9112712.4810606074</v>
      </c>
      <c r="AJ76" s="564">
        <f>+AJ75</f>
        <v>295547.43181818182</v>
      </c>
      <c r="AK76" s="564">
        <f t="shared" si="19"/>
        <v>8817165.0492424257</v>
      </c>
      <c r="AL76" s="590">
        <f>+AI$29*AK76+AJ76</f>
        <v>1363990.520040771</v>
      </c>
      <c r="AM76" s="589">
        <f>+AM75</f>
        <v>3381440.928295454</v>
      </c>
      <c r="AN76" s="564">
        <f>+AN75</f>
        <v>110866.91568181818</v>
      </c>
      <c r="AO76" s="564">
        <f t="shared" si="16"/>
        <v>3270574.012613636</v>
      </c>
      <c r="AP76" s="590">
        <f>+AM$29*AO76+AN76</f>
        <v>507187.29516679794</v>
      </c>
      <c r="AQ76" s="589">
        <f>+AQ75</f>
        <v>27826666.296136368</v>
      </c>
      <c r="AR76" s="564">
        <f>+AR75</f>
        <v>904932.23727272719</v>
      </c>
      <c r="AS76" s="564">
        <f t="shared" si="17"/>
        <v>26921734.05886364</v>
      </c>
      <c r="AT76" s="590">
        <f>+AQ$29*AS76+AR76</f>
        <v>4167243.9346851483</v>
      </c>
      <c r="AU76" s="672">
        <f>+AU75</f>
        <v>17875000</v>
      </c>
      <c r="AV76" s="671">
        <f>+AV75</f>
        <v>750000</v>
      </c>
      <c r="AW76" s="671">
        <f t="shared" si="1"/>
        <v>17125000</v>
      </c>
      <c r="AX76" s="653">
        <f>+AU$29*AW76+AV76</f>
        <v>750000</v>
      </c>
      <c r="AY76" s="672">
        <f>+AY75</f>
        <v>11583333.333333332</v>
      </c>
      <c r="AZ76" s="671">
        <f>+AZ75</f>
        <v>500000</v>
      </c>
      <c r="BA76" s="671">
        <f t="shared" si="2"/>
        <v>11083333.333333332</v>
      </c>
      <c r="BB76" s="653">
        <f>+AY$29*BA76+AZ76</f>
        <v>500000</v>
      </c>
      <c r="BC76" s="672">
        <f>+BC75</f>
        <v>18250000</v>
      </c>
      <c r="BD76" s="671">
        <f>+BD75</f>
        <v>750000</v>
      </c>
      <c r="BE76" s="671">
        <f t="shared" si="4"/>
        <v>17500000</v>
      </c>
      <c r="BF76" s="653">
        <f>+BC$29*BE76+BD76</f>
        <v>750000</v>
      </c>
      <c r="BG76" s="672">
        <f>+BG75</f>
        <v>11380952.380952388</v>
      </c>
      <c r="BH76" s="671">
        <f>+BH75</f>
        <v>571428.57142857148</v>
      </c>
      <c r="BI76" s="671">
        <f t="shared" si="5"/>
        <v>10809523.809523817</v>
      </c>
      <c r="BJ76" s="653">
        <f>+BG$29*BI76+BH76</f>
        <v>571428.57142857148</v>
      </c>
      <c r="BK76" s="672">
        <f>+BK75</f>
        <v>12800000</v>
      </c>
      <c r="BL76" s="671">
        <f>+BL75</f>
        <v>1200000</v>
      </c>
      <c r="BM76" s="671">
        <f t="shared" si="9"/>
        <v>11600000</v>
      </c>
      <c r="BN76" s="653">
        <f>+BK$29*BM76+BL76</f>
        <v>1200000</v>
      </c>
      <c r="BO76" s="672">
        <f>+BO75</f>
        <v>10500000</v>
      </c>
      <c r="BP76" s="671">
        <f>+BP75</f>
        <v>666666.66666666663</v>
      </c>
      <c r="BQ76" s="671">
        <f t="shared" si="10"/>
        <v>9833333.333333334</v>
      </c>
      <c r="BR76" s="653">
        <f>+BO$29*BQ76+BP76</f>
        <v>666666.66666666663</v>
      </c>
      <c r="BS76" s="589">
        <f>+BS75</f>
        <v>257637.47727272741</v>
      </c>
      <c r="BT76" s="564">
        <f>+BT75</f>
        <v>8310.886363636364</v>
      </c>
      <c r="BU76" s="564">
        <f t="shared" si="18"/>
        <v>249326.59090909106</v>
      </c>
      <c r="BV76" s="590">
        <f>+BS$29*BU76+BT76</f>
        <v>38523.689603585677</v>
      </c>
      <c r="BW76" s="589">
        <f>+BW75</f>
        <v>18026288.352272734</v>
      </c>
      <c r="BX76" s="564">
        <f>+BX75</f>
        <v>576841.22727272729</v>
      </c>
      <c r="BY76" s="564">
        <f t="shared" si="20"/>
        <v>17449447.125000007</v>
      </c>
      <c r="BZ76" s="590">
        <f>+BW$29*BY76+BX76</f>
        <v>2584827.909137914</v>
      </c>
      <c r="CA76" s="589">
        <f>+CA75</f>
        <v>1701060.0000000009</v>
      </c>
      <c r="CB76" s="564">
        <f>+CB75</f>
        <v>54433.919999999998</v>
      </c>
      <c r="CC76" s="564">
        <f t="shared" si="21"/>
        <v>1646626.080000001</v>
      </c>
      <c r="CD76" s="590">
        <f>+CA$29*CC76+CB76</f>
        <v>253968.15172159165</v>
      </c>
      <c r="CE76" s="589">
        <f>+CE75</f>
        <v>147657.15909090918</v>
      </c>
      <c r="CF76" s="564">
        <f>+CF75</f>
        <v>4725.0290909090909</v>
      </c>
      <c r="CG76" s="564">
        <f t="shared" si="22"/>
        <v>142932.13000000009</v>
      </c>
      <c r="CH76" s="590">
        <f>+CE$29*CG76+CF76</f>
        <v>22045.204626985054</v>
      </c>
      <c r="CI76" s="589">
        <f>+CI75</f>
        <v>398697.95454545435</v>
      </c>
      <c r="CJ76" s="564">
        <f>+CJ75</f>
        <v>12362.727272727272</v>
      </c>
      <c r="CK76" s="564">
        <f t="shared" si="24"/>
        <v>386335.22727272706</v>
      </c>
      <c r="CL76" s="590">
        <f>+CI$29*CK76+CJ76</f>
        <v>56820.066553555385</v>
      </c>
      <c r="CM76" s="589">
        <f>+CM75</f>
        <v>17775668.095738638</v>
      </c>
      <c r="CN76" s="564">
        <f>+CN75</f>
        <v>483691.64886363636</v>
      </c>
      <c r="CO76" s="564">
        <f t="shared" si="34"/>
        <v>17291976.446875002</v>
      </c>
      <c r="CP76" s="590">
        <f>+CM$29*CO76+CN76</f>
        <v>2473557.4686640147</v>
      </c>
      <c r="CQ76" s="589">
        <f>+CQ75</f>
        <v>74151796.688693151</v>
      </c>
      <c r="CR76" s="564">
        <f>+CR75</f>
        <v>2017735.9643181816</v>
      </c>
      <c r="CS76" s="564">
        <f t="shared" si="40"/>
        <v>72134060.724374965</v>
      </c>
      <c r="CT76" s="590">
        <f>+CQ$29*CS76+CR76</f>
        <v>10318528.087174596</v>
      </c>
      <c r="CU76" s="589">
        <f>+CU75</f>
        <v>25019228.78250001</v>
      </c>
      <c r="CV76" s="564">
        <f>+CV75</f>
        <v>676195.37250000006</v>
      </c>
      <c r="CW76" s="564">
        <f t="shared" si="41"/>
        <v>24343033.410000011</v>
      </c>
      <c r="CX76" s="590">
        <f>+CU$29*CW76+CV76</f>
        <v>3477458.1594136162</v>
      </c>
      <c r="CY76" s="589">
        <f>+CY75</f>
        <v>27514.644886363683</v>
      </c>
      <c r="CZ76" s="564">
        <f>+CZ75</f>
        <v>733.72386363636497</v>
      </c>
      <c r="DA76" s="564">
        <f t="shared" si="42"/>
        <v>26780.921022727318</v>
      </c>
      <c r="DB76" s="590">
        <f>+CY$29*DA76+CZ76</f>
        <v>3815.5253875754697</v>
      </c>
      <c r="DC76" s="589">
        <f>+DC75</f>
        <v>1658767.5590909095</v>
      </c>
      <c r="DD76" s="564">
        <f>+DD75</f>
        <v>44530.672727272722</v>
      </c>
      <c r="DE76" s="564">
        <f t="shared" si="43"/>
        <v>1614236.8863636369</v>
      </c>
      <c r="DF76" s="590">
        <f>+DC$29*DE76+DD76</f>
        <v>230288.20108757078</v>
      </c>
      <c r="DG76" s="589">
        <f>+DG75</f>
        <v>923980.28693181789</v>
      </c>
      <c r="DH76" s="564">
        <f>+DH75</f>
        <v>24639.474318181816</v>
      </c>
      <c r="DI76" s="564">
        <f t="shared" si="44"/>
        <v>899340.81261363602</v>
      </c>
      <c r="DJ76" s="590">
        <f>+DG$29*DI76+DH76</f>
        <v>128130.68302236561</v>
      </c>
      <c r="DK76" s="589">
        <f>+DK75</f>
        <v>20428985.729431819</v>
      </c>
      <c r="DL76" s="564">
        <f>+DL75</f>
        <v>549658.80886363634</v>
      </c>
      <c r="DM76" s="564">
        <f t="shared" si="45"/>
        <v>19879326.920568183</v>
      </c>
      <c r="DN76" s="590">
        <f>+DK$29*DM76+DL76</f>
        <v>2837262.7320707431</v>
      </c>
      <c r="DO76" s="589">
        <f>+DO75</f>
        <v>747788.19746212079</v>
      </c>
      <c r="DP76" s="564">
        <f t="shared" si="95"/>
        <v>19592.703863636354</v>
      </c>
      <c r="DQ76" s="564">
        <f t="shared" si="60"/>
        <v>728195.49359848443</v>
      </c>
      <c r="DR76" s="590">
        <f t="shared" si="65"/>
        <v>103389.44782150557</v>
      </c>
      <c r="DS76" s="589">
        <f>+DS75</f>
        <v>319386.47999999888</v>
      </c>
      <c r="DT76" s="564">
        <f t="shared" si="96"/>
        <v>8295.7527272726966</v>
      </c>
      <c r="DU76" s="564">
        <f t="shared" si="61"/>
        <v>311090.72727272619</v>
      </c>
      <c r="DV76" s="590">
        <f t="shared" si="66"/>
        <v>44094.367591145579</v>
      </c>
      <c r="DW76" s="589">
        <f>+DW75</f>
        <v>46732.450397727254</v>
      </c>
      <c r="DX76" s="564">
        <f t="shared" si="97"/>
        <v>1221.7634090909089</v>
      </c>
      <c r="DY76" s="564">
        <f t="shared" si="62"/>
        <v>45510.686988636342</v>
      </c>
      <c r="DZ76" s="590">
        <f t="shared" si="67"/>
        <v>6458.8836858009354</v>
      </c>
      <c r="EA76" s="589">
        <f>+EA75</f>
        <v>-277098.40357954724</v>
      </c>
      <c r="EB76" s="564">
        <f t="shared" si="98"/>
        <v>-7120.3015909091364</v>
      </c>
      <c r="EC76" s="564">
        <f t="shared" si="63"/>
        <v>-269978.10198863811</v>
      </c>
      <c r="ED76" s="590">
        <f t="shared" si="68"/>
        <v>-38187.900999932026</v>
      </c>
      <c r="EE76" s="589">
        <f>+EE75</f>
        <v>7764394.9818181815</v>
      </c>
      <c r="EF76" s="564">
        <f t="shared" si="102"/>
        <v>192108.74181818182</v>
      </c>
      <c r="EG76" s="564">
        <f t="shared" si="72"/>
        <v>7572286.2399999993</v>
      </c>
      <c r="EH76" s="590">
        <f t="shared" si="73"/>
        <v>1063485.9156775516</v>
      </c>
      <c r="EI76" s="589">
        <f>+EI75</f>
        <v>313187.74109848478</v>
      </c>
      <c r="EJ76" s="564">
        <f t="shared" si="103"/>
        <v>7669.903863636363</v>
      </c>
      <c r="EK76" s="564">
        <f t="shared" si="74"/>
        <v>305517.83723484841</v>
      </c>
      <c r="EL76" s="590">
        <f t="shared" si="75"/>
        <v>42827.22110384269</v>
      </c>
      <c r="EM76" s="589">
        <f>+EM75</f>
        <v>10684909.270454546</v>
      </c>
      <c r="EN76" s="564">
        <f t="shared" si="104"/>
        <v>260607.54318181818</v>
      </c>
      <c r="EO76" s="564">
        <f t="shared" si="76"/>
        <v>10424301.727272728</v>
      </c>
      <c r="EP76" s="590">
        <f t="shared" si="77"/>
        <v>1460179.0187799537</v>
      </c>
      <c r="EQ76" s="678">
        <f t="shared" si="94"/>
        <v>40841223.706766009</v>
      </c>
      <c r="ER76" s="675">
        <f>+EQ76</f>
        <v>40841223.706766009</v>
      </c>
      <c r="ES76" s="648"/>
      <c r="EV76" s="589">
        <f>+EV75</f>
        <v>211785.43333333544</v>
      </c>
      <c r="EW76" s="564">
        <f>+EW75</f>
        <v>211785.43333333335</v>
      </c>
      <c r="EX76" s="564">
        <f t="shared" si="25"/>
        <v>2.0954757928848267E-9</v>
      </c>
      <c r="EY76" s="590">
        <f t="shared" si="47"/>
        <v>211785.43333333364</v>
      </c>
      <c r="EZ76" s="589">
        <f>+EZ75</f>
        <v>894404.39999999839</v>
      </c>
      <c r="FA76" s="564">
        <f>+FA75</f>
        <v>894404.39999999991</v>
      </c>
      <c r="FB76" s="564">
        <f t="shared" si="26"/>
        <v>-1.5133991837501526E-9</v>
      </c>
      <c r="FC76" s="590">
        <f t="shared" si="48"/>
        <v>894404.39999999967</v>
      </c>
      <c r="FD76" s="589">
        <f>+FD75</f>
        <v>128753.7084166664</v>
      </c>
      <c r="FE76" s="564">
        <f>+FE75</f>
        <v>128753.70841666666</v>
      </c>
      <c r="FF76" s="564">
        <f t="shared" si="27"/>
        <v>-2.6193447411060333E-10</v>
      </c>
      <c r="FG76" s="590">
        <f t="shared" si="49"/>
        <v>128753.70841666662</v>
      </c>
      <c r="FH76" s="589">
        <f>+FH75</f>
        <v>16960.300000000007</v>
      </c>
      <c r="FI76" s="564">
        <f>+FI75</f>
        <v>16960.3</v>
      </c>
      <c r="FJ76" s="564">
        <f t="shared" si="28"/>
        <v>0</v>
      </c>
      <c r="FK76" s="590">
        <f t="shared" si="50"/>
        <v>16960.3</v>
      </c>
      <c r="FL76" s="589">
        <f>+FL75</f>
        <v>1462.7503333333334</v>
      </c>
      <c r="FM76" s="564">
        <f t="shared" si="82"/>
        <v>1253.7860000000001</v>
      </c>
      <c r="FN76" s="564">
        <f t="shared" si="106"/>
        <v>208.96433333333334</v>
      </c>
      <c r="FO76" s="590">
        <f t="shared" si="107"/>
        <v>1283.3176226541464</v>
      </c>
      <c r="FP76" s="589">
        <f>+FP75</f>
        <v>5041574.974999995</v>
      </c>
      <c r="FQ76" s="564">
        <f t="shared" si="83"/>
        <v>4033259.9799999995</v>
      </c>
      <c r="FR76" s="564">
        <f t="shared" si="108"/>
        <v>1008314.9949999955</v>
      </c>
      <c r="FS76" s="590">
        <f t="shared" si="109"/>
        <v>4175758.8336266498</v>
      </c>
      <c r="FT76" s="589">
        <f>+FT75</f>
        <v>84001.124833333364</v>
      </c>
      <c r="FU76" s="564">
        <f t="shared" si="84"/>
        <v>53053.342000000004</v>
      </c>
      <c r="FV76" s="564">
        <f t="shared" si="110"/>
        <v>30947.78283333336</v>
      </c>
      <c r="FW76" s="590">
        <f t="shared" si="111"/>
        <v>57426.998642918967</v>
      </c>
      <c r="FX76" s="589">
        <f>+FX75</f>
        <v>-85352.265500000023</v>
      </c>
      <c r="FY76" s="564">
        <f t="shared" si="85"/>
        <v>-53906.693999999974</v>
      </c>
      <c r="FZ76" s="564">
        <f t="shared" si="31"/>
        <v>-31445.571500000049</v>
      </c>
      <c r="GA76" s="590">
        <f t="shared" si="54"/>
        <v>-58350.700002692509</v>
      </c>
      <c r="GB76" s="589">
        <f>+GB75</f>
        <v>6100458.3768333383</v>
      </c>
      <c r="GC76" s="564">
        <f t="shared" si="86"/>
        <v>3327522.7509999997</v>
      </c>
      <c r="GD76" s="564">
        <f t="shared" si="32"/>
        <v>2772935.6258333386</v>
      </c>
      <c r="GE76" s="590">
        <f t="shared" si="55"/>
        <v>3719404.4048692361</v>
      </c>
      <c r="GF76" s="589">
        <f>+GF75</f>
        <v>95422.359749999945</v>
      </c>
      <c r="GG76" s="564">
        <f t="shared" si="87"/>
        <v>49785.578999999998</v>
      </c>
      <c r="GH76" s="564">
        <f t="shared" si="37"/>
        <v>45636.780749999947</v>
      </c>
      <c r="GI76" s="590">
        <f t="shared" si="56"/>
        <v>56235.139873669046</v>
      </c>
      <c r="GJ76" s="589">
        <f>+GJ75</f>
        <v>439015.4774999998</v>
      </c>
      <c r="GK76" s="564">
        <f t="shared" si="88"/>
        <v>175606.19100000002</v>
      </c>
      <c r="GL76" s="564">
        <f t="shared" si="38"/>
        <v>263409.28649999981</v>
      </c>
      <c r="GM76" s="590">
        <f t="shared" si="57"/>
        <v>212832.17846125364</v>
      </c>
      <c r="GN76" s="589">
        <f>+GN75</f>
        <v>12596597.652416669</v>
      </c>
      <c r="GO76" s="564">
        <f t="shared" si="89"/>
        <v>3686809.0689999992</v>
      </c>
      <c r="GP76" s="564">
        <f t="shared" si="58"/>
        <v>8909788.5834166706</v>
      </c>
      <c r="GQ76" s="590">
        <f t="shared" si="59"/>
        <v>4945973.7799172439</v>
      </c>
      <c r="GR76" s="589">
        <f>+GR75</f>
        <v>37464222.371333331</v>
      </c>
      <c r="GS76" s="564">
        <f t="shared" si="99"/>
        <v>8028047.6510000005</v>
      </c>
      <c r="GT76" s="564">
        <f t="shared" si="64"/>
        <v>29436174.72033333</v>
      </c>
      <c r="GU76" s="590">
        <f t="shared" si="69"/>
        <v>12188078.170829076</v>
      </c>
      <c r="GV76" s="672">
        <f>+GV75</f>
        <v>-270347.4250000001</v>
      </c>
      <c r="GW76" s="676">
        <f t="shared" si="100"/>
        <v>-53183.1</v>
      </c>
      <c r="GX76" s="676">
        <f t="shared" si="70"/>
        <v>-217164.3250000001</v>
      </c>
      <c r="GY76" s="1366">
        <f t="shared" si="90"/>
        <v>-83873.576204913988</v>
      </c>
      <c r="GZ76" s="672">
        <f>+GZ75</f>
        <v>692034.13333333342</v>
      </c>
      <c r="HA76" s="671">
        <f t="shared" si="101"/>
        <v>129756.4</v>
      </c>
      <c r="HB76" s="671">
        <f t="shared" si="71"/>
        <v>562277.7333333334</v>
      </c>
      <c r="HC76" s="1366">
        <f t="shared" si="91"/>
        <v>209219.5963395444</v>
      </c>
      <c r="HD76" s="672">
        <f>+HD75</f>
        <v>2677252.4916666672</v>
      </c>
      <c r="HE76" s="671">
        <f t="shared" si="105"/>
        <v>440096.3</v>
      </c>
      <c r="HF76" s="671">
        <f t="shared" si="92"/>
        <v>2237156.1916666673</v>
      </c>
      <c r="HG76" s="1366">
        <f t="shared" si="93"/>
        <v>756259.59646695794</v>
      </c>
      <c r="HI76" s="589"/>
      <c r="HJ76" s="564"/>
      <c r="HK76" s="564"/>
      <c r="HL76" s="590"/>
      <c r="HM76" s="589"/>
      <c r="HN76" s="564"/>
      <c r="HO76" s="564"/>
      <c r="HP76" s="590"/>
      <c r="HQ76" s="589"/>
      <c r="HR76" s="564"/>
      <c r="HS76" s="564"/>
      <c r="HT76" s="590"/>
    </row>
    <row r="77" spans="1:228">
      <c r="A77" s="649" t="s">
        <v>24</v>
      </c>
      <c r="B77" s="670">
        <v>2025</v>
      </c>
      <c r="C77" s="671">
        <f>+E76</f>
        <v>12370727.558522724</v>
      </c>
      <c r="D77" s="671">
        <f>+C$31</f>
        <v>445791.98409090913</v>
      </c>
      <c r="E77" s="671">
        <f t="shared" si="6"/>
        <v>11924935.574431814</v>
      </c>
      <c r="F77" s="653">
        <f>+C$28*E77+D77</f>
        <v>1818048.1733000819</v>
      </c>
      <c r="G77" s="671">
        <f>+I76</f>
        <v>3185620.6124999975</v>
      </c>
      <c r="H77" s="671">
        <f>+G$31</f>
        <v>115840.74954545456</v>
      </c>
      <c r="I77" s="671">
        <f t="shared" si="7"/>
        <v>3069779.862954543</v>
      </c>
      <c r="J77" s="653">
        <f>+G$28*I77+H77</f>
        <v>469094.18141146033</v>
      </c>
      <c r="K77" s="672">
        <f>+M76</f>
        <v>8169978.6103977198</v>
      </c>
      <c r="L77" s="671">
        <f>+K$31</f>
        <v>305419.76113636367</v>
      </c>
      <c r="M77" s="671">
        <f t="shared" si="8"/>
        <v>7864558.8492613565</v>
      </c>
      <c r="N77" s="653">
        <f>+K$28*M77+L77</f>
        <v>1210430.0640379691</v>
      </c>
      <c r="O77" s="672">
        <f>+Q76</f>
        <v>3440287.174242422</v>
      </c>
      <c r="P77" s="671">
        <f>+O$31</f>
        <v>119316.31818181818</v>
      </c>
      <c r="Q77" s="671">
        <f t="shared" si="11"/>
        <v>3320970.8560606036</v>
      </c>
      <c r="R77" s="653">
        <f>+O$28*Q77+P77</f>
        <v>501475.43199569598</v>
      </c>
      <c r="S77" s="589">
        <f>+U76</f>
        <v>1584243.3315151492</v>
      </c>
      <c r="T77" s="564">
        <f>+S$31</f>
        <v>58315.705454545445</v>
      </c>
      <c r="U77" s="564">
        <f t="shared" si="12"/>
        <v>1525927.6260606037</v>
      </c>
      <c r="V77" s="590">
        <f>+S$28*U77+T77</f>
        <v>233911.08842974398</v>
      </c>
      <c r="W77" s="589">
        <f>+Y76</f>
        <v>19989965.859848488</v>
      </c>
      <c r="X77" s="564">
        <f>+W$31</f>
        <v>693293.61363636365</v>
      </c>
      <c r="Y77" s="564">
        <f t="shared" si="13"/>
        <v>19296672.246212125</v>
      </c>
      <c r="Z77" s="590">
        <f>+W$28*Y77+X77</f>
        <v>2913848.8322138982</v>
      </c>
      <c r="AA77" s="589">
        <f>+AC76</f>
        <v>13036596.126893936</v>
      </c>
      <c r="AB77" s="564">
        <f>+AA$31</f>
        <v>450833.29545454547</v>
      </c>
      <c r="AC77" s="564">
        <f t="shared" si="14"/>
        <v>12585762.831439391</v>
      </c>
      <c r="AD77" s="590">
        <f>+AA$28*AC77+AB77</f>
        <v>1899133.8614040909</v>
      </c>
      <c r="AE77" s="589">
        <f>+AG76</f>
        <v>131039.76136363651</v>
      </c>
      <c r="AF77" s="564">
        <f>+AE$31</f>
        <v>4597.886363636364</v>
      </c>
      <c r="AG77" s="564">
        <f t="shared" si="15"/>
        <v>126441.87500000015</v>
      </c>
      <c r="AH77" s="590">
        <f>+AE$28*AG77+AF77</f>
        <v>19148.123927685425</v>
      </c>
      <c r="AI77" s="589">
        <f>+AK76</f>
        <v>8817165.0492424257</v>
      </c>
      <c r="AJ77" s="564">
        <f>+AI$31</f>
        <v>295547.43181818182</v>
      </c>
      <c r="AK77" s="564">
        <f t="shared" si="19"/>
        <v>8521617.6174242441</v>
      </c>
      <c r="AL77" s="590">
        <f>+AI$28*AK77+AJ77</f>
        <v>1276168.4544304165</v>
      </c>
      <c r="AM77" s="589">
        <f>+AO76</f>
        <v>3270574.012613636</v>
      </c>
      <c r="AN77" s="564">
        <f>+AM$31</f>
        <v>110866.91568181818</v>
      </c>
      <c r="AO77" s="564">
        <f t="shared" si="16"/>
        <v>3159707.0969318179</v>
      </c>
      <c r="AP77" s="590">
        <f>+AM$28*AO77+AN77</f>
        <v>474468.68047034007</v>
      </c>
      <c r="AQ77" s="589">
        <f>+AS76</f>
        <v>26921734.05886364</v>
      </c>
      <c r="AR77" s="564">
        <f>+AQ$31</f>
        <v>904932.23727272719</v>
      </c>
      <c r="AS77" s="564">
        <f t="shared" si="17"/>
        <v>26016801.821590912</v>
      </c>
      <c r="AT77" s="590">
        <f>+AQ$28*AS77+AR77</f>
        <v>3898803.1139971646</v>
      </c>
      <c r="AU77" s="671"/>
      <c r="AV77" s="671"/>
      <c r="AW77" s="671"/>
      <c r="AX77" s="653"/>
      <c r="AY77" s="671"/>
      <c r="AZ77" s="671"/>
      <c r="BA77" s="671"/>
      <c r="BB77" s="653"/>
      <c r="BC77" s="671"/>
      <c r="BD77" s="671"/>
      <c r="BE77" s="671"/>
      <c r="BF77" s="653"/>
      <c r="BG77" s="671"/>
      <c r="BH77" s="671"/>
      <c r="BI77" s="671"/>
      <c r="BJ77" s="653"/>
      <c r="BK77" s="671"/>
      <c r="BL77" s="671"/>
      <c r="BM77" s="671"/>
      <c r="BN77" s="653"/>
      <c r="BO77" s="671"/>
      <c r="BP77" s="671"/>
      <c r="BQ77" s="671"/>
      <c r="BR77" s="653"/>
      <c r="BS77" s="589">
        <f>+BU76</f>
        <v>249326.59090909106</v>
      </c>
      <c r="BT77" s="564">
        <f>+BS$31</f>
        <v>8310.886363636364</v>
      </c>
      <c r="BU77" s="564">
        <f t="shared" si="18"/>
        <v>241015.7045454547</v>
      </c>
      <c r="BV77" s="590">
        <f>+BS$28*BU77+BT77</f>
        <v>36045.651905534731</v>
      </c>
      <c r="BW77" s="589">
        <f>+BY76</f>
        <v>17449447.125000007</v>
      </c>
      <c r="BX77" s="564">
        <f>+BW$31</f>
        <v>576841.22727272729</v>
      </c>
      <c r="BY77" s="564">
        <f t="shared" si="20"/>
        <v>16872605.897727281</v>
      </c>
      <c r="BZ77" s="590">
        <f>+BW$28*BY77+BX77</f>
        <v>2518448.1841175775</v>
      </c>
      <c r="CA77" s="589">
        <f>+CC76</f>
        <v>1646626.080000001</v>
      </c>
      <c r="CB77" s="564">
        <f>+CA$31</f>
        <v>54433.919999999998</v>
      </c>
      <c r="CC77" s="564">
        <f t="shared" si="21"/>
        <v>1592192.1600000011</v>
      </c>
      <c r="CD77" s="590">
        <f>+CA$28*CC77+CB77</f>
        <v>237654.66214429674</v>
      </c>
      <c r="CE77" s="589">
        <f>+CG76</f>
        <v>142932.13000000009</v>
      </c>
      <c r="CF77" s="564">
        <f>+CE$31</f>
        <v>4725.0290909090909</v>
      </c>
      <c r="CG77" s="564">
        <f t="shared" si="22"/>
        <v>138207.10090909101</v>
      </c>
      <c r="CH77" s="590">
        <f>+CE$28*CG77+CF77</f>
        <v>20629.144331732379</v>
      </c>
      <c r="CI77" s="589">
        <f>+CK76</f>
        <v>386335.22727272706</v>
      </c>
      <c r="CJ77" s="564">
        <f>+CI$31</f>
        <v>12362.727272727272</v>
      </c>
      <c r="CK77" s="564">
        <f t="shared" si="24"/>
        <v>373972.49999999977</v>
      </c>
      <c r="CL77" s="590">
        <f>+CI$28*CK77+CJ77</f>
        <v>55397.431696568885</v>
      </c>
      <c r="CM77" s="589">
        <f>+CO76</f>
        <v>17291976.446875002</v>
      </c>
      <c r="CN77" s="564">
        <f>+CM$31</f>
        <v>483691.64886363636</v>
      </c>
      <c r="CO77" s="564">
        <f t="shared" si="34"/>
        <v>16808284.798011366</v>
      </c>
      <c r="CP77" s="590">
        <f>+CM$28*CO77+CN77</f>
        <v>2417896.8862919766</v>
      </c>
      <c r="CQ77" s="589">
        <f>+CS76</f>
        <v>72134060.724374965</v>
      </c>
      <c r="CR77" s="564">
        <f>+CQ$31</f>
        <v>2017735.9643181816</v>
      </c>
      <c r="CS77" s="564">
        <f t="shared" si="40"/>
        <v>70116324.760056779</v>
      </c>
      <c r="CT77" s="590">
        <f>+CQ$28*CS77+CR77</f>
        <v>10086338.097724067</v>
      </c>
      <c r="CU77" s="589">
        <f>+CW76</f>
        <v>24343033.410000011</v>
      </c>
      <c r="CV77" s="564">
        <f>+CU$31</f>
        <v>676195.37250000006</v>
      </c>
      <c r="CW77" s="564">
        <f t="shared" si="41"/>
        <v>23666838.037500013</v>
      </c>
      <c r="CX77" s="590">
        <f>+CU$28*CW77+CV77</f>
        <v>3399645.3042215714</v>
      </c>
      <c r="CY77" s="589">
        <f>+DA76</f>
        <v>26780.921022727318</v>
      </c>
      <c r="CZ77" s="564">
        <f>+CY$31</f>
        <v>733.72386363636497</v>
      </c>
      <c r="DA77" s="564">
        <f t="shared" si="42"/>
        <v>26047.197159090952</v>
      </c>
      <c r="DB77" s="590">
        <f>+CY$28*DA77+CZ77</f>
        <v>3731.0924691113846</v>
      </c>
      <c r="DC77" s="589">
        <f>+DE76</f>
        <v>1614236.8863636369</v>
      </c>
      <c r="DD77" s="564">
        <f>+DC$31</f>
        <v>44530.672727272722</v>
      </c>
      <c r="DE77" s="564">
        <f t="shared" si="43"/>
        <v>1569706.2136363643</v>
      </c>
      <c r="DF77" s="590">
        <f>+DC$28*DE77+DD77</f>
        <v>225163.85547763153</v>
      </c>
      <c r="DG77" s="589">
        <f>+DI76</f>
        <v>899340.81261363602</v>
      </c>
      <c r="DH77" s="564">
        <f>+DG$31</f>
        <v>24639.474318181816</v>
      </c>
      <c r="DI77" s="564">
        <f t="shared" si="44"/>
        <v>874701.33829545416</v>
      </c>
      <c r="DJ77" s="590">
        <f>+DG$28*DI77+DH77</f>
        <v>125295.30744142907</v>
      </c>
      <c r="DK77" s="589">
        <f>+DM76</f>
        <v>19879326.920568183</v>
      </c>
      <c r="DL77" s="564">
        <f>+DK$31</f>
        <v>549658.80886363634</v>
      </c>
      <c r="DM77" s="564">
        <f t="shared" si="45"/>
        <v>19329668.111704547</v>
      </c>
      <c r="DN77" s="590">
        <f>+DK$28*DM77+DL77</f>
        <v>2774011.0106917452</v>
      </c>
      <c r="DO77" s="589">
        <f>+DQ76</f>
        <v>728195.49359848443</v>
      </c>
      <c r="DP77" s="564">
        <f t="shared" si="95"/>
        <v>19592.703863636354</v>
      </c>
      <c r="DQ77" s="564">
        <f t="shared" si="60"/>
        <v>708602.78973484808</v>
      </c>
      <c r="DR77" s="590">
        <f t="shared" si="65"/>
        <v>101134.82690784092</v>
      </c>
      <c r="DS77" s="589">
        <f>+DU76</f>
        <v>311090.72727272619</v>
      </c>
      <c r="DT77" s="564">
        <f t="shared" si="96"/>
        <v>8295.7527272726966</v>
      </c>
      <c r="DU77" s="564">
        <f t="shared" si="61"/>
        <v>302794.9745454535</v>
      </c>
      <c r="DV77" s="590">
        <f t="shared" si="66"/>
        <v>43139.7378614423</v>
      </c>
      <c r="DW77" s="589">
        <f>+DY76</f>
        <v>45510.686988636342</v>
      </c>
      <c r="DX77" s="564">
        <f t="shared" si="97"/>
        <v>1221.7634090909089</v>
      </c>
      <c r="DY77" s="564">
        <f t="shared" si="62"/>
        <v>44288.92357954543</v>
      </c>
      <c r="DZ77" s="590">
        <f t="shared" si="67"/>
        <v>6318.2898528691221</v>
      </c>
      <c r="EA77" s="589">
        <f>+EC76</f>
        <v>-269978.10198863811</v>
      </c>
      <c r="EB77" s="564">
        <f t="shared" si="98"/>
        <v>-7120.3015909091364</v>
      </c>
      <c r="EC77" s="564">
        <f t="shared" si="63"/>
        <v>-262857.80039772898</v>
      </c>
      <c r="ED77" s="590">
        <f t="shared" si="68"/>
        <v>-37368.535740792962</v>
      </c>
      <c r="EE77" s="589">
        <f>+EG76</f>
        <v>7572286.2399999993</v>
      </c>
      <c r="EF77" s="564">
        <f t="shared" si="102"/>
        <v>192108.74181818182</v>
      </c>
      <c r="EG77" s="564">
        <f t="shared" si="72"/>
        <v>7380177.4981818171</v>
      </c>
      <c r="EH77" s="590">
        <f t="shared" si="73"/>
        <v>1041379.0951990896</v>
      </c>
      <c r="EI77" s="589">
        <f>+EK76</f>
        <v>305517.83723484841</v>
      </c>
      <c r="EJ77" s="564">
        <f t="shared" si="103"/>
        <v>7669.903863636363</v>
      </c>
      <c r="EK77" s="564">
        <f t="shared" si="74"/>
        <v>297847.93337121204</v>
      </c>
      <c r="EL77" s="590">
        <f t="shared" si="75"/>
        <v>41944.610629193157</v>
      </c>
      <c r="EM77" s="589">
        <f>+EO76</f>
        <v>10424301.727272728</v>
      </c>
      <c r="EN77" s="564">
        <f t="shared" si="104"/>
        <v>260607.54318181818</v>
      </c>
      <c r="EO77" s="564">
        <f t="shared" si="76"/>
        <v>10163694.18409091</v>
      </c>
      <c r="EP77" s="590">
        <f t="shared" si="77"/>
        <v>1430189.7318900004</v>
      </c>
      <c r="EQ77" s="678">
        <f t="shared" si="94"/>
        <v>39241524.390731432</v>
      </c>
      <c r="ER77" s="652"/>
      <c r="ES77" s="674">
        <f>+EQ77</f>
        <v>39241524.390731432</v>
      </c>
      <c r="EV77" s="589"/>
      <c r="EW77" s="564"/>
      <c r="EX77" s="564"/>
      <c r="EY77" s="590"/>
      <c r="EZ77" s="589"/>
      <c r="FA77" s="564"/>
      <c r="FB77" s="564"/>
      <c r="FC77" s="590"/>
      <c r="FD77" s="589"/>
      <c r="FE77" s="564"/>
      <c r="FF77" s="564"/>
      <c r="FG77" s="590"/>
      <c r="FH77" s="589"/>
      <c r="FI77" s="564"/>
      <c r="FJ77" s="564"/>
      <c r="FK77" s="590"/>
      <c r="FL77" s="589">
        <f>+FN76</f>
        <v>208.96433333333334</v>
      </c>
      <c r="FM77" s="564">
        <f>+FL$31/12*(12-10)</f>
        <v>208.96433333333334</v>
      </c>
      <c r="FN77" s="564">
        <f t="shared" ref="FN77:FN78" si="112">+FL77-FM77</f>
        <v>0</v>
      </c>
      <c r="FO77" s="590">
        <f t="shared" ref="FO77:FO78" si="113">+FL$29*FN77+FM77</f>
        <v>208.96433333333334</v>
      </c>
      <c r="FP77" s="589">
        <f>+FR76</f>
        <v>1008314.9949999955</v>
      </c>
      <c r="FQ77" s="564">
        <f>+FP$31/12*(12-9)</f>
        <v>1008314.9949999999</v>
      </c>
      <c r="FR77" s="564">
        <f>+FP77-FQ77</f>
        <v>-4.4237822294235229E-9</v>
      </c>
      <c r="FS77" s="590">
        <f>+FP$29*FR77+FQ77</f>
        <v>1008314.9949999993</v>
      </c>
      <c r="FT77" s="589">
        <f>+FV76</f>
        <v>30947.78283333336</v>
      </c>
      <c r="FU77" s="564">
        <f>+FT$31/12*(12-5)</f>
        <v>30947.782833333335</v>
      </c>
      <c r="FV77" s="564">
        <f>+FT77-FU77</f>
        <v>0</v>
      </c>
      <c r="FW77" s="590">
        <f>+FT$29*FV77+FU77</f>
        <v>30947.782833333335</v>
      </c>
      <c r="FX77" s="589">
        <f>+FZ76</f>
        <v>-31445.571500000049</v>
      </c>
      <c r="FY77" s="564">
        <f>+FX$31/12*(12-5)</f>
        <v>-31445.571499999984</v>
      </c>
      <c r="FZ77" s="564">
        <f>+FX77-FY77</f>
        <v>-6.5483618527650833E-11</v>
      </c>
      <c r="GA77" s="590">
        <f>+FX$29*FZ77+FY77</f>
        <v>-31445.571499999995</v>
      </c>
      <c r="GB77" s="589">
        <f>+GD76</f>
        <v>2772935.6258333386</v>
      </c>
      <c r="GC77" s="564">
        <f>+GB$31/12*(12-2)</f>
        <v>2772935.625833333</v>
      </c>
      <c r="GD77" s="564">
        <f>+GB77-GC77</f>
        <v>5.5879354476928711E-9</v>
      </c>
      <c r="GE77" s="590">
        <f>+GB$29*GD77+GC77</f>
        <v>2772935.6258333339</v>
      </c>
      <c r="GF77" s="589">
        <f>+GH76</f>
        <v>45636.780749999947</v>
      </c>
      <c r="GG77" s="564">
        <f>+GF$31/12*(12-1)</f>
        <v>45636.780749999998</v>
      </c>
      <c r="GH77" s="564">
        <f>+GF77-GG77</f>
        <v>0</v>
      </c>
      <c r="GI77" s="590">
        <f>+GF$29*GH77+GG77</f>
        <v>45636.780749999998</v>
      </c>
      <c r="GJ77" s="589">
        <f>+GL76</f>
        <v>263409.28649999981</v>
      </c>
      <c r="GK77" s="564">
        <f>+GK75</f>
        <v>175606.19100000002</v>
      </c>
      <c r="GL77" s="564">
        <f>+GJ77-GK77</f>
        <v>87803.095499999792</v>
      </c>
      <c r="GM77" s="590">
        <f>+GJ$29*GL77+GK77</f>
        <v>188014.85348708456</v>
      </c>
      <c r="GN77" s="589">
        <f>+GP76</f>
        <v>8909788.5834166706</v>
      </c>
      <c r="GO77" s="564">
        <f>+GO75</f>
        <v>3686809.0689999992</v>
      </c>
      <c r="GP77" s="564">
        <f t="shared" ref="GP77:GP82" si="114">+GN77-GO77</f>
        <v>5222979.5144166714</v>
      </c>
      <c r="GQ77" s="590">
        <f t="shared" ref="GQ77:GQ82" si="115">+GN$29*GP77+GO77</f>
        <v>4424940.1064342465</v>
      </c>
      <c r="GR77" s="589">
        <f>+GT76</f>
        <v>29436174.72033333</v>
      </c>
      <c r="GS77" s="564">
        <f t="shared" si="99"/>
        <v>8028047.6510000005</v>
      </c>
      <c r="GT77" s="564">
        <f t="shared" si="64"/>
        <v>21408127.06933333</v>
      </c>
      <c r="GU77" s="590">
        <f t="shared" si="69"/>
        <v>11053524.392693873</v>
      </c>
      <c r="GV77" s="672">
        <f>+GX76</f>
        <v>-217164.3250000001</v>
      </c>
      <c r="GW77" s="676">
        <f t="shared" si="100"/>
        <v>-53183.1</v>
      </c>
      <c r="GX77" s="676">
        <f t="shared" si="70"/>
        <v>-163981.22500000009</v>
      </c>
      <c r="GY77" s="1366">
        <f t="shared" si="90"/>
        <v>-76357.541215955454</v>
      </c>
      <c r="GZ77" s="672">
        <f>+HB76</f>
        <v>562277.7333333334</v>
      </c>
      <c r="HA77" s="671">
        <f t="shared" si="101"/>
        <v>129756.4</v>
      </c>
      <c r="HB77" s="671">
        <f t="shared" si="71"/>
        <v>432521.33333333337</v>
      </c>
      <c r="HC77" s="1366">
        <f t="shared" si="91"/>
        <v>190881.93564580337</v>
      </c>
      <c r="HD77" s="672">
        <f>+HF76</f>
        <v>2237156.1916666673</v>
      </c>
      <c r="HE77" s="671">
        <f t="shared" si="105"/>
        <v>440096.3</v>
      </c>
      <c r="HF77" s="671">
        <f t="shared" si="92"/>
        <v>1797059.8916666673</v>
      </c>
      <c r="HG77" s="1366">
        <f t="shared" si="93"/>
        <v>694063.53814558918</v>
      </c>
      <c r="HI77" s="589"/>
      <c r="HJ77" s="564"/>
      <c r="HK77" s="564"/>
      <c r="HL77" s="590"/>
      <c r="HM77" s="589"/>
      <c r="HN77" s="564"/>
      <c r="HO77" s="564"/>
      <c r="HP77" s="590"/>
      <c r="HQ77" s="589"/>
      <c r="HR77" s="564"/>
      <c r="HS77" s="564"/>
      <c r="HT77" s="590"/>
    </row>
    <row r="78" spans="1:228">
      <c r="A78" s="649" t="s">
        <v>23</v>
      </c>
      <c r="B78" s="670">
        <v>2025</v>
      </c>
      <c r="C78" s="671">
        <f>+C77</f>
        <v>12370727.558522724</v>
      </c>
      <c r="D78" s="671">
        <f>+D77</f>
        <v>445791.98409090913</v>
      </c>
      <c r="E78" s="671">
        <f t="shared" si="6"/>
        <v>11924935.574431814</v>
      </c>
      <c r="F78" s="653">
        <f>+C$29*E78+D78</f>
        <v>1890827.3124355981</v>
      </c>
      <c r="G78" s="671">
        <f>+G77</f>
        <v>3185620.6124999975</v>
      </c>
      <c r="H78" s="671">
        <f>+H77</f>
        <v>115840.74954545456</v>
      </c>
      <c r="I78" s="671">
        <f t="shared" si="7"/>
        <v>3069779.862954543</v>
      </c>
      <c r="J78" s="653">
        <f>+G$29*I78+H78</f>
        <v>487829.37158224831</v>
      </c>
      <c r="K78" s="672">
        <f>+K77</f>
        <v>8169978.6103977198</v>
      </c>
      <c r="L78" s="671">
        <f>+L77</f>
        <v>305419.76113636367</v>
      </c>
      <c r="M78" s="671">
        <f t="shared" si="8"/>
        <v>7864558.8492613565</v>
      </c>
      <c r="N78" s="653">
        <f>+K$29*M78+L78</f>
        <v>1258428.2959074203</v>
      </c>
      <c r="O78" s="672">
        <f>+O77</f>
        <v>3440287.174242422</v>
      </c>
      <c r="P78" s="671">
        <f>+P77</f>
        <v>119316.31818181818</v>
      </c>
      <c r="Q78" s="671">
        <f t="shared" si="11"/>
        <v>3320970.8560606036</v>
      </c>
      <c r="R78" s="653">
        <f>+O$29*Q78+P78</f>
        <v>521743.66728213651</v>
      </c>
      <c r="S78" s="589">
        <f>+S77</f>
        <v>1584243.3315151492</v>
      </c>
      <c r="T78" s="564">
        <f>+T77</f>
        <v>58315.705454545445</v>
      </c>
      <c r="U78" s="564">
        <f t="shared" si="12"/>
        <v>1525927.6260606037</v>
      </c>
      <c r="V78" s="590">
        <f>+S$29*U78+T78</f>
        <v>243223.98562022494</v>
      </c>
      <c r="W78" s="589">
        <f>+W77</f>
        <v>19989965.859848488</v>
      </c>
      <c r="X78" s="564">
        <f>+X77</f>
        <v>693293.61363636365</v>
      </c>
      <c r="Y78" s="564">
        <f t="shared" si="13"/>
        <v>19296672.246212125</v>
      </c>
      <c r="Z78" s="590">
        <f>+W$29*Y78+X78</f>
        <v>3031618.4575082003</v>
      </c>
      <c r="AA78" s="589">
        <f>+AA77</f>
        <v>13036596.126893936</v>
      </c>
      <c r="AB78" s="564">
        <f>+AB77</f>
        <v>450833.29545454547</v>
      </c>
      <c r="AC78" s="564">
        <f t="shared" si="14"/>
        <v>12585762.831439391</v>
      </c>
      <c r="AD78" s="590">
        <f>+AA$29*AC78+AB78</f>
        <v>1975946.0989645089</v>
      </c>
      <c r="AE78" s="589">
        <f>+AE77</f>
        <v>131039.76136363651</v>
      </c>
      <c r="AF78" s="564">
        <f>+AF77</f>
        <v>4597.886363636364</v>
      </c>
      <c r="AG78" s="564">
        <f t="shared" si="15"/>
        <v>126441.87500000015</v>
      </c>
      <c r="AH78" s="590">
        <f>+AE$29*AG78+AF78</f>
        <v>19919.812022412851</v>
      </c>
      <c r="AI78" s="589">
        <f>+AI77</f>
        <v>8817165.0492424257</v>
      </c>
      <c r="AJ78" s="564">
        <f>+AJ77</f>
        <v>295547.43181818182</v>
      </c>
      <c r="AK78" s="564">
        <f t="shared" si="19"/>
        <v>8521617.6174242441</v>
      </c>
      <c r="AL78" s="590">
        <f>+AI$29*AK78+AJ78</f>
        <v>1328176.7852400139</v>
      </c>
      <c r="AM78" s="589">
        <f>+AM77</f>
        <v>3270574.012613636</v>
      </c>
      <c r="AN78" s="564">
        <f>+AN77</f>
        <v>110866.91568181818</v>
      </c>
      <c r="AO78" s="564">
        <f t="shared" si="16"/>
        <v>3159707.0969318179</v>
      </c>
      <c r="AP78" s="590">
        <f>+AM$29*AO78+AN78</f>
        <v>493752.70603171398</v>
      </c>
      <c r="AQ78" s="589">
        <f>+AQ77</f>
        <v>26921734.05886364</v>
      </c>
      <c r="AR78" s="564">
        <f>+AR77</f>
        <v>904932.23727272719</v>
      </c>
      <c r="AS78" s="564">
        <f t="shared" si="17"/>
        <v>26016801.821590912</v>
      </c>
      <c r="AT78" s="590">
        <f>+AQ$29*AS78+AR78</f>
        <v>4057586.3986376715</v>
      </c>
      <c r="AU78" s="671"/>
      <c r="AV78" s="671"/>
      <c r="AW78" s="671"/>
      <c r="AX78" s="653"/>
      <c r="AY78" s="671"/>
      <c r="AZ78" s="671"/>
      <c r="BA78" s="671"/>
      <c r="BB78" s="653"/>
      <c r="BC78" s="671"/>
      <c r="BD78" s="671"/>
      <c r="BE78" s="671"/>
      <c r="BF78" s="653"/>
      <c r="BG78" s="671"/>
      <c r="BH78" s="671"/>
      <c r="BI78" s="671"/>
      <c r="BJ78" s="653"/>
      <c r="BK78" s="671"/>
      <c r="BL78" s="671"/>
      <c r="BM78" s="671"/>
      <c r="BN78" s="653"/>
      <c r="BO78" s="671"/>
      <c r="BP78" s="671"/>
      <c r="BQ78" s="671"/>
      <c r="BR78" s="653"/>
      <c r="BS78" s="589">
        <f>+BS77</f>
        <v>249326.59090909106</v>
      </c>
      <c r="BT78" s="564">
        <f>+BT77</f>
        <v>8310.886363636364</v>
      </c>
      <c r="BU78" s="564">
        <f t="shared" si="18"/>
        <v>241015.7045454547</v>
      </c>
      <c r="BV78" s="590">
        <f>+BS$29*BU78+BT78</f>
        <v>37516.596162254034</v>
      </c>
      <c r="BW78" s="589">
        <f>+BW77</f>
        <v>17449447.125000007</v>
      </c>
      <c r="BX78" s="564">
        <f>+BX77</f>
        <v>576841.22727272729</v>
      </c>
      <c r="BY78" s="564">
        <f t="shared" si="20"/>
        <v>16872605.897727281</v>
      </c>
      <c r="BZ78" s="590">
        <f>+BW$29*BY78+BX78</f>
        <v>2518448.1841175775</v>
      </c>
      <c r="CA78" s="589">
        <f>+CA77</f>
        <v>1646626.080000001</v>
      </c>
      <c r="CB78" s="564">
        <f>+CB77</f>
        <v>54433.919999999998</v>
      </c>
      <c r="CC78" s="564">
        <f t="shared" si="21"/>
        <v>1592192.1600000011</v>
      </c>
      <c r="CD78" s="590">
        <f>+CA$29*CC78+CB78</f>
        <v>247371.97877211758</v>
      </c>
      <c r="CE78" s="589">
        <f>+CE77</f>
        <v>142932.13000000009</v>
      </c>
      <c r="CF78" s="564">
        <f>+CF77</f>
        <v>4725.0290909090909</v>
      </c>
      <c r="CG78" s="564">
        <f t="shared" si="22"/>
        <v>138207.10090909101</v>
      </c>
      <c r="CH78" s="590">
        <f>+CE$29*CG78+CF78</f>
        <v>21472.636840668496</v>
      </c>
      <c r="CI78" s="589">
        <f>+CI77</f>
        <v>386335.22727272706</v>
      </c>
      <c r="CJ78" s="564">
        <f>+CJ77</f>
        <v>12362.727272727272</v>
      </c>
      <c r="CK78" s="564">
        <f t="shared" si="24"/>
        <v>373972.49999999977</v>
      </c>
      <c r="CL78" s="590">
        <f>+CI$29*CK78+CJ78</f>
        <v>55397.431696568885</v>
      </c>
      <c r="CM78" s="589">
        <f>+CM77</f>
        <v>17291976.446875002</v>
      </c>
      <c r="CN78" s="564">
        <f>+CN77</f>
        <v>483691.64886363636</v>
      </c>
      <c r="CO78" s="564">
        <f t="shared" si="34"/>
        <v>16808284.798011366</v>
      </c>
      <c r="CP78" s="590">
        <f>+CM$29*CO78+CN78</f>
        <v>2417896.8862919766</v>
      </c>
      <c r="CQ78" s="589">
        <f>+CQ77</f>
        <v>72134060.724374965</v>
      </c>
      <c r="CR78" s="564">
        <f>+CR77</f>
        <v>2017735.9643181816</v>
      </c>
      <c r="CS78" s="564">
        <f t="shared" si="40"/>
        <v>70116324.760056779</v>
      </c>
      <c r="CT78" s="590">
        <f>+CQ$29*CS78+CR78</f>
        <v>10086338.097724067</v>
      </c>
      <c r="CU78" s="589">
        <f>+CU77</f>
        <v>24343033.410000011</v>
      </c>
      <c r="CV78" s="564">
        <f>+CV77</f>
        <v>676195.37250000006</v>
      </c>
      <c r="CW78" s="564">
        <f t="shared" si="41"/>
        <v>23666838.037500013</v>
      </c>
      <c r="CX78" s="590">
        <f>+CU$29*CW78+CV78</f>
        <v>3399645.3042215714</v>
      </c>
      <c r="CY78" s="589">
        <f>+CY77</f>
        <v>26780.921022727318</v>
      </c>
      <c r="CZ78" s="564">
        <f>+CZ77</f>
        <v>733.72386363636497</v>
      </c>
      <c r="DA78" s="564">
        <f t="shared" si="42"/>
        <v>26047.197159090952</v>
      </c>
      <c r="DB78" s="590">
        <f>+CY$29*DA78+CZ78</f>
        <v>3731.0924691113846</v>
      </c>
      <c r="DC78" s="589">
        <f>+DC77</f>
        <v>1614236.8863636369</v>
      </c>
      <c r="DD78" s="564">
        <f>+DD77</f>
        <v>44530.672727272722</v>
      </c>
      <c r="DE78" s="564">
        <f t="shared" si="43"/>
        <v>1569706.2136363643</v>
      </c>
      <c r="DF78" s="590">
        <f>+DC$29*DE78+DD78</f>
        <v>225163.85547763153</v>
      </c>
      <c r="DG78" s="589">
        <f>+DG77</f>
        <v>899340.81261363602</v>
      </c>
      <c r="DH78" s="564">
        <f>+DH77</f>
        <v>24639.474318181816</v>
      </c>
      <c r="DI78" s="564">
        <f t="shared" si="44"/>
        <v>874701.33829545416</v>
      </c>
      <c r="DJ78" s="590">
        <f>+DG$29*DI78+DH78</f>
        <v>125295.30744142907</v>
      </c>
      <c r="DK78" s="589">
        <f>+DK77</f>
        <v>19879326.920568183</v>
      </c>
      <c r="DL78" s="564">
        <f>+DL77</f>
        <v>549658.80886363634</v>
      </c>
      <c r="DM78" s="564">
        <f t="shared" si="45"/>
        <v>19329668.111704547</v>
      </c>
      <c r="DN78" s="590">
        <f>+DK$29*DM78+DL78</f>
        <v>2774011.0106917452</v>
      </c>
      <c r="DO78" s="589">
        <f>+DO77</f>
        <v>728195.49359848443</v>
      </c>
      <c r="DP78" s="564">
        <f t="shared" si="95"/>
        <v>19592.703863636354</v>
      </c>
      <c r="DQ78" s="564">
        <f t="shared" si="60"/>
        <v>708602.78973484808</v>
      </c>
      <c r="DR78" s="590">
        <f t="shared" si="65"/>
        <v>101134.82690784092</v>
      </c>
      <c r="DS78" s="589">
        <f>+DS77</f>
        <v>311090.72727272619</v>
      </c>
      <c r="DT78" s="564">
        <f t="shared" si="96"/>
        <v>8295.7527272726966</v>
      </c>
      <c r="DU78" s="564">
        <f t="shared" si="61"/>
        <v>302794.9745454535</v>
      </c>
      <c r="DV78" s="590">
        <f t="shared" si="66"/>
        <v>43139.7378614423</v>
      </c>
      <c r="DW78" s="589">
        <f>+DW77</f>
        <v>45510.686988636342</v>
      </c>
      <c r="DX78" s="564">
        <f t="shared" si="97"/>
        <v>1221.7634090909089</v>
      </c>
      <c r="DY78" s="564">
        <f t="shared" si="62"/>
        <v>44288.92357954543</v>
      </c>
      <c r="DZ78" s="590">
        <f t="shared" si="67"/>
        <v>6318.2898528691221</v>
      </c>
      <c r="EA78" s="589">
        <f>+EA77</f>
        <v>-269978.10198863811</v>
      </c>
      <c r="EB78" s="564">
        <f t="shared" si="98"/>
        <v>-7120.3015909091364</v>
      </c>
      <c r="EC78" s="564">
        <f t="shared" si="63"/>
        <v>-262857.80039772898</v>
      </c>
      <c r="ED78" s="590">
        <f t="shared" si="68"/>
        <v>-37368.535740792962</v>
      </c>
      <c r="EE78" s="589">
        <f>+EE77</f>
        <v>7572286.2399999993</v>
      </c>
      <c r="EF78" s="564">
        <f t="shared" si="102"/>
        <v>192108.74181818182</v>
      </c>
      <c r="EG78" s="564">
        <f t="shared" si="72"/>
        <v>7380177.4981818171</v>
      </c>
      <c r="EH78" s="590">
        <f t="shared" si="73"/>
        <v>1041379.0951990896</v>
      </c>
      <c r="EI78" s="589">
        <f>+EI77</f>
        <v>305517.83723484841</v>
      </c>
      <c r="EJ78" s="564">
        <f t="shared" si="103"/>
        <v>7669.903863636363</v>
      </c>
      <c r="EK78" s="564">
        <f t="shared" si="74"/>
        <v>297847.93337121204</v>
      </c>
      <c r="EL78" s="590">
        <f t="shared" si="75"/>
        <v>41944.610629193157</v>
      </c>
      <c r="EM78" s="589">
        <f>+EM77</f>
        <v>10424301.727272728</v>
      </c>
      <c r="EN78" s="564">
        <f t="shared" si="104"/>
        <v>260607.54318181818</v>
      </c>
      <c r="EO78" s="564">
        <f t="shared" si="76"/>
        <v>10163694.18409091</v>
      </c>
      <c r="EP78" s="590">
        <f t="shared" si="77"/>
        <v>1430189.7318900004</v>
      </c>
      <c r="EQ78" s="678">
        <f t="shared" si="94"/>
        <v>39848079.029738516</v>
      </c>
      <c r="ER78" s="675">
        <f>+EQ78</f>
        <v>39848079.029738516</v>
      </c>
      <c r="ES78" s="648"/>
      <c r="EV78" s="589"/>
      <c r="EW78" s="564"/>
      <c r="EX78" s="564"/>
      <c r="EY78" s="590"/>
      <c r="EZ78" s="589"/>
      <c r="FA78" s="564"/>
      <c r="FB78" s="564"/>
      <c r="FC78" s="590"/>
      <c r="FD78" s="589"/>
      <c r="FE78" s="564"/>
      <c r="FF78" s="564"/>
      <c r="FG78" s="590"/>
      <c r="FH78" s="589"/>
      <c r="FI78" s="564"/>
      <c r="FJ78" s="564"/>
      <c r="FK78" s="590"/>
      <c r="FL78" s="589">
        <f>+FL77</f>
        <v>208.96433333333334</v>
      </c>
      <c r="FM78" s="564">
        <f>+FM77</f>
        <v>208.96433333333334</v>
      </c>
      <c r="FN78" s="564">
        <f t="shared" si="112"/>
        <v>0</v>
      </c>
      <c r="FO78" s="590">
        <f t="shared" si="113"/>
        <v>208.96433333333334</v>
      </c>
      <c r="FP78" s="589">
        <f>+FP77</f>
        <v>1008314.9949999955</v>
      </c>
      <c r="FQ78" s="564">
        <f>+FQ77</f>
        <v>1008314.9949999999</v>
      </c>
      <c r="FR78" s="564">
        <f>+FP78-FQ78</f>
        <v>-4.4237822294235229E-9</v>
      </c>
      <c r="FS78" s="590">
        <f>+FP$29*FR78+FQ78</f>
        <v>1008314.9949999993</v>
      </c>
      <c r="FT78" s="589">
        <f>+FT77</f>
        <v>30947.78283333336</v>
      </c>
      <c r="FU78" s="564">
        <f>+FU77</f>
        <v>30947.782833333335</v>
      </c>
      <c r="FV78" s="564">
        <f>+FT78-FU78</f>
        <v>0</v>
      </c>
      <c r="FW78" s="590">
        <f>+FT$29*FV78+FU78</f>
        <v>30947.782833333335</v>
      </c>
      <c r="FX78" s="589">
        <f>+FX77</f>
        <v>-31445.571500000049</v>
      </c>
      <c r="FY78" s="564">
        <f>+FY77</f>
        <v>-31445.571499999984</v>
      </c>
      <c r="FZ78" s="564">
        <f>+FX78-FY78</f>
        <v>-6.5483618527650833E-11</v>
      </c>
      <c r="GA78" s="590">
        <f>+FX$29*FZ78+FY78</f>
        <v>-31445.571499999995</v>
      </c>
      <c r="GB78" s="589">
        <f>+GB77</f>
        <v>2772935.6258333386</v>
      </c>
      <c r="GC78" s="564">
        <f>+GC77</f>
        <v>2772935.625833333</v>
      </c>
      <c r="GD78" s="564">
        <f>+GB78-GC78</f>
        <v>5.5879354476928711E-9</v>
      </c>
      <c r="GE78" s="590">
        <f>+GB$29*GD78+GC78</f>
        <v>2772935.6258333339</v>
      </c>
      <c r="GF78" s="589">
        <f>+GF77</f>
        <v>45636.780749999947</v>
      </c>
      <c r="GG78" s="564">
        <f>+GG77</f>
        <v>45636.780749999998</v>
      </c>
      <c r="GH78" s="564">
        <f>+GF78-GG78</f>
        <v>0</v>
      </c>
      <c r="GI78" s="590">
        <f>+GF$29*GH78+GG78</f>
        <v>45636.780749999998</v>
      </c>
      <c r="GJ78" s="589">
        <f>+GJ77</f>
        <v>263409.28649999981</v>
      </c>
      <c r="GK78" s="564">
        <f>+GK76</f>
        <v>175606.19100000002</v>
      </c>
      <c r="GL78" s="564">
        <f>+GJ78-GK78</f>
        <v>87803.095499999792</v>
      </c>
      <c r="GM78" s="590">
        <f>+GJ$29*GL78+GK78</f>
        <v>188014.85348708456</v>
      </c>
      <c r="GN78" s="589">
        <f>+GN77</f>
        <v>8909788.5834166706</v>
      </c>
      <c r="GO78" s="564">
        <f>+GO76</f>
        <v>3686809.0689999992</v>
      </c>
      <c r="GP78" s="564">
        <f t="shared" si="114"/>
        <v>5222979.5144166714</v>
      </c>
      <c r="GQ78" s="590">
        <f t="shared" si="115"/>
        <v>4424940.1064342465</v>
      </c>
      <c r="GR78" s="589">
        <f>+GR77</f>
        <v>29436174.72033333</v>
      </c>
      <c r="GS78" s="564">
        <f t="shared" si="99"/>
        <v>8028047.6510000005</v>
      </c>
      <c r="GT78" s="564">
        <f t="shared" si="64"/>
        <v>21408127.06933333</v>
      </c>
      <c r="GU78" s="590">
        <f t="shared" si="69"/>
        <v>11053524.392693873</v>
      </c>
      <c r="GV78" s="672">
        <f>+GV77</f>
        <v>-217164.3250000001</v>
      </c>
      <c r="GW78" s="676">
        <f t="shared" si="100"/>
        <v>-53183.1</v>
      </c>
      <c r="GX78" s="676">
        <f t="shared" si="70"/>
        <v>-163981.22500000009</v>
      </c>
      <c r="GY78" s="1366">
        <f t="shared" si="90"/>
        <v>-76357.541215955454</v>
      </c>
      <c r="GZ78" s="672">
        <f>+GZ77</f>
        <v>562277.7333333334</v>
      </c>
      <c r="HA78" s="671">
        <f t="shared" si="101"/>
        <v>129756.4</v>
      </c>
      <c r="HB78" s="671">
        <f t="shared" si="71"/>
        <v>432521.33333333337</v>
      </c>
      <c r="HC78" s="1366">
        <f t="shared" si="91"/>
        <v>190881.93564580337</v>
      </c>
      <c r="HD78" s="672">
        <f>+HD77</f>
        <v>2237156.1916666673</v>
      </c>
      <c r="HE78" s="671">
        <f t="shared" si="105"/>
        <v>440096.3</v>
      </c>
      <c r="HF78" s="671">
        <f t="shared" si="92"/>
        <v>1797059.8916666673</v>
      </c>
      <c r="HG78" s="1366">
        <f t="shared" si="93"/>
        <v>694063.53814558918</v>
      </c>
      <c r="HI78" s="589"/>
      <c r="HJ78" s="564"/>
      <c r="HK78" s="564"/>
      <c r="HL78" s="590"/>
      <c r="HM78" s="589"/>
      <c r="HN78" s="564"/>
      <c r="HO78" s="564"/>
      <c r="HP78" s="590"/>
      <c r="HQ78" s="589"/>
      <c r="HR78" s="564"/>
      <c r="HS78" s="564"/>
      <c r="HT78" s="590"/>
    </row>
    <row r="79" spans="1:228">
      <c r="A79" s="649" t="s">
        <v>24</v>
      </c>
      <c r="B79" s="670">
        <v>2026</v>
      </c>
      <c r="C79" s="671">
        <f>+E78</f>
        <v>11924935.574431814</v>
      </c>
      <c r="D79" s="671">
        <f>+C$31</f>
        <v>445791.98409090913</v>
      </c>
      <c r="E79" s="671">
        <f t="shared" si="6"/>
        <v>11479143.590340905</v>
      </c>
      <c r="F79" s="653">
        <f>+C$28*E79+D79</f>
        <v>1766748.8765072154</v>
      </c>
      <c r="G79" s="671">
        <f>+I78</f>
        <v>3069779.862954543</v>
      </c>
      <c r="H79" s="671">
        <f>+G$31</f>
        <v>115840.74954545456</v>
      </c>
      <c r="I79" s="671">
        <f t="shared" si="7"/>
        <v>2953939.1134090885</v>
      </c>
      <c r="J79" s="653">
        <f>+G$28*I79+H79</f>
        <v>455763.86322783749</v>
      </c>
      <c r="K79" s="672">
        <f>+M78</f>
        <v>7864558.8492613565</v>
      </c>
      <c r="L79" s="671">
        <f>+K$31</f>
        <v>305419.76113636367</v>
      </c>
      <c r="M79" s="671">
        <f t="shared" si="8"/>
        <v>7559139.0881249933</v>
      </c>
      <c r="N79" s="653">
        <f>+K$28*M79+L79</f>
        <v>1175284.0328573242</v>
      </c>
      <c r="O79" s="672">
        <f>+Q78</f>
        <v>3320970.8560606036</v>
      </c>
      <c r="P79" s="671">
        <f>+O$31</f>
        <v>119316.31818181818</v>
      </c>
      <c r="Q79" s="671">
        <f t="shared" si="11"/>
        <v>3201654.5378787853</v>
      </c>
      <c r="R79" s="653">
        <f>+O$28*Q79+P79</f>
        <v>487745.16443352069</v>
      </c>
      <c r="S79" s="589">
        <f>+U78</f>
        <v>1525927.6260606037</v>
      </c>
      <c r="T79" s="564">
        <f>+S$31</f>
        <v>58315.705454545445</v>
      </c>
      <c r="U79" s="564">
        <f t="shared" si="12"/>
        <v>1467611.9206060581</v>
      </c>
      <c r="V79" s="590">
        <f>+S$28*U79+T79</f>
        <v>227200.43685107393</v>
      </c>
      <c r="W79" s="589">
        <f>+Y78</f>
        <v>19296672.246212125</v>
      </c>
      <c r="X79" s="564">
        <f>+W$31</f>
        <v>693293.61363636365</v>
      </c>
      <c r="Y79" s="564">
        <f t="shared" si="13"/>
        <v>18603378.632575762</v>
      </c>
      <c r="Z79" s="590">
        <f>+W$28*Y79+X79</f>
        <v>2834068.4051991366</v>
      </c>
      <c r="AA79" s="589">
        <f>+AC78</f>
        <v>12585762.831439391</v>
      </c>
      <c r="AB79" s="564">
        <f>+AA$31</f>
        <v>450833.29545454547</v>
      </c>
      <c r="AC79" s="564">
        <f t="shared" si="14"/>
        <v>12134929.535984846</v>
      </c>
      <c r="AD79" s="590">
        <f>+AA$28*AC79+AB79</f>
        <v>1847254.4381461968</v>
      </c>
      <c r="AE79" s="589">
        <f>+AG78</f>
        <v>126441.87500000015</v>
      </c>
      <c r="AF79" s="564">
        <f>+AE$31</f>
        <v>4597.886363636364</v>
      </c>
      <c r="AG79" s="564">
        <f t="shared" si="15"/>
        <v>121843.98863636378</v>
      </c>
      <c r="AH79" s="590">
        <f>+AE$28*AG79+AF79</f>
        <v>18619.024379901821</v>
      </c>
      <c r="AI79" s="589">
        <f>+AK78</f>
        <v>8521617.6174242441</v>
      </c>
      <c r="AJ79" s="564">
        <f>+AI$31</f>
        <v>295547.43181818182</v>
      </c>
      <c r="AK79" s="564">
        <f t="shared" si="19"/>
        <v>8226070.1856060624</v>
      </c>
      <c r="AL79" s="590">
        <f>+AI$28*AK79+AJ79</f>
        <v>1242158.4767675644</v>
      </c>
      <c r="AM79" s="589">
        <f>+AO78</f>
        <v>3159707.0969318179</v>
      </c>
      <c r="AN79" s="564">
        <f>+AM$31</f>
        <v>110866.91568181818</v>
      </c>
      <c r="AO79" s="564">
        <f t="shared" si="16"/>
        <v>3048840.1812499999</v>
      </c>
      <c r="AP79" s="590">
        <f>+AM$28*AO79+AN79</f>
        <v>461710.72381109372</v>
      </c>
      <c r="AQ79" s="589">
        <f>+AS78</f>
        <v>26016801.821590912</v>
      </c>
      <c r="AR79" s="564">
        <f>+AQ$31</f>
        <v>904932.23727272719</v>
      </c>
      <c r="AS79" s="564">
        <f t="shared" si="17"/>
        <v>25111869.584318183</v>
      </c>
      <c r="AT79" s="590">
        <f>+AQ$28*AS79+AR79</f>
        <v>3794668.4748067493</v>
      </c>
      <c r="AU79" s="671"/>
      <c r="AV79" s="671"/>
      <c r="AW79" s="671"/>
      <c r="AX79" s="653"/>
      <c r="AY79" s="671"/>
      <c r="AZ79" s="671"/>
      <c r="BA79" s="671"/>
      <c r="BB79" s="653"/>
      <c r="BC79" s="671"/>
      <c r="BD79" s="671"/>
      <c r="BE79" s="671"/>
      <c r="BF79" s="653"/>
      <c r="BG79" s="671"/>
      <c r="BH79" s="671"/>
      <c r="BI79" s="671"/>
      <c r="BJ79" s="653"/>
      <c r="BK79" s="671"/>
      <c r="BL79" s="671"/>
      <c r="BM79" s="671"/>
      <c r="BN79" s="653"/>
      <c r="BO79" s="671"/>
      <c r="BP79" s="671"/>
      <c r="BQ79" s="671"/>
      <c r="BR79" s="653"/>
      <c r="BS79" s="589">
        <f>+BU78</f>
        <v>241015.7045454547</v>
      </c>
      <c r="BT79" s="564">
        <f>+BS$31</f>
        <v>8310.886363636364</v>
      </c>
      <c r="BU79" s="564">
        <f t="shared" si="18"/>
        <v>232704.81818181835</v>
      </c>
      <c r="BV79" s="590">
        <f>+BS$28*BU79+BT79</f>
        <v>35089.280679952033</v>
      </c>
      <c r="BW79" s="589">
        <f>+BY78</f>
        <v>16872605.897727281</v>
      </c>
      <c r="BX79" s="564">
        <f>+BW$31</f>
        <v>576841.22727272729</v>
      </c>
      <c r="BY79" s="564">
        <f t="shared" si="20"/>
        <v>16295764.670454554</v>
      </c>
      <c r="BZ79" s="590">
        <f>+BW$28*BY79+BX79</f>
        <v>2452068.4590972411</v>
      </c>
      <c r="CA79" s="589">
        <f>+CC78</f>
        <v>1592192.1600000011</v>
      </c>
      <c r="CB79" s="564">
        <f>+CA$31</f>
        <v>54433.919999999998</v>
      </c>
      <c r="CC79" s="564">
        <f t="shared" si="21"/>
        <v>1537758.2400000012</v>
      </c>
      <c r="CD79" s="590">
        <f>+CA$28*CC79+CB79</f>
        <v>231390.70514791057</v>
      </c>
      <c r="CE79" s="589">
        <f>+CG78</f>
        <v>138207.10090909101</v>
      </c>
      <c r="CF79" s="564">
        <f>+CE$31</f>
        <v>4725.0290909090909</v>
      </c>
      <c r="CG79" s="564">
        <f t="shared" si="22"/>
        <v>133482.07181818192</v>
      </c>
      <c r="CH79" s="590">
        <f>+CE$28*CG79+CF79</f>
        <v>20085.413896148675</v>
      </c>
      <c r="CI79" s="589">
        <f>+CK78</f>
        <v>373972.49999999977</v>
      </c>
      <c r="CJ79" s="564">
        <f>+CI$31</f>
        <v>12362.727272727272</v>
      </c>
      <c r="CK79" s="564">
        <f t="shared" si="24"/>
        <v>361609.77272727247</v>
      </c>
      <c r="CL79" s="590">
        <f>+CI$28*CK79+CJ79</f>
        <v>53974.796839582377</v>
      </c>
      <c r="CM79" s="589">
        <f>+CO78</f>
        <v>16808284.798011366</v>
      </c>
      <c r="CN79" s="564">
        <f>+CM$31</f>
        <v>483691.64886363636</v>
      </c>
      <c r="CO79" s="564">
        <f t="shared" si="34"/>
        <v>16324593.14914773</v>
      </c>
      <c r="CP79" s="590">
        <f>+CM$28*CO79+CN79</f>
        <v>2362236.3039199379</v>
      </c>
      <c r="CQ79" s="589">
        <f>+CS78</f>
        <v>70116324.760056779</v>
      </c>
      <c r="CR79" s="564">
        <f>+CQ$31</f>
        <v>2017735.9643181816</v>
      </c>
      <c r="CS79" s="564">
        <f t="shared" si="40"/>
        <v>68098588.795738593</v>
      </c>
      <c r="CT79" s="590">
        <f>+CQ$28*CS79+CR79</f>
        <v>9854148.1082735378</v>
      </c>
      <c r="CU79" s="589">
        <f>+CW78</f>
        <v>23666838.037500013</v>
      </c>
      <c r="CV79" s="564">
        <f>+CU$31</f>
        <v>676195.37250000006</v>
      </c>
      <c r="CW79" s="564">
        <f t="shared" si="41"/>
        <v>22990642.665000014</v>
      </c>
      <c r="CX79" s="590">
        <f>+CU$28*CW79+CV79</f>
        <v>3321832.4490295267</v>
      </c>
      <c r="CY79" s="589">
        <f>+DA78</f>
        <v>26047.197159090952</v>
      </c>
      <c r="CZ79" s="564">
        <f>+CY$31</f>
        <v>733.72386363636497</v>
      </c>
      <c r="DA79" s="564">
        <f t="shared" si="42"/>
        <v>25313.473295454587</v>
      </c>
      <c r="DB79" s="590">
        <f>+CY$28*DA79+CZ79</f>
        <v>3646.6595506472995</v>
      </c>
      <c r="DC79" s="589">
        <f>+DE78</f>
        <v>1569706.2136363643</v>
      </c>
      <c r="DD79" s="564">
        <f>+DC$31</f>
        <v>44530.672727272722</v>
      </c>
      <c r="DE79" s="564">
        <f t="shared" si="43"/>
        <v>1525175.5409090917</v>
      </c>
      <c r="DF79" s="590">
        <f>+DC$28*DE79+DD79</f>
        <v>220039.50986769228</v>
      </c>
      <c r="DG79" s="589">
        <f>+DI78</f>
        <v>874701.33829545416</v>
      </c>
      <c r="DH79" s="564">
        <f>+DG$31</f>
        <v>24639.474318181816</v>
      </c>
      <c r="DI79" s="564">
        <f t="shared" si="44"/>
        <v>850061.8639772723</v>
      </c>
      <c r="DJ79" s="590">
        <f>+DG$28*DI79+DH79</f>
        <v>122459.93186049252</v>
      </c>
      <c r="DK79" s="589">
        <f>+DM78</f>
        <v>19329668.111704547</v>
      </c>
      <c r="DL79" s="564">
        <f>+DK$31</f>
        <v>549658.80886363634</v>
      </c>
      <c r="DM79" s="564">
        <f t="shared" si="45"/>
        <v>18780009.302840911</v>
      </c>
      <c r="DN79" s="590">
        <f>+DK$28*DM79+DL79</f>
        <v>2710759.2893127464</v>
      </c>
      <c r="DO79" s="589">
        <f>+DQ78</f>
        <v>708602.78973484808</v>
      </c>
      <c r="DP79" s="564">
        <f t="shared" ref="DP79:DP90" si="116">+DP77</f>
        <v>19592.703863636354</v>
      </c>
      <c r="DQ79" s="564">
        <f t="shared" si="60"/>
        <v>689010.08587121172</v>
      </c>
      <c r="DR79" s="590">
        <f t="shared" si="65"/>
        <v>98880.205994176285</v>
      </c>
      <c r="DS79" s="589">
        <f>+DU78</f>
        <v>302794.9745454535</v>
      </c>
      <c r="DT79" s="564">
        <f t="shared" ref="DT79:DT90" si="117">+DT77</f>
        <v>8295.7527272726966</v>
      </c>
      <c r="DU79" s="564">
        <f t="shared" si="61"/>
        <v>294499.22181818081</v>
      </c>
      <c r="DV79" s="590">
        <f t="shared" si="66"/>
        <v>42185.108131739027</v>
      </c>
      <c r="DW79" s="589">
        <f>+DY78</f>
        <v>44288.92357954543</v>
      </c>
      <c r="DX79" s="564">
        <f t="shared" ref="DX79:DX90" si="118">+DX77</f>
        <v>1221.7634090909089</v>
      </c>
      <c r="DY79" s="564">
        <f t="shared" si="62"/>
        <v>43067.160170454517</v>
      </c>
      <c r="DZ79" s="590">
        <f t="shared" si="67"/>
        <v>6177.6960199373088</v>
      </c>
      <c r="EA79" s="589">
        <f>+EC78</f>
        <v>-262857.80039772898</v>
      </c>
      <c r="EB79" s="564">
        <f t="shared" ref="EB79:EB90" si="119">+EB77</f>
        <v>-7120.3015909091364</v>
      </c>
      <c r="EC79" s="564">
        <f t="shared" si="63"/>
        <v>-255737.49880681984</v>
      </c>
      <c r="ED79" s="590">
        <f t="shared" si="68"/>
        <v>-36549.170481653899</v>
      </c>
      <c r="EE79" s="589">
        <f>+EG78</f>
        <v>7380177.4981818171</v>
      </c>
      <c r="EF79" s="564">
        <f t="shared" ref="EF79:EF90" si="120">+EF77</f>
        <v>192108.74181818182</v>
      </c>
      <c r="EG79" s="564">
        <f t="shared" si="72"/>
        <v>7188068.756363635</v>
      </c>
      <c r="EH79" s="590">
        <f t="shared" si="73"/>
        <v>1019272.2747206278</v>
      </c>
      <c r="EI79" s="589">
        <f>+EK78</f>
        <v>297847.93337121204</v>
      </c>
      <c r="EJ79" s="564">
        <f t="shared" ref="EJ79:EJ90" si="121">+EJ77</f>
        <v>7669.903863636363</v>
      </c>
      <c r="EK79" s="564">
        <f t="shared" si="74"/>
        <v>290178.02950757567</v>
      </c>
      <c r="EL79" s="590">
        <f t="shared" si="75"/>
        <v>41062.000154543624</v>
      </c>
      <c r="EM79" s="589">
        <f>+EO78</f>
        <v>10163694.18409091</v>
      </c>
      <c r="EN79" s="564">
        <f t="shared" ref="EN79:EN90" si="122">+EN77</f>
        <v>260607.54318181818</v>
      </c>
      <c r="EO79" s="564">
        <f t="shared" si="76"/>
        <v>9903086.6409090925</v>
      </c>
      <c r="EP79" s="590">
        <f t="shared" si="77"/>
        <v>1400200.4450000469</v>
      </c>
      <c r="EQ79" s="678">
        <f t="shared" si="94"/>
        <v>38270181.38400244</v>
      </c>
      <c r="ER79" s="652"/>
      <c r="ES79" s="674">
        <f>+EQ79</f>
        <v>38270181.38400244</v>
      </c>
      <c r="EV79" s="589"/>
      <c r="EW79" s="564"/>
      <c r="EX79" s="564"/>
      <c r="EY79" s="590"/>
      <c r="EZ79" s="589"/>
      <c r="FA79" s="564"/>
      <c r="FB79" s="564"/>
      <c r="FC79" s="590"/>
      <c r="FD79" s="589"/>
      <c r="FE79" s="564"/>
      <c r="FF79" s="564"/>
      <c r="FG79" s="590"/>
      <c r="FH79" s="589"/>
      <c r="FI79" s="564"/>
      <c r="FJ79" s="564"/>
      <c r="FK79" s="590"/>
      <c r="FL79" s="589"/>
      <c r="FM79" s="564"/>
      <c r="FN79" s="564"/>
      <c r="FO79" s="590"/>
      <c r="FP79" s="589"/>
      <c r="FQ79" s="564"/>
      <c r="FR79" s="564"/>
      <c r="FS79" s="590"/>
      <c r="FT79" s="589"/>
      <c r="FU79" s="564"/>
      <c r="FV79" s="564"/>
      <c r="FW79" s="590"/>
      <c r="FX79" s="589"/>
      <c r="FY79" s="564"/>
      <c r="FZ79" s="564"/>
      <c r="GA79" s="590"/>
      <c r="GB79" s="589"/>
      <c r="GC79" s="564"/>
      <c r="GD79" s="564"/>
      <c r="GE79" s="590"/>
      <c r="GF79" s="589"/>
      <c r="GG79" s="564"/>
      <c r="GH79" s="564"/>
      <c r="GI79" s="590"/>
      <c r="GJ79" s="589">
        <f>+GL78</f>
        <v>87803.095499999792</v>
      </c>
      <c r="GK79" s="564">
        <f>+GJ$31/12*(12-6)-0.1</f>
        <v>87802.995500000005</v>
      </c>
      <c r="GL79" s="564">
        <f>+GJ79-GK79</f>
        <v>9.9999999787542038E-2</v>
      </c>
      <c r="GM79" s="590">
        <f>+GJ$29*GL79+GK79</f>
        <v>87803.009632374713</v>
      </c>
      <c r="GN79" s="589">
        <f>+GP78</f>
        <v>5222979.5144166714</v>
      </c>
      <c r="GO79" s="564">
        <f>+GO77</f>
        <v>3686809.0689999992</v>
      </c>
      <c r="GP79" s="564">
        <f t="shared" si="114"/>
        <v>1536170.4454166722</v>
      </c>
      <c r="GQ79" s="590">
        <f t="shared" si="115"/>
        <v>3903906.4329512487</v>
      </c>
      <c r="GR79" s="589">
        <f>+GT78</f>
        <v>21408127.06933333</v>
      </c>
      <c r="GS79" s="564">
        <f>+GS77</f>
        <v>8028047.6510000005</v>
      </c>
      <c r="GT79" s="564">
        <f t="shared" si="64"/>
        <v>13380079.418333329</v>
      </c>
      <c r="GU79" s="590">
        <f t="shared" si="69"/>
        <v>9918970.6145586707</v>
      </c>
      <c r="GV79" s="672">
        <f>+GX78</f>
        <v>-163981.22500000009</v>
      </c>
      <c r="GW79" s="676">
        <f>+GW77</f>
        <v>-53183.1</v>
      </c>
      <c r="GX79" s="676">
        <f t="shared" si="70"/>
        <v>-110798.12500000009</v>
      </c>
      <c r="GY79" s="1366">
        <f t="shared" si="90"/>
        <v>-68841.506226996935</v>
      </c>
      <c r="GZ79" s="672">
        <f>+HB78</f>
        <v>432521.33333333337</v>
      </c>
      <c r="HA79" s="671">
        <f>+HA77</f>
        <v>129756.4</v>
      </c>
      <c r="HB79" s="671">
        <f t="shared" si="71"/>
        <v>302764.93333333335</v>
      </c>
      <c r="HC79" s="1366">
        <f t="shared" si="91"/>
        <v>172544.27495206235</v>
      </c>
      <c r="HD79" s="672">
        <f>+HF78</f>
        <v>1797059.8916666673</v>
      </c>
      <c r="HE79" s="671">
        <f>+HE77</f>
        <v>440096.3</v>
      </c>
      <c r="HF79" s="671">
        <f t="shared" si="92"/>
        <v>1356963.5916666673</v>
      </c>
      <c r="HG79" s="1366">
        <f t="shared" si="93"/>
        <v>631867.47982422041</v>
      </c>
      <c r="HI79" s="589"/>
      <c r="HJ79" s="564"/>
      <c r="HK79" s="564"/>
      <c r="HL79" s="590"/>
      <c r="HM79" s="589"/>
      <c r="HN79" s="564"/>
      <c r="HO79" s="564"/>
      <c r="HP79" s="590"/>
      <c r="HQ79" s="589"/>
      <c r="HR79" s="564"/>
      <c r="HS79" s="564"/>
      <c r="HT79" s="590"/>
    </row>
    <row r="80" spans="1:228">
      <c r="A80" s="649" t="s">
        <v>23</v>
      </c>
      <c r="B80" s="670">
        <v>2026</v>
      </c>
      <c r="C80" s="671">
        <f>+C79</f>
        <v>11924935.574431814</v>
      </c>
      <c r="D80" s="671">
        <f>+D79</f>
        <v>445791.98409090913</v>
      </c>
      <c r="E80" s="671">
        <f t="shared" si="6"/>
        <v>11479143.590340905</v>
      </c>
      <c r="F80" s="653">
        <f>+C$29*E80+D80</f>
        <v>1836807.3001610301</v>
      </c>
      <c r="G80" s="671">
        <f>+G79</f>
        <v>3069779.862954543</v>
      </c>
      <c r="H80" s="671">
        <f>+H79</f>
        <v>115840.74954545456</v>
      </c>
      <c r="I80" s="671">
        <f t="shared" si="7"/>
        <v>2953939.1134090885</v>
      </c>
      <c r="J80" s="653">
        <f>+G$29*I80+H80</f>
        <v>473792.06509029382</v>
      </c>
      <c r="K80" s="672">
        <f>+K79</f>
        <v>7864558.8492613565</v>
      </c>
      <c r="L80" s="671">
        <f>+L79</f>
        <v>305419.76113636367</v>
      </c>
      <c r="M80" s="671">
        <f t="shared" si="8"/>
        <v>7559139.0881249933</v>
      </c>
      <c r="N80" s="653">
        <f>+K$29*M80+L80</f>
        <v>1221418.2557221367</v>
      </c>
      <c r="O80" s="672">
        <f>+O79</f>
        <v>3320970.8560606036</v>
      </c>
      <c r="P80" s="671">
        <f>+P79</f>
        <v>119316.31818181818</v>
      </c>
      <c r="Q80" s="671">
        <f t="shared" si="11"/>
        <v>3201654.5378787853</v>
      </c>
      <c r="R80" s="653">
        <f>+O$29*Q80+P80</f>
        <v>507285.19964978972</v>
      </c>
      <c r="S80" s="589">
        <f>+S79</f>
        <v>1525927.6260606037</v>
      </c>
      <c r="T80" s="564">
        <f>+T79</f>
        <v>58315.705454545445</v>
      </c>
      <c r="U80" s="564">
        <f t="shared" si="12"/>
        <v>1467611.9206060581</v>
      </c>
      <c r="V80" s="590">
        <f>+S$29*U80+T80</f>
        <v>236157.42714255562</v>
      </c>
      <c r="W80" s="589">
        <f>+W79</f>
        <v>19296672.246212125</v>
      </c>
      <c r="X80" s="564">
        <f>+X79</f>
        <v>693293.61363636365</v>
      </c>
      <c r="Y80" s="564">
        <f t="shared" si="13"/>
        <v>18603378.632575762</v>
      </c>
      <c r="Z80" s="590">
        <f>+W$29*Y80+X80</f>
        <v>2947606.7864708891</v>
      </c>
      <c r="AA80" s="589">
        <f>+AA79</f>
        <v>12585762.831439391</v>
      </c>
      <c r="AB80" s="564">
        <f>+AB79</f>
        <v>450833.29545454547</v>
      </c>
      <c r="AC80" s="564">
        <f t="shared" si="14"/>
        <v>12134929.535984846</v>
      </c>
      <c r="AD80" s="590">
        <f>+AA$29*AC80+AB80</f>
        <v>1921315.1925701222</v>
      </c>
      <c r="AE80" s="589">
        <f>+AE79</f>
        <v>126441.87500000015</v>
      </c>
      <c r="AF80" s="564">
        <f>+AF79</f>
        <v>4597.886363636364</v>
      </c>
      <c r="AG80" s="564">
        <f t="shared" si="15"/>
        <v>121843.98863636378</v>
      </c>
      <c r="AH80" s="590">
        <f>+AE$29*AG80+AF80</f>
        <v>19362.651089366431</v>
      </c>
      <c r="AI80" s="589">
        <f>+AI79</f>
        <v>8521617.6174242441</v>
      </c>
      <c r="AJ80" s="564">
        <f>+AJ79</f>
        <v>295547.43181818182</v>
      </c>
      <c r="AK80" s="564">
        <f t="shared" si="19"/>
        <v>8226070.1856060624</v>
      </c>
      <c r="AL80" s="590">
        <f>+AI$29*AK80+AJ80</f>
        <v>1292363.0504392567</v>
      </c>
      <c r="AM80" s="589">
        <f>+AM79</f>
        <v>3159707.0969318179</v>
      </c>
      <c r="AN80" s="564">
        <f>+AN79</f>
        <v>110866.91568181818</v>
      </c>
      <c r="AO80" s="564">
        <f t="shared" si="16"/>
        <v>3048840.1812499999</v>
      </c>
      <c r="AP80" s="590">
        <f>+AM$29*AO80+AN80</f>
        <v>480318.11689662992</v>
      </c>
      <c r="AQ80" s="589">
        <f>+AQ79</f>
        <v>26016801.821590912</v>
      </c>
      <c r="AR80" s="564">
        <f>+AR79</f>
        <v>904932.23727272719</v>
      </c>
      <c r="AS80" s="564">
        <f t="shared" si="17"/>
        <v>25111869.584318183</v>
      </c>
      <c r="AT80" s="590">
        <f>+AQ$29*AS80+AR80</f>
        <v>3947928.8625901951</v>
      </c>
      <c r="AU80" s="671"/>
      <c r="AV80" s="671"/>
      <c r="AW80" s="671"/>
      <c r="AX80" s="653"/>
      <c r="AY80" s="671"/>
      <c r="AZ80" s="671"/>
      <c r="BA80" s="671"/>
      <c r="BB80" s="653"/>
      <c r="BC80" s="671"/>
      <c r="BD80" s="671"/>
      <c r="BE80" s="671"/>
      <c r="BF80" s="653"/>
      <c r="BG80" s="671"/>
      <c r="BH80" s="671"/>
      <c r="BI80" s="671"/>
      <c r="BJ80" s="653"/>
      <c r="BK80" s="671"/>
      <c r="BL80" s="671"/>
      <c r="BM80" s="671"/>
      <c r="BN80" s="653"/>
      <c r="BO80" s="671"/>
      <c r="BP80" s="671"/>
      <c r="BQ80" s="671"/>
      <c r="BR80" s="653"/>
      <c r="BS80" s="589">
        <f>+BS79</f>
        <v>241015.7045454547</v>
      </c>
      <c r="BT80" s="564">
        <f>+BT79</f>
        <v>8310.886363636364</v>
      </c>
      <c r="BU80" s="564">
        <f t="shared" si="18"/>
        <v>232704.81818181835</v>
      </c>
      <c r="BV80" s="590">
        <f>+BS$29*BU80+BT80</f>
        <v>36509.502720922392</v>
      </c>
      <c r="BW80" s="589">
        <f>+BW79</f>
        <v>16872605.897727281</v>
      </c>
      <c r="BX80" s="564">
        <f>+BX79</f>
        <v>576841.22727272729</v>
      </c>
      <c r="BY80" s="564">
        <f t="shared" si="20"/>
        <v>16295764.670454554</v>
      </c>
      <c r="BZ80" s="590">
        <f>+BW$29*BY80+BX80</f>
        <v>2452068.4590972411</v>
      </c>
      <c r="CA80" s="589">
        <f>+CA79</f>
        <v>1592192.1600000011</v>
      </c>
      <c r="CB80" s="564">
        <f>+CB79</f>
        <v>54433.919999999998</v>
      </c>
      <c r="CC80" s="564">
        <f t="shared" si="21"/>
        <v>1537758.2400000012</v>
      </c>
      <c r="CD80" s="590">
        <f>+CA$29*CC80+CB80</f>
        <v>240775.80582264345</v>
      </c>
      <c r="CE80" s="589">
        <f>+CE79</f>
        <v>138207.10090909101</v>
      </c>
      <c r="CF80" s="564">
        <f>+CF79</f>
        <v>4725.0290909090909</v>
      </c>
      <c r="CG80" s="564">
        <f t="shared" si="22"/>
        <v>133482.07181818192</v>
      </c>
      <c r="CH80" s="590">
        <f>+CE$29*CG80+CF80</f>
        <v>20900.069054351938</v>
      </c>
      <c r="CI80" s="589">
        <f>+CI79</f>
        <v>373972.49999999977</v>
      </c>
      <c r="CJ80" s="564">
        <f>+CJ79</f>
        <v>12362.727272727272</v>
      </c>
      <c r="CK80" s="564">
        <f t="shared" si="24"/>
        <v>361609.77272727247</v>
      </c>
      <c r="CL80" s="590">
        <f>+CI$29*CK80+CJ80</f>
        <v>53974.796839582377</v>
      </c>
      <c r="CM80" s="589">
        <f>+CM79</f>
        <v>16808284.798011366</v>
      </c>
      <c r="CN80" s="564">
        <f>+CN79</f>
        <v>483691.64886363636</v>
      </c>
      <c r="CO80" s="564">
        <f t="shared" si="34"/>
        <v>16324593.14914773</v>
      </c>
      <c r="CP80" s="590">
        <f>+CM$29*CO80+CN80</f>
        <v>2362236.3039199379</v>
      </c>
      <c r="CQ80" s="589">
        <f>+CQ79</f>
        <v>70116324.760056779</v>
      </c>
      <c r="CR80" s="564">
        <f>+CR79</f>
        <v>2017735.9643181816</v>
      </c>
      <c r="CS80" s="564">
        <f t="shared" si="40"/>
        <v>68098588.795738593</v>
      </c>
      <c r="CT80" s="590">
        <f>+CQ$29*CS80+CR80</f>
        <v>9854148.1082735378</v>
      </c>
      <c r="CU80" s="589">
        <f>+CU79</f>
        <v>23666838.037500013</v>
      </c>
      <c r="CV80" s="564">
        <f>+CV79</f>
        <v>676195.37250000006</v>
      </c>
      <c r="CW80" s="564">
        <f t="shared" si="41"/>
        <v>22990642.665000014</v>
      </c>
      <c r="CX80" s="590">
        <f>+CU$29*CW80+CV80</f>
        <v>3321832.4490295267</v>
      </c>
      <c r="CY80" s="589">
        <f>+CY79</f>
        <v>26047.197159090952</v>
      </c>
      <c r="CZ80" s="564">
        <f>+CZ79</f>
        <v>733.72386363636497</v>
      </c>
      <c r="DA80" s="564">
        <f t="shared" si="42"/>
        <v>25313.473295454587</v>
      </c>
      <c r="DB80" s="590">
        <f>+CY$29*DA80+CZ80</f>
        <v>3646.6595506472995</v>
      </c>
      <c r="DC80" s="589">
        <f>+DC79</f>
        <v>1569706.2136363643</v>
      </c>
      <c r="DD80" s="564">
        <f>+DD79</f>
        <v>44530.672727272722</v>
      </c>
      <c r="DE80" s="564">
        <f t="shared" si="43"/>
        <v>1525175.5409090917</v>
      </c>
      <c r="DF80" s="590">
        <f>+DC$29*DE80+DD80</f>
        <v>220039.50986769228</v>
      </c>
      <c r="DG80" s="589">
        <f>+DG79</f>
        <v>874701.33829545416</v>
      </c>
      <c r="DH80" s="564">
        <f>+DH79</f>
        <v>24639.474318181816</v>
      </c>
      <c r="DI80" s="564">
        <f t="shared" si="44"/>
        <v>850061.8639772723</v>
      </c>
      <c r="DJ80" s="590">
        <f>+DG$29*DI80+DH80</f>
        <v>122459.93186049252</v>
      </c>
      <c r="DK80" s="589">
        <f>+DK79</f>
        <v>19329668.111704547</v>
      </c>
      <c r="DL80" s="564">
        <f>+DL79</f>
        <v>549658.80886363634</v>
      </c>
      <c r="DM80" s="564">
        <f t="shared" si="45"/>
        <v>18780009.302840911</v>
      </c>
      <c r="DN80" s="590">
        <f>+DK$29*DM80+DL80</f>
        <v>2710759.2893127464</v>
      </c>
      <c r="DO80" s="589">
        <f>+DO79</f>
        <v>708602.78973484808</v>
      </c>
      <c r="DP80" s="564">
        <f t="shared" si="116"/>
        <v>19592.703863636354</v>
      </c>
      <c r="DQ80" s="564">
        <f t="shared" si="60"/>
        <v>689010.08587121172</v>
      </c>
      <c r="DR80" s="590">
        <f t="shared" si="65"/>
        <v>98880.205994176285</v>
      </c>
      <c r="DS80" s="589">
        <f>+DS79</f>
        <v>302794.9745454535</v>
      </c>
      <c r="DT80" s="564">
        <f t="shared" si="117"/>
        <v>8295.7527272726966</v>
      </c>
      <c r="DU80" s="564">
        <f t="shared" si="61"/>
        <v>294499.22181818081</v>
      </c>
      <c r="DV80" s="590">
        <f t="shared" si="66"/>
        <v>42185.108131739027</v>
      </c>
      <c r="DW80" s="589">
        <f>+DW79</f>
        <v>44288.92357954543</v>
      </c>
      <c r="DX80" s="564">
        <f t="shared" si="118"/>
        <v>1221.7634090909089</v>
      </c>
      <c r="DY80" s="564">
        <f t="shared" si="62"/>
        <v>43067.160170454517</v>
      </c>
      <c r="DZ80" s="590">
        <f t="shared" si="67"/>
        <v>6177.6960199373088</v>
      </c>
      <c r="EA80" s="589">
        <f>+EA79</f>
        <v>-262857.80039772898</v>
      </c>
      <c r="EB80" s="564">
        <f t="shared" si="119"/>
        <v>-7120.3015909091364</v>
      </c>
      <c r="EC80" s="564">
        <f t="shared" si="63"/>
        <v>-255737.49880681984</v>
      </c>
      <c r="ED80" s="590">
        <f t="shared" si="68"/>
        <v>-36549.170481653899</v>
      </c>
      <c r="EE80" s="589">
        <f>+EE79</f>
        <v>7380177.4981818171</v>
      </c>
      <c r="EF80" s="564">
        <f t="shared" si="120"/>
        <v>192108.74181818182</v>
      </c>
      <c r="EG80" s="564">
        <f t="shared" si="72"/>
        <v>7188068.756363635</v>
      </c>
      <c r="EH80" s="590">
        <f t="shared" si="73"/>
        <v>1019272.2747206278</v>
      </c>
      <c r="EI80" s="589">
        <f>+EI79</f>
        <v>297847.93337121204</v>
      </c>
      <c r="EJ80" s="564">
        <f t="shared" si="121"/>
        <v>7669.903863636363</v>
      </c>
      <c r="EK80" s="564">
        <f t="shared" si="74"/>
        <v>290178.02950757567</v>
      </c>
      <c r="EL80" s="590">
        <f t="shared" si="75"/>
        <v>41062.000154543624</v>
      </c>
      <c r="EM80" s="589">
        <f>+EM79</f>
        <v>10163694.18409091</v>
      </c>
      <c r="EN80" s="564">
        <f t="shared" si="122"/>
        <v>260607.54318181818</v>
      </c>
      <c r="EO80" s="564">
        <f t="shared" si="76"/>
        <v>9903086.6409090925</v>
      </c>
      <c r="EP80" s="590">
        <f t="shared" si="77"/>
        <v>1400200.4450000469</v>
      </c>
      <c r="EQ80" s="678">
        <f t="shared" si="94"/>
        <v>38854934.352711</v>
      </c>
      <c r="ER80" s="675">
        <f>+EQ80</f>
        <v>38854934.352711</v>
      </c>
      <c r="ES80" s="648"/>
      <c r="EV80" s="589"/>
      <c r="EW80" s="564"/>
      <c r="EX80" s="564"/>
      <c r="EY80" s="590"/>
      <c r="EZ80" s="589"/>
      <c r="FA80" s="564"/>
      <c r="FB80" s="564"/>
      <c r="FC80" s="590"/>
      <c r="FD80" s="589"/>
      <c r="FE80" s="564"/>
      <c r="FF80" s="564"/>
      <c r="FG80" s="590"/>
      <c r="FH80" s="589"/>
      <c r="FI80" s="564"/>
      <c r="FJ80" s="564"/>
      <c r="FK80" s="590"/>
      <c r="FL80" s="589"/>
      <c r="FM80" s="564"/>
      <c r="FN80" s="564"/>
      <c r="FO80" s="590"/>
      <c r="FP80" s="589"/>
      <c r="FQ80" s="564"/>
      <c r="FR80" s="564"/>
      <c r="FS80" s="590"/>
      <c r="FT80" s="589"/>
      <c r="FU80" s="564"/>
      <c r="FV80" s="564"/>
      <c r="FW80" s="590"/>
      <c r="FX80" s="589"/>
      <c r="FY80" s="564"/>
      <c r="FZ80" s="564"/>
      <c r="GA80" s="590"/>
      <c r="GB80" s="589"/>
      <c r="GC80" s="564"/>
      <c r="GD80" s="564"/>
      <c r="GE80" s="590"/>
      <c r="GF80" s="589"/>
      <c r="GG80" s="564"/>
      <c r="GH80" s="564"/>
      <c r="GI80" s="590"/>
      <c r="GJ80" s="589">
        <f>+GJ79</f>
        <v>87803.095499999792</v>
      </c>
      <c r="GK80" s="564">
        <f>+GK79</f>
        <v>87802.995500000005</v>
      </c>
      <c r="GL80" s="564">
        <f>+GJ80-GK80</f>
        <v>9.9999999787542038E-2</v>
      </c>
      <c r="GM80" s="590">
        <f>+GJ$29*GL80+GK80</f>
        <v>87803.009632374713</v>
      </c>
      <c r="GN80" s="589">
        <f>+GN79</f>
        <v>5222979.5144166714</v>
      </c>
      <c r="GO80" s="564">
        <f>+GO78</f>
        <v>3686809.0689999992</v>
      </c>
      <c r="GP80" s="564">
        <f t="shared" si="114"/>
        <v>1536170.4454166722</v>
      </c>
      <c r="GQ80" s="590">
        <f t="shared" si="115"/>
        <v>3903906.4329512487</v>
      </c>
      <c r="GR80" s="589">
        <f>+GR79</f>
        <v>21408127.06933333</v>
      </c>
      <c r="GS80" s="564">
        <f>+GS78</f>
        <v>8028047.6510000005</v>
      </c>
      <c r="GT80" s="564">
        <f t="shared" si="64"/>
        <v>13380079.418333329</v>
      </c>
      <c r="GU80" s="590">
        <f t="shared" si="69"/>
        <v>9918970.6145586707</v>
      </c>
      <c r="GV80" s="672">
        <f>+GV79</f>
        <v>-163981.22500000009</v>
      </c>
      <c r="GW80" s="676">
        <f>+GW78</f>
        <v>-53183.1</v>
      </c>
      <c r="GX80" s="676">
        <f t="shared" si="70"/>
        <v>-110798.12500000009</v>
      </c>
      <c r="GY80" s="1366">
        <f t="shared" si="90"/>
        <v>-68841.506226996935</v>
      </c>
      <c r="GZ80" s="672">
        <f>+GZ79</f>
        <v>432521.33333333337</v>
      </c>
      <c r="HA80" s="671">
        <f>+HA78</f>
        <v>129756.4</v>
      </c>
      <c r="HB80" s="671">
        <f t="shared" si="71"/>
        <v>302764.93333333335</v>
      </c>
      <c r="HC80" s="1366">
        <f t="shared" si="91"/>
        <v>172544.27495206235</v>
      </c>
      <c r="HD80" s="672">
        <f>+HD79</f>
        <v>1797059.8916666673</v>
      </c>
      <c r="HE80" s="671">
        <f>+HE78</f>
        <v>440096.3</v>
      </c>
      <c r="HF80" s="671">
        <f t="shared" si="92"/>
        <v>1356963.5916666673</v>
      </c>
      <c r="HG80" s="1366">
        <f t="shared" si="93"/>
        <v>631867.47982422041</v>
      </c>
      <c r="HI80" s="589"/>
      <c r="HJ80" s="564"/>
      <c r="HK80" s="564"/>
      <c r="HL80" s="590"/>
      <c r="HM80" s="589"/>
      <c r="HN80" s="564"/>
      <c r="HO80" s="564"/>
      <c r="HP80" s="590"/>
      <c r="HQ80" s="589"/>
      <c r="HR80" s="564"/>
      <c r="HS80" s="564"/>
      <c r="HT80" s="590"/>
    </row>
    <row r="81" spans="1:228">
      <c r="A81" s="649" t="s">
        <v>24</v>
      </c>
      <c r="B81" s="670">
        <v>2027</v>
      </c>
      <c r="C81" s="671">
        <f>+E80</f>
        <v>11479143.590340905</v>
      </c>
      <c r="D81" s="671">
        <f>+C$31</f>
        <v>445791.98409090913</v>
      </c>
      <c r="E81" s="671">
        <f t="shared" si="6"/>
        <v>11033351.606249996</v>
      </c>
      <c r="F81" s="653">
        <f>+C$28*E81+D81</f>
        <v>1715449.5797143492</v>
      </c>
      <c r="G81" s="671">
        <f>+I80</f>
        <v>2953939.1134090885</v>
      </c>
      <c r="H81" s="671">
        <f>+G$31</f>
        <v>115840.74954545456</v>
      </c>
      <c r="I81" s="671">
        <f t="shared" si="7"/>
        <v>2838098.3638636339</v>
      </c>
      <c r="J81" s="653">
        <f>+G$28*I81+H81</f>
        <v>442433.54504421464</v>
      </c>
      <c r="K81" s="672">
        <f>+M80</f>
        <v>7559139.0881249933</v>
      </c>
      <c r="L81" s="671">
        <f>+K$31</f>
        <v>305419.76113636367</v>
      </c>
      <c r="M81" s="671">
        <f t="shared" si="8"/>
        <v>7253719.32698863</v>
      </c>
      <c r="N81" s="653">
        <f>+K$28*M81+L81</f>
        <v>1140138.0016766794</v>
      </c>
      <c r="O81" s="672">
        <f>+Q80</f>
        <v>3201654.5378787853</v>
      </c>
      <c r="P81" s="671">
        <f>+O$31</f>
        <v>119316.31818181818</v>
      </c>
      <c r="Q81" s="671">
        <f t="shared" si="11"/>
        <v>3082338.2196969669</v>
      </c>
      <c r="R81" s="653">
        <f>+O$28*Q81+P81</f>
        <v>474014.89687134541</v>
      </c>
      <c r="S81" s="589">
        <f>+U80</f>
        <v>1467611.9206060581</v>
      </c>
      <c r="T81" s="564">
        <f>+S$31</f>
        <v>58315.705454545445</v>
      </c>
      <c r="U81" s="564">
        <f t="shared" si="12"/>
        <v>1409296.2151515125</v>
      </c>
      <c r="V81" s="590">
        <f>+S$28*U81+T81</f>
        <v>220489.78527240391</v>
      </c>
      <c r="W81" s="589">
        <f>+Y80</f>
        <v>18603378.632575762</v>
      </c>
      <c r="X81" s="564">
        <f>+W$31</f>
        <v>693293.61363636365</v>
      </c>
      <c r="Y81" s="564">
        <f t="shared" si="13"/>
        <v>17910085.018939398</v>
      </c>
      <c r="Z81" s="590">
        <f>+W$28*Y81+X81</f>
        <v>2754287.978184375</v>
      </c>
      <c r="AA81" s="589">
        <f>+AC80</f>
        <v>12134929.535984846</v>
      </c>
      <c r="AB81" s="564">
        <f>+AA$31</f>
        <v>450833.29545454547</v>
      </c>
      <c r="AC81" s="564">
        <f t="shared" si="14"/>
        <v>11684096.240530301</v>
      </c>
      <c r="AD81" s="590">
        <f>+AA$28*AC81+AB81</f>
        <v>1795375.0148883027</v>
      </c>
      <c r="AE81" s="589">
        <f>+AG80</f>
        <v>121843.98863636378</v>
      </c>
      <c r="AF81" s="564">
        <f>+AE$31</f>
        <v>4597.886363636364</v>
      </c>
      <c r="AG81" s="564">
        <f t="shared" si="15"/>
        <v>117246.10227272741</v>
      </c>
      <c r="AH81" s="590">
        <f>+AE$28*AG81+AF81</f>
        <v>18089.92483211822</v>
      </c>
      <c r="AI81" s="589">
        <f>+AK80</f>
        <v>8226070.1856060624</v>
      </c>
      <c r="AJ81" s="564">
        <f>+AI$31</f>
        <v>295547.43181818182</v>
      </c>
      <c r="AK81" s="564">
        <f t="shared" si="19"/>
        <v>7930522.7537878808</v>
      </c>
      <c r="AL81" s="590">
        <f>+AI$28*AK81+AJ81</f>
        <v>1208148.4991047124</v>
      </c>
      <c r="AM81" s="589">
        <f>+AO80</f>
        <v>3048840.1812499999</v>
      </c>
      <c r="AN81" s="564">
        <f>+AM$31</f>
        <v>110866.91568181818</v>
      </c>
      <c r="AO81" s="564">
        <f t="shared" si="16"/>
        <v>2937973.2655681819</v>
      </c>
      <c r="AP81" s="590">
        <f>+AM$28*AO81+AN81</f>
        <v>448952.76715184737</v>
      </c>
      <c r="AQ81" s="589">
        <f>+AS80</f>
        <v>25111869.584318183</v>
      </c>
      <c r="AR81" s="564">
        <f>+AQ$31</f>
        <v>904932.23727272719</v>
      </c>
      <c r="AS81" s="564">
        <f t="shared" si="17"/>
        <v>24206937.347045455</v>
      </c>
      <c r="AT81" s="590">
        <f>+AQ$28*AS81+AR81</f>
        <v>3690533.8356163339</v>
      </c>
      <c r="AU81" s="671"/>
      <c r="AV81" s="671"/>
      <c r="AW81" s="671"/>
      <c r="AX81" s="653"/>
      <c r="AY81" s="671"/>
      <c r="AZ81" s="671"/>
      <c r="BA81" s="671"/>
      <c r="BB81" s="653"/>
      <c r="BC81" s="671"/>
      <c r="BD81" s="671"/>
      <c r="BE81" s="671"/>
      <c r="BF81" s="653"/>
      <c r="BG81" s="671"/>
      <c r="BH81" s="671"/>
      <c r="BI81" s="671"/>
      <c r="BJ81" s="653"/>
      <c r="BK81" s="671"/>
      <c r="BL81" s="671"/>
      <c r="BM81" s="671"/>
      <c r="BN81" s="653"/>
      <c r="BO81" s="671"/>
      <c r="BP81" s="671"/>
      <c r="BQ81" s="671"/>
      <c r="BR81" s="653"/>
      <c r="BS81" s="589">
        <f>+BU80</f>
        <v>232704.81818181835</v>
      </c>
      <c r="BT81" s="564">
        <f>+BS$31</f>
        <v>8310.886363636364</v>
      </c>
      <c r="BU81" s="564">
        <f t="shared" si="18"/>
        <v>224393.931818182</v>
      </c>
      <c r="BV81" s="590">
        <f>+BS$28*BU81+BT81</f>
        <v>34132.909454369335</v>
      </c>
      <c r="BW81" s="589">
        <f>+BY80</f>
        <v>16295764.670454554</v>
      </c>
      <c r="BX81" s="564">
        <f>+BW$31</f>
        <v>576841.22727272729</v>
      </c>
      <c r="BY81" s="564">
        <f t="shared" si="20"/>
        <v>15718923.443181828</v>
      </c>
      <c r="BZ81" s="590">
        <f>+BW$28*BY81+BX81</f>
        <v>2385688.7340769041</v>
      </c>
      <c r="CA81" s="589">
        <f>+CC80</f>
        <v>1537758.2400000012</v>
      </c>
      <c r="CB81" s="564">
        <f>+CA$31</f>
        <v>54433.919999999998</v>
      </c>
      <c r="CC81" s="564">
        <f t="shared" si="21"/>
        <v>1483324.3200000012</v>
      </c>
      <c r="CD81" s="590">
        <f>+CA$28*CC81+CB81</f>
        <v>225126.74815152434</v>
      </c>
      <c r="CE81" s="589">
        <f>+CG80</f>
        <v>133482.07181818192</v>
      </c>
      <c r="CF81" s="564">
        <f>+CE$31</f>
        <v>4725.0290909090909</v>
      </c>
      <c r="CG81" s="564">
        <f t="shared" si="22"/>
        <v>128757.04272727284</v>
      </c>
      <c r="CH81" s="590">
        <f>+CE$28*CG81+CF81</f>
        <v>19541.683460564975</v>
      </c>
      <c r="CI81" s="589">
        <f>+CK80</f>
        <v>361609.77272727247</v>
      </c>
      <c r="CJ81" s="564">
        <f>+CI$31</f>
        <v>12362.727272727272</v>
      </c>
      <c r="CK81" s="564">
        <f t="shared" si="24"/>
        <v>349247.04545454518</v>
      </c>
      <c r="CL81" s="590">
        <f>+CI$28*CK81+CJ81</f>
        <v>52552.161982595877</v>
      </c>
      <c r="CM81" s="589">
        <f>+CO80</f>
        <v>16324593.14914773</v>
      </c>
      <c r="CN81" s="564">
        <f>+CM$31</f>
        <v>483691.64886363636</v>
      </c>
      <c r="CO81" s="564">
        <f t="shared" si="34"/>
        <v>15840901.500284094</v>
      </c>
      <c r="CP81" s="590">
        <f>+CM$28*CO81+CN81</f>
        <v>2306575.7215478993</v>
      </c>
      <c r="CQ81" s="589">
        <f>+CS80</f>
        <v>68098588.795738593</v>
      </c>
      <c r="CR81" s="564">
        <f>+CQ$31</f>
        <v>2017735.9643181816</v>
      </c>
      <c r="CS81" s="564">
        <f t="shared" si="40"/>
        <v>66080852.831420414</v>
      </c>
      <c r="CT81" s="590">
        <f>+CQ$28*CS81+CR81</f>
        <v>9621958.1188230086</v>
      </c>
      <c r="CU81" s="589">
        <f>+CW80</f>
        <v>22990642.665000014</v>
      </c>
      <c r="CV81" s="564">
        <f>+CU$31</f>
        <v>676195.37250000006</v>
      </c>
      <c r="CW81" s="564">
        <f t="shared" si="41"/>
        <v>22314447.292500015</v>
      </c>
      <c r="CX81" s="590">
        <f>+CU$28*CW81+CV81</f>
        <v>3244019.5938374819</v>
      </c>
      <c r="CY81" s="589">
        <f>+DA80</f>
        <v>25313.473295454587</v>
      </c>
      <c r="CZ81" s="564">
        <f>+CY$31</f>
        <v>733.72386363636497</v>
      </c>
      <c r="DA81" s="564">
        <f t="shared" si="42"/>
        <v>24579.749431818222</v>
      </c>
      <c r="DB81" s="590">
        <f>+CY$28*DA81+CZ81</f>
        <v>3562.2266321832144</v>
      </c>
      <c r="DC81" s="589">
        <f>+DE80</f>
        <v>1525175.5409090917</v>
      </c>
      <c r="DD81" s="564">
        <f>+DC$31</f>
        <v>44530.672727272722</v>
      </c>
      <c r="DE81" s="564">
        <f t="shared" si="43"/>
        <v>1480644.8681818191</v>
      </c>
      <c r="DF81" s="590">
        <f>+DC$28*DE81+DD81</f>
        <v>214915.16425775303</v>
      </c>
      <c r="DG81" s="589">
        <f>+DI80</f>
        <v>850061.8639772723</v>
      </c>
      <c r="DH81" s="564">
        <f>+DG$31</f>
        <v>24639.474318181816</v>
      </c>
      <c r="DI81" s="564">
        <f t="shared" si="44"/>
        <v>825422.38965909043</v>
      </c>
      <c r="DJ81" s="590">
        <f>+DG$28*DI81+DH81</f>
        <v>119624.55627955597</v>
      </c>
      <c r="DK81" s="589">
        <f>+DM80</f>
        <v>18780009.302840911</v>
      </c>
      <c r="DL81" s="564">
        <f>+DK$31</f>
        <v>549658.80886363634</v>
      </c>
      <c r="DM81" s="564">
        <f t="shared" si="45"/>
        <v>18230350.493977275</v>
      </c>
      <c r="DN81" s="590">
        <f>+DK$28*DM81+DL81</f>
        <v>2647507.5679337485</v>
      </c>
      <c r="DO81" s="589">
        <f>+DQ80</f>
        <v>689010.08587121172</v>
      </c>
      <c r="DP81" s="564">
        <f t="shared" si="116"/>
        <v>19592.703863636354</v>
      </c>
      <c r="DQ81" s="564">
        <f t="shared" si="60"/>
        <v>669417.38200757536</v>
      </c>
      <c r="DR81" s="590">
        <f t="shared" si="65"/>
        <v>96625.585080511635</v>
      </c>
      <c r="DS81" s="589">
        <f>+DU80</f>
        <v>294499.22181818081</v>
      </c>
      <c r="DT81" s="564">
        <f t="shared" si="117"/>
        <v>8295.7527272726966</v>
      </c>
      <c r="DU81" s="564">
        <f t="shared" si="61"/>
        <v>286203.46909090813</v>
      </c>
      <c r="DV81" s="590">
        <f t="shared" si="66"/>
        <v>41230.478402035755</v>
      </c>
      <c r="DW81" s="589">
        <f>+DY80</f>
        <v>43067.160170454517</v>
      </c>
      <c r="DX81" s="564">
        <f t="shared" si="118"/>
        <v>1221.7634090909089</v>
      </c>
      <c r="DY81" s="564">
        <f t="shared" si="62"/>
        <v>41845.396761363605</v>
      </c>
      <c r="DZ81" s="590">
        <f t="shared" si="67"/>
        <v>6037.1021870054956</v>
      </c>
      <c r="EA81" s="589">
        <f>+EC80</f>
        <v>-255737.49880681984</v>
      </c>
      <c r="EB81" s="564">
        <f t="shared" si="119"/>
        <v>-7120.3015909091364</v>
      </c>
      <c r="EC81" s="564">
        <f t="shared" si="63"/>
        <v>-248617.19721591071</v>
      </c>
      <c r="ED81" s="590">
        <f t="shared" si="68"/>
        <v>-35729.805222514835</v>
      </c>
      <c r="EE81" s="589">
        <f>+EG80</f>
        <v>7188068.756363635</v>
      </c>
      <c r="EF81" s="564">
        <f t="shared" si="120"/>
        <v>192108.74181818182</v>
      </c>
      <c r="EG81" s="564">
        <f t="shared" si="72"/>
        <v>6995960.0145454528</v>
      </c>
      <c r="EH81" s="590">
        <f t="shared" si="73"/>
        <v>997165.4542421659</v>
      </c>
      <c r="EI81" s="589">
        <f>+EK80</f>
        <v>290178.02950757567</v>
      </c>
      <c r="EJ81" s="564">
        <f t="shared" si="121"/>
        <v>7669.903863636363</v>
      </c>
      <c r="EK81" s="564">
        <f t="shared" si="74"/>
        <v>282508.1256439393</v>
      </c>
      <c r="EL81" s="590">
        <f t="shared" si="75"/>
        <v>40179.389679894091</v>
      </c>
      <c r="EM81" s="589">
        <f>+EO80</f>
        <v>9903086.6409090925</v>
      </c>
      <c r="EN81" s="564">
        <f t="shared" si="122"/>
        <v>260607.54318181818</v>
      </c>
      <c r="EO81" s="564">
        <f t="shared" si="76"/>
        <v>9642479.0977272745</v>
      </c>
      <c r="EP81" s="590">
        <f t="shared" si="77"/>
        <v>1370211.1581100936</v>
      </c>
      <c r="EQ81" s="678">
        <f t="shared" si="94"/>
        <v>37298838.377273463</v>
      </c>
      <c r="ER81" s="652"/>
      <c r="ES81" s="674">
        <f>+EQ81</f>
        <v>37298838.377273463</v>
      </c>
      <c r="EV81" s="589"/>
      <c r="EW81" s="564"/>
      <c r="EX81" s="564"/>
      <c r="EY81" s="590"/>
      <c r="EZ81" s="589"/>
      <c r="FA81" s="564"/>
      <c r="FB81" s="564"/>
      <c r="FC81" s="590"/>
      <c r="FD81" s="589"/>
      <c r="FE81" s="564"/>
      <c r="FF81" s="564"/>
      <c r="FG81" s="590"/>
      <c r="FH81" s="589"/>
      <c r="FI81" s="564"/>
      <c r="FJ81" s="564"/>
      <c r="FK81" s="590"/>
      <c r="FL81" s="589"/>
      <c r="FM81" s="564"/>
      <c r="FN81" s="564"/>
      <c r="FO81" s="590"/>
      <c r="FP81" s="589"/>
      <c r="FQ81" s="564"/>
      <c r="FR81" s="564"/>
      <c r="FS81" s="590"/>
      <c r="FT81" s="589"/>
      <c r="FU81" s="564"/>
      <c r="FV81" s="564"/>
      <c r="FW81" s="590"/>
      <c r="FX81" s="589"/>
      <c r="FY81" s="564"/>
      <c r="FZ81" s="564"/>
      <c r="GA81" s="590"/>
      <c r="GB81" s="589"/>
      <c r="GC81" s="564"/>
      <c r="GD81" s="564"/>
      <c r="GE81" s="590"/>
      <c r="GF81" s="589"/>
      <c r="GG81" s="564"/>
      <c r="GH81" s="564"/>
      <c r="GI81" s="590"/>
      <c r="GJ81" s="589"/>
      <c r="GK81" s="564"/>
      <c r="GL81" s="564"/>
      <c r="GM81" s="590"/>
      <c r="GN81" s="589">
        <f>+GP80</f>
        <v>1536170.4454166722</v>
      </c>
      <c r="GO81" s="564">
        <f>+GN$31/12*(12-7)-0.1</f>
        <v>1536170.3454166662</v>
      </c>
      <c r="GP81" s="564">
        <f t="shared" si="114"/>
        <v>0.10000000591389835</v>
      </c>
      <c r="GQ81" s="590">
        <f t="shared" si="115"/>
        <v>1536170.3595490418</v>
      </c>
      <c r="GR81" s="589">
        <f>+GT80</f>
        <v>13380079.418333329</v>
      </c>
      <c r="GS81" s="564">
        <f>+GS79</f>
        <v>8028047.6510000005</v>
      </c>
      <c r="GT81" s="564">
        <f t="shared" si="64"/>
        <v>5352031.7673333287</v>
      </c>
      <c r="GU81" s="590">
        <f t="shared" si="69"/>
        <v>8784416.8364234678</v>
      </c>
      <c r="GV81" s="672">
        <f>+GX80</f>
        <v>-110798.12500000009</v>
      </c>
      <c r="GW81" s="676">
        <f>+GW79</f>
        <v>-53183.1</v>
      </c>
      <c r="GX81" s="676">
        <f t="shared" si="70"/>
        <v>-57615.025000000089</v>
      </c>
      <c r="GY81" s="1366">
        <f t="shared" si="90"/>
        <v>-61325.471238038408</v>
      </c>
      <c r="GZ81" s="672">
        <f>+HB80</f>
        <v>302764.93333333335</v>
      </c>
      <c r="HA81" s="671">
        <f>+HA79</f>
        <v>129756.4</v>
      </c>
      <c r="HB81" s="671">
        <f t="shared" si="71"/>
        <v>173008.53333333335</v>
      </c>
      <c r="HC81" s="1366">
        <f t="shared" si="91"/>
        <v>154206.61425832135</v>
      </c>
      <c r="HD81" s="672">
        <f>+HF80</f>
        <v>1356963.5916666673</v>
      </c>
      <c r="HE81" s="671">
        <f>+HE79</f>
        <v>440096.3</v>
      </c>
      <c r="HF81" s="671">
        <f t="shared" si="92"/>
        <v>916867.29166666721</v>
      </c>
      <c r="HG81" s="1366">
        <f t="shared" si="93"/>
        <v>569671.42150285165</v>
      </c>
      <c r="HI81" s="589"/>
      <c r="HJ81" s="564"/>
      <c r="HK81" s="564"/>
      <c r="HL81" s="590"/>
      <c r="HM81" s="589"/>
      <c r="HN81" s="564"/>
      <c r="HO81" s="564"/>
      <c r="HP81" s="590"/>
      <c r="HQ81" s="589"/>
      <c r="HR81" s="564"/>
      <c r="HS81" s="564"/>
      <c r="HT81" s="590"/>
    </row>
    <row r="82" spans="1:228">
      <c r="A82" s="649" t="s">
        <v>23</v>
      </c>
      <c r="B82" s="670">
        <v>2027</v>
      </c>
      <c r="C82" s="671">
        <f>+C81</f>
        <v>11479143.590340905</v>
      </c>
      <c r="D82" s="671">
        <f>+D81</f>
        <v>445791.98409090913</v>
      </c>
      <c r="E82" s="671">
        <f t="shared" si="6"/>
        <v>11033351.606249996</v>
      </c>
      <c r="F82" s="653">
        <f>+C$29*E82+D82</f>
        <v>1782787.2878864624</v>
      </c>
      <c r="G82" s="671">
        <f>+G81</f>
        <v>2953939.1134090885</v>
      </c>
      <c r="H82" s="671">
        <f>+H81</f>
        <v>115840.74954545456</v>
      </c>
      <c r="I82" s="671">
        <f t="shared" si="7"/>
        <v>2838098.3638636339</v>
      </c>
      <c r="J82" s="653">
        <f>+G$29*I82+H82</f>
        <v>459754.75859833934</v>
      </c>
      <c r="K82" s="672">
        <f>+K81</f>
        <v>7559139.0881249933</v>
      </c>
      <c r="L82" s="671">
        <f>+L81</f>
        <v>305419.76113636367</v>
      </c>
      <c r="M82" s="671">
        <f t="shared" si="8"/>
        <v>7253719.32698863</v>
      </c>
      <c r="N82" s="653">
        <f>+K$29*M82+L82</f>
        <v>1184408.2155368528</v>
      </c>
      <c r="O82" s="672">
        <f>+O81</f>
        <v>3201654.5378787853</v>
      </c>
      <c r="P82" s="671">
        <f>+P81</f>
        <v>119316.31818181818</v>
      </c>
      <c r="Q82" s="671">
        <f t="shared" si="11"/>
        <v>3082338.2196969669</v>
      </c>
      <c r="R82" s="653">
        <f>+O$29*Q82+P82</f>
        <v>492826.73201744293</v>
      </c>
      <c r="S82" s="589">
        <f>+S81</f>
        <v>1467611.9206060581</v>
      </c>
      <c r="T82" s="564">
        <f>+T81</f>
        <v>58315.705454545445</v>
      </c>
      <c r="U82" s="564">
        <f t="shared" si="12"/>
        <v>1409296.2151515125</v>
      </c>
      <c r="V82" s="590">
        <f>+S$29*U82+T82</f>
        <v>229090.86866488634</v>
      </c>
      <c r="W82" s="589">
        <f>+W81</f>
        <v>18603378.632575762</v>
      </c>
      <c r="X82" s="564">
        <f>+X81</f>
        <v>693293.61363636365</v>
      </c>
      <c r="Y82" s="564">
        <f t="shared" si="13"/>
        <v>17910085.018939398</v>
      </c>
      <c r="Z82" s="590">
        <f>+W$29*Y82+X82</f>
        <v>2863595.1154335774</v>
      </c>
      <c r="AA82" s="589">
        <f>+AA81</f>
        <v>12134929.535984846</v>
      </c>
      <c r="AB82" s="564">
        <f>+AB81</f>
        <v>450833.29545454547</v>
      </c>
      <c r="AC82" s="564">
        <f t="shared" si="14"/>
        <v>11684096.240530301</v>
      </c>
      <c r="AD82" s="590">
        <f>+AA$29*AC82+AB82</f>
        <v>1866684.2861757355</v>
      </c>
      <c r="AE82" s="589">
        <f>+AE81</f>
        <v>121843.98863636378</v>
      </c>
      <c r="AF82" s="564">
        <f>+AF81</f>
        <v>4597.886363636364</v>
      </c>
      <c r="AG82" s="564">
        <f t="shared" si="15"/>
        <v>117246.10227272741</v>
      </c>
      <c r="AH82" s="590">
        <f>+AE$29*AG82+AF82</f>
        <v>18805.490156320015</v>
      </c>
      <c r="AI82" s="589">
        <f>+AI81</f>
        <v>8226070.1856060624</v>
      </c>
      <c r="AJ82" s="564">
        <f>+AJ81</f>
        <v>295547.43181818182</v>
      </c>
      <c r="AK82" s="564">
        <f t="shared" si="19"/>
        <v>7930522.7537878808</v>
      </c>
      <c r="AL82" s="590">
        <f>+AI$29*AK82+AJ82</f>
        <v>1256549.3156384996</v>
      </c>
      <c r="AM82" s="589">
        <f>+AM81</f>
        <v>3048840.1812499999</v>
      </c>
      <c r="AN82" s="564">
        <f>+AN81</f>
        <v>110866.91568181818</v>
      </c>
      <c r="AO82" s="564">
        <f t="shared" si="16"/>
        <v>2937973.2655681819</v>
      </c>
      <c r="AP82" s="590">
        <f>+AM$29*AO82+AN82</f>
        <v>466883.52776154585</v>
      </c>
      <c r="AQ82" s="589">
        <f>+AQ81</f>
        <v>25111869.584318183</v>
      </c>
      <c r="AR82" s="564">
        <f>+AR81</f>
        <v>904932.23727272719</v>
      </c>
      <c r="AS82" s="564">
        <f t="shared" si="17"/>
        <v>24206937.347045455</v>
      </c>
      <c r="AT82" s="590">
        <f>+AQ$29*AS82+AR82</f>
        <v>3838271.3265427188</v>
      </c>
      <c r="AU82" s="671"/>
      <c r="AV82" s="671"/>
      <c r="AW82" s="671"/>
      <c r="AX82" s="653"/>
      <c r="AY82" s="671"/>
      <c r="AZ82" s="671"/>
      <c r="BA82" s="671"/>
      <c r="BB82" s="653"/>
      <c r="BC82" s="671"/>
      <c r="BD82" s="671"/>
      <c r="BE82" s="671"/>
      <c r="BF82" s="653"/>
      <c r="BG82" s="671"/>
      <c r="BH82" s="671"/>
      <c r="BI82" s="671"/>
      <c r="BJ82" s="653"/>
      <c r="BK82" s="671"/>
      <c r="BL82" s="671"/>
      <c r="BM82" s="671"/>
      <c r="BN82" s="653"/>
      <c r="BO82" s="671"/>
      <c r="BP82" s="671"/>
      <c r="BQ82" s="671"/>
      <c r="BR82" s="653"/>
      <c r="BS82" s="589">
        <f>+BS81</f>
        <v>232704.81818181835</v>
      </c>
      <c r="BT82" s="564">
        <f>+BT81</f>
        <v>8310.886363636364</v>
      </c>
      <c r="BU82" s="564">
        <f t="shared" si="18"/>
        <v>224393.931818182</v>
      </c>
      <c r="BV82" s="590">
        <f>+BS$29*BU82+BT82</f>
        <v>35502.409279590749</v>
      </c>
      <c r="BW82" s="589">
        <f>+BW81</f>
        <v>16295764.670454554</v>
      </c>
      <c r="BX82" s="564">
        <f>+BX81</f>
        <v>576841.22727272729</v>
      </c>
      <c r="BY82" s="564">
        <f t="shared" si="20"/>
        <v>15718923.443181828</v>
      </c>
      <c r="BZ82" s="590">
        <f>+BW$29*BY82+BX82</f>
        <v>2385688.7340769041</v>
      </c>
      <c r="CA82" s="589">
        <f>+CA81</f>
        <v>1537758.2400000012</v>
      </c>
      <c r="CB82" s="564">
        <f>+CB81</f>
        <v>54433.919999999998</v>
      </c>
      <c r="CC82" s="564">
        <f t="shared" si="21"/>
        <v>1483324.3200000012</v>
      </c>
      <c r="CD82" s="590">
        <f>+CA$29*CC82+CB82</f>
        <v>234179.63287316938</v>
      </c>
      <c r="CE82" s="589">
        <f>+CE81</f>
        <v>133482.07181818192</v>
      </c>
      <c r="CF82" s="564">
        <f>+CF81</f>
        <v>4725.0290909090909</v>
      </c>
      <c r="CG82" s="564">
        <f t="shared" si="22"/>
        <v>128757.04272727284</v>
      </c>
      <c r="CH82" s="590">
        <f>+CE$29*CG82+CF82</f>
        <v>20327.501268035376</v>
      </c>
      <c r="CI82" s="589">
        <f>+CI81</f>
        <v>361609.77272727247</v>
      </c>
      <c r="CJ82" s="564">
        <f>+CJ81</f>
        <v>12362.727272727272</v>
      </c>
      <c r="CK82" s="564">
        <f t="shared" si="24"/>
        <v>349247.04545454518</v>
      </c>
      <c r="CL82" s="590">
        <f>+CI$29*CK82+CJ82</f>
        <v>52552.161982595877</v>
      </c>
      <c r="CM82" s="589">
        <f>+CM81</f>
        <v>16324593.14914773</v>
      </c>
      <c r="CN82" s="564">
        <f>+CN81</f>
        <v>483691.64886363636</v>
      </c>
      <c r="CO82" s="564">
        <f t="shared" si="34"/>
        <v>15840901.500284094</v>
      </c>
      <c r="CP82" s="590">
        <f>+CM$29*CO82+CN82</f>
        <v>2306575.7215478993</v>
      </c>
      <c r="CQ82" s="589">
        <f>+CQ81</f>
        <v>68098588.795738593</v>
      </c>
      <c r="CR82" s="564">
        <f>+CR81</f>
        <v>2017735.9643181816</v>
      </c>
      <c r="CS82" s="564">
        <f t="shared" si="40"/>
        <v>66080852.831420414</v>
      </c>
      <c r="CT82" s="590">
        <f>+CQ$29*CS82+CR82</f>
        <v>9621958.1188230086</v>
      </c>
      <c r="CU82" s="589">
        <f>+CU81</f>
        <v>22990642.665000014</v>
      </c>
      <c r="CV82" s="564">
        <f>+CV81</f>
        <v>676195.37250000006</v>
      </c>
      <c r="CW82" s="564">
        <f t="shared" si="41"/>
        <v>22314447.292500015</v>
      </c>
      <c r="CX82" s="590">
        <f>+CU$29*CW82+CV82</f>
        <v>3244019.5938374819</v>
      </c>
      <c r="CY82" s="589">
        <f>+CY81</f>
        <v>25313.473295454587</v>
      </c>
      <c r="CZ82" s="564">
        <f>+CZ81</f>
        <v>733.72386363636497</v>
      </c>
      <c r="DA82" s="564">
        <f t="shared" si="42"/>
        <v>24579.749431818222</v>
      </c>
      <c r="DB82" s="590">
        <f>+CY$29*DA82+CZ82</f>
        <v>3562.2266321832144</v>
      </c>
      <c r="DC82" s="589">
        <f>+DC81</f>
        <v>1525175.5409090917</v>
      </c>
      <c r="DD82" s="564">
        <f>+DD81</f>
        <v>44530.672727272722</v>
      </c>
      <c r="DE82" s="564">
        <f t="shared" si="43"/>
        <v>1480644.8681818191</v>
      </c>
      <c r="DF82" s="590">
        <f>+DC$29*DE82+DD82</f>
        <v>214915.16425775303</v>
      </c>
      <c r="DG82" s="589">
        <f>+DG81</f>
        <v>850061.8639772723</v>
      </c>
      <c r="DH82" s="564">
        <f>+DH81</f>
        <v>24639.474318181816</v>
      </c>
      <c r="DI82" s="564">
        <f t="shared" si="44"/>
        <v>825422.38965909043</v>
      </c>
      <c r="DJ82" s="590">
        <f>+DG$29*DI82+DH82</f>
        <v>119624.55627955597</v>
      </c>
      <c r="DK82" s="589">
        <f>+DK81</f>
        <v>18780009.302840911</v>
      </c>
      <c r="DL82" s="564">
        <f>+DL81</f>
        <v>549658.80886363634</v>
      </c>
      <c r="DM82" s="564">
        <f t="shared" si="45"/>
        <v>18230350.493977275</v>
      </c>
      <c r="DN82" s="590">
        <f>+DK$29*DM82+DL82</f>
        <v>2647507.5679337485</v>
      </c>
      <c r="DO82" s="589">
        <f>+DO81</f>
        <v>689010.08587121172</v>
      </c>
      <c r="DP82" s="564">
        <f t="shared" si="116"/>
        <v>19592.703863636354</v>
      </c>
      <c r="DQ82" s="564">
        <f t="shared" si="60"/>
        <v>669417.38200757536</v>
      </c>
      <c r="DR82" s="590">
        <f t="shared" si="65"/>
        <v>96625.585080511635</v>
      </c>
      <c r="DS82" s="589">
        <f>+DS81</f>
        <v>294499.22181818081</v>
      </c>
      <c r="DT82" s="564">
        <f t="shared" si="117"/>
        <v>8295.7527272726966</v>
      </c>
      <c r="DU82" s="564">
        <f t="shared" si="61"/>
        <v>286203.46909090813</v>
      </c>
      <c r="DV82" s="590">
        <f t="shared" si="66"/>
        <v>41230.478402035755</v>
      </c>
      <c r="DW82" s="589">
        <f>+DW81</f>
        <v>43067.160170454517</v>
      </c>
      <c r="DX82" s="564">
        <f t="shared" si="118"/>
        <v>1221.7634090909089</v>
      </c>
      <c r="DY82" s="564">
        <f t="shared" si="62"/>
        <v>41845.396761363605</v>
      </c>
      <c r="DZ82" s="590">
        <f t="shared" si="67"/>
        <v>6037.1021870054956</v>
      </c>
      <c r="EA82" s="589">
        <f>+EA81</f>
        <v>-255737.49880681984</v>
      </c>
      <c r="EB82" s="564">
        <f t="shared" si="119"/>
        <v>-7120.3015909091364</v>
      </c>
      <c r="EC82" s="564">
        <f t="shared" si="63"/>
        <v>-248617.19721591071</v>
      </c>
      <c r="ED82" s="590">
        <f t="shared" si="68"/>
        <v>-35729.805222514835</v>
      </c>
      <c r="EE82" s="589">
        <f>+EE81</f>
        <v>7188068.756363635</v>
      </c>
      <c r="EF82" s="564">
        <f t="shared" si="120"/>
        <v>192108.74181818182</v>
      </c>
      <c r="EG82" s="564">
        <f t="shared" si="72"/>
        <v>6995960.0145454528</v>
      </c>
      <c r="EH82" s="590">
        <f t="shared" si="73"/>
        <v>997165.4542421659</v>
      </c>
      <c r="EI82" s="589">
        <f>+EI81</f>
        <v>290178.02950757567</v>
      </c>
      <c r="EJ82" s="564">
        <f t="shared" si="121"/>
        <v>7669.903863636363</v>
      </c>
      <c r="EK82" s="564">
        <f t="shared" si="74"/>
        <v>282508.1256439393</v>
      </c>
      <c r="EL82" s="590">
        <f t="shared" si="75"/>
        <v>40179.389679894091</v>
      </c>
      <c r="EM82" s="589">
        <f>+EM81</f>
        <v>9903086.6409090925</v>
      </c>
      <c r="EN82" s="564">
        <f t="shared" si="122"/>
        <v>260607.54318181818</v>
      </c>
      <c r="EO82" s="564">
        <f t="shared" si="76"/>
        <v>9642479.0977272745</v>
      </c>
      <c r="EP82" s="590">
        <f t="shared" si="77"/>
        <v>1370211.1581100936</v>
      </c>
      <c r="EQ82" s="678">
        <f t="shared" si="94"/>
        <v>37861789.675683498</v>
      </c>
      <c r="ER82" s="675">
        <f>+EQ82</f>
        <v>37861789.675683498</v>
      </c>
      <c r="ES82" s="648"/>
      <c r="EV82" s="589"/>
      <c r="EW82" s="564"/>
      <c r="EX82" s="564"/>
      <c r="EY82" s="590"/>
      <c r="EZ82" s="589"/>
      <c r="FA82" s="564"/>
      <c r="FB82" s="564"/>
      <c r="FC82" s="590"/>
      <c r="FD82" s="589"/>
      <c r="FE82" s="564"/>
      <c r="FF82" s="564"/>
      <c r="FG82" s="590"/>
      <c r="FH82" s="589"/>
      <c r="FI82" s="564"/>
      <c r="FJ82" s="564"/>
      <c r="FK82" s="590"/>
      <c r="FL82" s="589"/>
      <c r="FM82" s="564"/>
      <c r="FN82" s="564"/>
      <c r="FO82" s="590"/>
      <c r="FP82" s="589"/>
      <c r="FQ82" s="564"/>
      <c r="FR82" s="564"/>
      <c r="FS82" s="590"/>
      <c r="FT82" s="589"/>
      <c r="FU82" s="564"/>
      <c r="FV82" s="564"/>
      <c r="FW82" s="590"/>
      <c r="FX82" s="589"/>
      <c r="FY82" s="564"/>
      <c r="FZ82" s="564"/>
      <c r="GA82" s="590"/>
      <c r="GB82" s="589"/>
      <c r="GC82" s="564"/>
      <c r="GD82" s="564"/>
      <c r="GE82" s="590"/>
      <c r="GF82" s="589"/>
      <c r="GG82" s="564"/>
      <c r="GH82" s="564"/>
      <c r="GI82" s="590"/>
      <c r="GJ82" s="589"/>
      <c r="GK82" s="564"/>
      <c r="GL82" s="564"/>
      <c r="GM82" s="590"/>
      <c r="GN82" s="589">
        <f>+GN81</f>
        <v>1536170.4454166722</v>
      </c>
      <c r="GO82" s="564">
        <f>+GO81</f>
        <v>1536170.3454166662</v>
      </c>
      <c r="GP82" s="564">
        <f t="shared" si="114"/>
        <v>0.10000000591389835</v>
      </c>
      <c r="GQ82" s="590">
        <f t="shared" si="115"/>
        <v>1536170.3595490418</v>
      </c>
      <c r="GR82" s="589">
        <f>+GR81</f>
        <v>13380079.418333329</v>
      </c>
      <c r="GS82" s="564">
        <f>+GS80</f>
        <v>8028047.6510000005</v>
      </c>
      <c r="GT82" s="564">
        <f t="shared" si="64"/>
        <v>5352031.7673333287</v>
      </c>
      <c r="GU82" s="590">
        <f t="shared" si="69"/>
        <v>8784416.8364234678</v>
      </c>
      <c r="GV82" s="672">
        <f>+GV81</f>
        <v>-110798.12500000009</v>
      </c>
      <c r="GW82" s="676">
        <f>+GW80</f>
        <v>-53183.1</v>
      </c>
      <c r="GX82" s="676">
        <f t="shared" si="70"/>
        <v>-57615.025000000089</v>
      </c>
      <c r="GY82" s="1366">
        <f t="shared" si="90"/>
        <v>-61325.471238038408</v>
      </c>
      <c r="GZ82" s="672">
        <f>+GZ81</f>
        <v>302764.93333333335</v>
      </c>
      <c r="HA82" s="671">
        <f>+HA80</f>
        <v>129756.4</v>
      </c>
      <c r="HB82" s="671">
        <f t="shared" si="71"/>
        <v>173008.53333333335</v>
      </c>
      <c r="HC82" s="1366">
        <f t="shared" si="91"/>
        <v>154206.61425832135</v>
      </c>
      <c r="HD82" s="672">
        <f>+HD81</f>
        <v>1356963.5916666673</v>
      </c>
      <c r="HE82" s="671">
        <f>+HE80</f>
        <v>440096.3</v>
      </c>
      <c r="HF82" s="671">
        <f t="shared" si="92"/>
        <v>916867.29166666721</v>
      </c>
      <c r="HG82" s="1366">
        <f t="shared" si="93"/>
        <v>569671.42150285165</v>
      </c>
      <c r="HI82" s="589"/>
      <c r="HJ82" s="564"/>
      <c r="HK82" s="564"/>
      <c r="HL82" s="590"/>
      <c r="HM82" s="589"/>
      <c r="HN82" s="564"/>
      <c r="HO82" s="564"/>
      <c r="HP82" s="590"/>
      <c r="HQ82" s="589"/>
      <c r="HR82" s="564"/>
      <c r="HS82" s="564"/>
      <c r="HT82" s="590"/>
    </row>
    <row r="83" spans="1:228">
      <c r="A83" s="649" t="s">
        <v>24</v>
      </c>
      <c r="B83" s="670">
        <v>2028</v>
      </c>
      <c r="C83" s="671">
        <f>+E82</f>
        <v>11033351.606249996</v>
      </c>
      <c r="D83" s="671">
        <f>+C$31</f>
        <v>445791.98409090913</v>
      </c>
      <c r="E83" s="671">
        <f t="shared" si="6"/>
        <v>10587559.622159086</v>
      </c>
      <c r="F83" s="653">
        <f>+C$28*E83+D83</f>
        <v>1664150.2829214828</v>
      </c>
      <c r="G83" s="671">
        <f>+I82</f>
        <v>2838098.3638636339</v>
      </c>
      <c r="H83" s="671">
        <f>+G$31</f>
        <v>115840.74954545456</v>
      </c>
      <c r="I83" s="671">
        <f t="shared" si="7"/>
        <v>2722257.6143181794</v>
      </c>
      <c r="J83" s="653">
        <f>+G$28*I83+H83</f>
        <v>429103.22686059173</v>
      </c>
      <c r="K83" s="672">
        <f>+M82</f>
        <v>7253719.32698863</v>
      </c>
      <c r="L83" s="671">
        <f>+K$31</f>
        <v>305419.76113636367</v>
      </c>
      <c r="M83" s="671">
        <f t="shared" si="8"/>
        <v>6948299.5658522667</v>
      </c>
      <c r="N83" s="653">
        <f>+K$28*M83+L83</f>
        <v>1104991.9704960345</v>
      </c>
      <c r="O83" s="672">
        <f>+Q82</f>
        <v>3082338.2196969669</v>
      </c>
      <c r="P83" s="671">
        <f>+O$31</f>
        <v>119316.31818181818</v>
      </c>
      <c r="Q83" s="671">
        <f t="shared" si="11"/>
        <v>2963021.9015151486</v>
      </c>
      <c r="R83" s="653">
        <f>+O$28*Q83+P83</f>
        <v>460284.62930917012</v>
      </c>
      <c r="S83" s="589">
        <f>+U82</f>
        <v>1409296.2151515125</v>
      </c>
      <c r="T83" s="564">
        <f>+S$31</f>
        <v>58315.705454545445</v>
      </c>
      <c r="U83" s="564">
        <f t="shared" si="12"/>
        <v>1350980.509696967</v>
      </c>
      <c r="V83" s="590">
        <f>+S$28*U83+T83</f>
        <v>213779.13369373386</v>
      </c>
      <c r="W83" s="589">
        <f>+Y82</f>
        <v>17910085.018939398</v>
      </c>
      <c r="X83" s="564">
        <f>+W$31</f>
        <v>693293.61363636365</v>
      </c>
      <c r="Y83" s="564">
        <f t="shared" si="13"/>
        <v>17216791.405303035</v>
      </c>
      <c r="Z83" s="590">
        <f>+W$28*Y83+X83</f>
        <v>2674507.5511696134</v>
      </c>
      <c r="AA83" s="589">
        <f>+AC82</f>
        <v>11684096.240530301</v>
      </c>
      <c r="AB83" s="564">
        <f>+AA$31</f>
        <v>450833.29545454547</v>
      </c>
      <c r="AC83" s="564">
        <f t="shared" si="14"/>
        <v>11233262.945075756</v>
      </c>
      <c r="AD83" s="590">
        <f>+AA$28*AC83+AB83</f>
        <v>1743495.5916304085</v>
      </c>
      <c r="AE83" s="589">
        <f>+AG82</f>
        <v>117246.10227272741</v>
      </c>
      <c r="AF83" s="564">
        <f>+AE$31</f>
        <v>4597.886363636364</v>
      </c>
      <c r="AG83" s="564">
        <f t="shared" si="15"/>
        <v>112648.21590909104</v>
      </c>
      <c r="AH83" s="590">
        <f>+AE$28*AG83+AF83</f>
        <v>17560.82528433462</v>
      </c>
      <c r="AI83" s="589">
        <f>+AK82</f>
        <v>7930522.7537878808</v>
      </c>
      <c r="AJ83" s="564">
        <f>+AI$31</f>
        <v>295547.43181818182</v>
      </c>
      <c r="AK83" s="564">
        <f t="shared" si="19"/>
        <v>7634975.3219696991</v>
      </c>
      <c r="AL83" s="590">
        <f>+AI$28*AK83+AJ83</f>
        <v>1174138.5214418604</v>
      </c>
      <c r="AM83" s="589">
        <f>+AO82</f>
        <v>2937973.2655681819</v>
      </c>
      <c r="AN83" s="564">
        <f>+AM$31</f>
        <v>110866.91568181818</v>
      </c>
      <c r="AO83" s="564">
        <f t="shared" si="16"/>
        <v>2827106.3498863638</v>
      </c>
      <c r="AP83" s="590">
        <f>+AM$28*AO83+AN83</f>
        <v>436194.81049260101</v>
      </c>
      <c r="AQ83" s="589">
        <f>+AS82</f>
        <v>24206937.347045455</v>
      </c>
      <c r="AR83" s="564">
        <f>+AQ$31</f>
        <v>904932.23727272719</v>
      </c>
      <c r="AS83" s="564">
        <f t="shared" si="17"/>
        <v>23302005.109772727</v>
      </c>
      <c r="AT83" s="590">
        <f>+AQ$28*AS83+AR83</f>
        <v>3586399.1964259185</v>
      </c>
      <c r="AU83" s="671"/>
      <c r="AV83" s="671"/>
      <c r="AW83" s="671"/>
      <c r="AX83" s="653"/>
      <c r="AY83" s="671"/>
      <c r="AZ83" s="671"/>
      <c r="BA83" s="671"/>
      <c r="BB83" s="653"/>
      <c r="BC83" s="671"/>
      <c r="BD83" s="671"/>
      <c r="BE83" s="671"/>
      <c r="BF83" s="653"/>
      <c r="BG83" s="671"/>
      <c r="BH83" s="671"/>
      <c r="BI83" s="671"/>
      <c r="BJ83" s="653"/>
      <c r="BK83" s="671"/>
      <c r="BL83" s="671"/>
      <c r="BM83" s="671"/>
      <c r="BN83" s="653"/>
      <c r="BO83" s="671"/>
      <c r="BP83" s="671"/>
      <c r="BQ83" s="671"/>
      <c r="BR83" s="653"/>
      <c r="BS83" s="589">
        <f>+BU82</f>
        <v>224393.931818182</v>
      </c>
      <c r="BT83" s="564">
        <f>+BS$31</f>
        <v>8310.886363636364</v>
      </c>
      <c r="BU83" s="564">
        <f t="shared" si="18"/>
        <v>216083.04545454565</v>
      </c>
      <c r="BV83" s="590">
        <f>+BS$28*BU83+BT83</f>
        <v>33176.538228786638</v>
      </c>
      <c r="BW83" s="589">
        <f>+BY82</f>
        <v>15718923.443181828</v>
      </c>
      <c r="BX83" s="564">
        <f>+BW$31</f>
        <v>576841.22727272729</v>
      </c>
      <c r="BY83" s="564">
        <f t="shared" si="20"/>
        <v>15142082.215909101</v>
      </c>
      <c r="BZ83" s="590">
        <f>+BW$28*BY83+BX83</f>
        <v>2319309.0090565672</v>
      </c>
      <c r="CA83" s="589">
        <f>+CC82</f>
        <v>1483324.3200000012</v>
      </c>
      <c r="CB83" s="564">
        <f>+CA$31</f>
        <v>54433.919999999998</v>
      </c>
      <c r="CC83" s="564">
        <f t="shared" si="21"/>
        <v>1428890.4000000013</v>
      </c>
      <c r="CD83" s="590">
        <f>+CA$28*CC83+CB83</f>
        <v>218862.79115513817</v>
      </c>
      <c r="CE83" s="589">
        <f>+CG82</f>
        <v>128757.04272727284</v>
      </c>
      <c r="CF83" s="564">
        <f>+CE$31</f>
        <v>4725.0290909090909</v>
      </c>
      <c r="CG83" s="564">
        <f t="shared" si="22"/>
        <v>124032.01363636376</v>
      </c>
      <c r="CH83" s="590">
        <f>+CE$28*CG83+CF83</f>
        <v>18997.953024981274</v>
      </c>
      <c r="CI83" s="589">
        <f>+CK82</f>
        <v>349247.04545454518</v>
      </c>
      <c r="CJ83" s="564">
        <f>+CI$31</f>
        <v>12362.727272727272</v>
      </c>
      <c r="CK83" s="564">
        <f t="shared" si="24"/>
        <v>336884.31818181789</v>
      </c>
      <c r="CL83" s="590">
        <f>+CI$28*CK83+CJ83</f>
        <v>51129.527125609377</v>
      </c>
      <c r="CM83" s="589">
        <f>+CO82</f>
        <v>15840901.500284094</v>
      </c>
      <c r="CN83" s="564">
        <f>+CM$31</f>
        <v>483691.64886363636</v>
      </c>
      <c r="CO83" s="564">
        <f t="shared" si="34"/>
        <v>15357209.851420458</v>
      </c>
      <c r="CP83" s="590">
        <f>+CM$28*CO83+CN83</f>
        <v>2250915.1391758607</v>
      </c>
      <c r="CQ83" s="589">
        <f>+CS82</f>
        <v>66080852.831420414</v>
      </c>
      <c r="CR83" s="564">
        <f>+CQ$31</f>
        <v>2017735.9643181816</v>
      </c>
      <c r="CS83" s="564">
        <f t="shared" si="40"/>
        <v>64063116.867102236</v>
      </c>
      <c r="CT83" s="590">
        <f>+CQ$28*CS83+CR83</f>
        <v>9389768.1293724794</v>
      </c>
      <c r="CU83" s="589">
        <f>+CW82</f>
        <v>22314447.292500015</v>
      </c>
      <c r="CV83" s="564">
        <f>+CU$31</f>
        <v>676195.37250000006</v>
      </c>
      <c r="CW83" s="564">
        <f t="shared" si="41"/>
        <v>21638251.920000017</v>
      </c>
      <c r="CX83" s="590">
        <f>+CU$28*CW83+CV83</f>
        <v>3166206.7386454372</v>
      </c>
      <c r="CY83" s="589">
        <f>+DA82</f>
        <v>24579.749431818222</v>
      </c>
      <c r="CZ83" s="564">
        <f>+CY$31</f>
        <v>733.72386363636497</v>
      </c>
      <c r="DA83" s="564">
        <f t="shared" si="42"/>
        <v>23846.025568181856</v>
      </c>
      <c r="DB83" s="590">
        <f>+CY$28*DA83+CZ83</f>
        <v>3477.7937137191293</v>
      </c>
      <c r="DC83" s="589">
        <f>+DE82</f>
        <v>1480644.8681818191</v>
      </c>
      <c r="DD83" s="564">
        <f>+DC$31</f>
        <v>44530.672727272722</v>
      </c>
      <c r="DE83" s="564">
        <f t="shared" si="43"/>
        <v>1436114.1954545465</v>
      </c>
      <c r="DF83" s="590">
        <f>+DC$28*DE83+DD83</f>
        <v>209790.81864781381</v>
      </c>
      <c r="DG83" s="589">
        <f>+DI82</f>
        <v>825422.38965909043</v>
      </c>
      <c r="DH83" s="564">
        <f>+DG$31</f>
        <v>24639.474318181816</v>
      </c>
      <c r="DI83" s="564">
        <f t="shared" si="44"/>
        <v>800782.91534090857</v>
      </c>
      <c r="DJ83" s="590">
        <f>+DG$28*DI83+DH83</f>
        <v>116789.18069861943</v>
      </c>
      <c r="DK83" s="589">
        <f>+DM82</f>
        <v>18230350.493977275</v>
      </c>
      <c r="DL83" s="564">
        <f>+DK$31</f>
        <v>549658.80886363634</v>
      </c>
      <c r="DM83" s="564">
        <f t="shared" si="45"/>
        <v>17680691.685113639</v>
      </c>
      <c r="DN83" s="590">
        <f>+DK$28*DM83+DL83</f>
        <v>2584255.8465547496</v>
      </c>
      <c r="DO83" s="589">
        <f>+DQ82</f>
        <v>669417.38200757536</v>
      </c>
      <c r="DP83" s="564">
        <f t="shared" si="116"/>
        <v>19592.703863636354</v>
      </c>
      <c r="DQ83" s="564">
        <f t="shared" ref="DQ83:DQ84" si="123">+DO83-DP83</f>
        <v>649824.678143939</v>
      </c>
      <c r="DR83" s="590">
        <f t="shared" ref="DR83:DR84" si="124">+DO$29*DQ83+DP83</f>
        <v>94370.964166846999</v>
      </c>
      <c r="DS83" s="589">
        <f>+DU82</f>
        <v>286203.46909090813</v>
      </c>
      <c r="DT83" s="564">
        <f t="shared" si="117"/>
        <v>8295.7527272726966</v>
      </c>
      <c r="DU83" s="564">
        <f t="shared" si="61"/>
        <v>277907.71636363544</v>
      </c>
      <c r="DV83" s="590">
        <f t="shared" si="66"/>
        <v>40275.848672332475</v>
      </c>
      <c r="DW83" s="589">
        <f>+DY82</f>
        <v>41845.396761363605</v>
      </c>
      <c r="DX83" s="564">
        <f t="shared" si="118"/>
        <v>1221.7634090909089</v>
      </c>
      <c r="DY83" s="564">
        <f t="shared" si="62"/>
        <v>40623.633352272693</v>
      </c>
      <c r="DZ83" s="590">
        <f t="shared" si="67"/>
        <v>5896.5083540736823</v>
      </c>
      <c r="EA83" s="589">
        <f>+EC82</f>
        <v>-248617.19721591071</v>
      </c>
      <c r="EB83" s="564">
        <f t="shared" si="119"/>
        <v>-7120.3015909091364</v>
      </c>
      <c r="EC83" s="564">
        <f t="shared" si="63"/>
        <v>-241496.89562500158</v>
      </c>
      <c r="ED83" s="590">
        <f t="shared" si="68"/>
        <v>-34910.439963375764</v>
      </c>
      <c r="EE83" s="589">
        <f>+EG82</f>
        <v>6995960.0145454528</v>
      </c>
      <c r="EF83" s="564">
        <f t="shared" si="120"/>
        <v>192108.74181818182</v>
      </c>
      <c r="EG83" s="564">
        <f t="shared" si="72"/>
        <v>6803851.2727272706</v>
      </c>
      <c r="EH83" s="590">
        <f t="shared" si="73"/>
        <v>975058.6337637041</v>
      </c>
      <c r="EI83" s="589">
        <f>+EK82</f>
        <v>282508.1256439393</v>
      </c>
      <c r="EJ83" s="564">
        <f t="shared" si="121"/>
        <v>7669.903863636363</v>
      </c>
      <c r="EK83" s="564">
        <f t="shared" si="74"/>
        <v>274838.22178030293</v>
      </c>
      <c r="EL83" s="590">
        <f t="shared" si="75"/>
        <v>39296.779205244558</v>
      </c>
      <c r="EM83" s="589">
        <f>+EO82</f>
        <v>9642479.0977272745</v>
      </c>
      <c r="EN83" s="564">
        <f t="shared" si="122"/>
        <v>260607.54318181818</v>
      </c>
      <c r="EO83" s="564">
        <f t="shared" si="76"/>
        <v>9381871.5545454565</v>
      </c>
      <c r="EP83" s="590">
        <f t="shared" si="77"/>
        <v>1340221.8712201403</v>
      </c>
      <c r="EQ83" s="678">
        <f t="shared" si="94"/>
        <v>36327495.370544478</v>
      </c>
      <c r="ER83" s="652"/>
      <c r="ES83" s="674">
        <f>+EQ83</f>
        <v>36327495.370544478</v>
      </c>
      <c r="EV83" s="589"/>
      <c r="EW83" s="564"/>
      <c r="EX83" s="564"/>
      <c r="EY83" s="590"/>
      <c r="EZ83" s="589"/>
      <c r="FA83" s="564"/>
      <c r="FB83" s="564"/>
      <c r="FC83" s="590"/>
      <c r="FD83" s="589"/>
      <c r="FE83" s="564"/>
      <c r="FF83" s="564"/>
      <c r="FG83" s="590"/>
      <c r="FH83" s="589"/>
      <c r="FI83" s="564"/>
      <c r="FJ83" s="564"/>
      <c r="FK83" s="590"/>
      <c r="FL83" s="589"/>
      <c r="FM83" s="564"/>
      <c r="FN83" s="564"/>
      <c r="FO83" s="590"/>
      <c r="FP83" s="589"/>
      <c r="FQ83" s="564"/>
      <c r="FR83" s="564"/>
      <c r="FS83" s="590"/>
      <c r="FT83" s="589"/>
      <c r="FU83" s="564"/>
      <c r="FV83" s="564"/>
      <c r="FW83" s="590"/>
      <c r="FX83" s="589"/>
      <c r="FY83" s="564"/>
      <c r="FZ83" s="564"/>
      <c r="GA83" s="590"/>
      <c r="GB83" s="589"/>
      <c r="GC83" s="564"/>
      <c r="GD83" s="564"/>
      <c r="GE83" s="590"/>
      <c r="GF83" s="589"/>
      <c r="GG83" s="564"/>
      <c r="GH83" s="564"/>
      <c r="GI83" s="590"/>
      <c r="GJ83" s="589"/>
      <c r="GK83" s="564"/>
      <c r="GL83" s="564"/>
      <c r="GM83" s="590"/>
      <c r="GN83" s="589"/>
      <c r="GO83" s="564"/>
      <c r="GP83" s="564"/>
      <c r="GQ83" s="590"/>
      <c r="GR83" s="589">
        <f>+GT82</f>
        <v>5352031.7673333287</v>
      </c>
      <c r="GS83" s="564">
        <f>+GR$31/12*(12-4)</f>
        <v>5352031.7673333334</v>
      </c>
      <c r="GT83" s="564">
        <f t="shared" si="64"/>
        <v>0</v>
      </c>
      <c r="GU83" s="590">
        <f t="shared" si="69"/>
        <v>5352031.7673333334</v>
      </c>
      <c r="GV83" s="672">
        <f>+GX82</f>
        <v>-57615.025000000089</v>
      </c>
      <c r="GW83" s="676">
        <f t="shared" ref="GW83:GW84" si="125">+GW81</f>
        <v>-53183.1</v>
      </c>
      <c r="GX83" s="676">
        <f t="shared" si="70"/>
        <v>-4431.9250000000902</v>
      </c>
      <c r="GY83" s="1366">
        <f t="shared" si="90"/>
        <v>-53809.436249079889</v>
      </c>
      <c r="GZ83" s="672">
        <f>+HB82</f>
        <v>173008.53333333335</v>
      </c>
      <c r="HA83" s="671">
        <f t="shared" ref="HA83:HA84" si="126">+HA81</f>
        <v>129756.4</v>
      </c>
      <c r="HB83" s="671">
        <f t="shared" si="71"/>
        <v>43252.13333333336</v>
      </c>
      <c r="HC83" s="1366">
        <f t="shared" si="91"/>
        <v>135868.95356458033</v>
      </c>
      <c r="HD83" s="672">
        <f>+HF82</f>
        <v>916867.29166666721</v>
      </c>
      <c r="HE83" s="671">
        <f t="shared" ref="HE83:HE84" si="127">+HE81</f>
        <v>440096.3</v>
      </c>
      <c r="HF83" s="671">
        <f t="shared" si="92"/>
        <v>476770.99166666722</v>
      </c>
      <c r="HG83" s="1366">
        <f t="shared" si="93"/>
        <v>507475.36318148288</v>
      </c>
      <c r="HI83" s="589"/>
      <c r="HJ83" s="564"/>
      <c r="HK83" s="564"/>
      <c r="HL83" s="590"/>
      <c r="HM83" s="589"/>
      <c r="HN83" s="564"/>
      <c r="HO83" s="564"/>
      <c r="HP83" s="590"/>
      <c r="HQ83" s="589"/>
      <c r="HR83" s="564"/>
      <c r="HS83" s="564"/>
      <c r="HT83" s="590"/>
    </row>
    <row r="84" spans="1:228">
      <c r="A84" s="649" t="s">
        <v>23</v>
      </c>
      <c r="B84" s="670">
        <v>2028</v>
      </c>
      <c r="C84" s="671">
        <f>+C83</f>
        <v>11033351.606249996</v>
      </c>
      <c r="D84" s="671">
        <f>+D83</f>
        <v>445791.98409090913</v>
      </c>
      <c r="E84" s="671">
        <f t="shared" si="6"/>
        <v>10587559.622159086</v>
      </c>
      <c r="F84" s="653">
        <f>+C$29*E84+D84</f>
        <v>1728767.2756118944</v>
      </c>
      <c r="G84" s="671">
        <f>+G83</f>
        <v>2838098.3638636339</v>
      </c>
      <c r="H84" s="671">
        <f>+H83</f>
        <v>115840.74954545456</v>
      </c>
      <c r="I84" s="671">
        <f t="shared" si="7"/>
        <v>2722257.6143181794</v>
      </c>
      <c r="J84" s="653">
        <f>+G$29*I84+H84</f>
        <v>445717.45210638485</v>
      </c>
      <c r="K84" s="672">
        <f>+K83</f>
        <v>7253719.32698863</v>
      </c>
      <c r="L84" s="671">
        <f>+L83</f>
        <v>305419.76113636367</v>
      </c>
      <c r="M84" s="671">
        <f t="shared" si="8"/>
        <v>6948299.5658522667</v>
      </c>
      <c r="N84" s="653">
        <f>+K$29*M84+L84</f>
        <v>1147398.1753515692</v>
      </c>
      <c r="O84" s="672">
        <f>+O83</f>
        <v>3082338.2196969669</v>
      </c>
      <c r="P84" s="671">
        <f>+P83</f>
        <v>119316.31818181818</v>
      </c>
      <c r="Q84" s="671">
        <f t="shared" si="11"/>
        <v>2963021.9015151486</v>
      </c>
      <c r="R84" s="653">
        <f>+O$29*Q84+P84</f>
        <v>478368.26438509615</v>
      </c>
      <c r="S84" s="589">
        <f>+S83</f>
        <v>1409296.2151515125</v>
      </c>
      <c r="T84" s="564">
        <f>+T83</f>
        <v>58315.705454545445</v>
      </c>
      <c r="U84" s="564">
        <f t="shared" si="12"/>
        <v>1350980.509696967</v>
      </c>
      <c r="V84" s="590">
        <f>+S$29*U84+T84</f>
        <v>222024.31018721702</v>
      </c>
      <c r="W84" s="589">
        <f>+W83</f>
        <v>17910085.018939398</v>
      </c>
      <c r="X84" s="564">
        <f>+X83</f>
        <v>693293.61363636365</v>
      </c>
      <c r="Y84" s="564">
        <f t="shared" si="13"/>
        <v>17216791.405303035</v>
      </c>
      <c r="Z84" s="590">
        <f>+W$29*Y84+X84</f>
        <v>2779583.4443962658</v>
      </c>
      <c r="AA84" s="589">
        <f>+AA83</f>
        <v>11684096.240530301</v>
      </c>
      <c r="AB84" s="564">
        <f>+AB83</f>
        <v>450833.29545454547</v>
      </c>
      <c r="AC84" s="564">
        <f t="shared" si="14"/>
        <v>11233262.945075756</v>
      </c>
      <c r="AD84" s="590">
        <f>+AA$29*AC84+AB84</f>
        <v>1812053.3797813489</v>
      </c>
      <c r="AE84" s="589">
        <f>+AE83</f>
        <v>117246.10227272741</v>
      </c>
      <c r="AF84" s="564">
        <f>+AF83</f>
        <v>4597.886363636364</v>
      </c>
      <c r="AG84" s="564">
        <f t="shared" si="15"/>
        <v>112648.21590909104</v>
      </c>
      <c r="AH84" s="590">
        <f>+AE$29*AG84+AF84</f>
        <v>18248.329223273598</v>
      </c>
      <c r="AI84" s="589">
        <f>+AI83</f>
        <v>7930522.7537878808</v>
      </c>
      <c r="AJ84" s="564">
        <f>+AJ83</f>
        <v>295547.43181818182</v>
      </c>
      <c r="AK84" s="564">
        <f t="shared" si="19"/>
        <v>7634975.3219696991</v>
      </c>
      <c r="AL84" s="590">
        <f>+AI$29*AK84+AJ84</f>
        <v>1220735.5808377424</v>
      </c>
      <c r="AM84" s="589">
        <f>+AM83</f>
        <v>2937973.2655681819</v>
      </c>
      <c r="AN84" s="564">
        <f>+AN83</f>
        <v>110866.91568181818</v>
      </c>
      <c r="AO84" s="564">
        <f t="shared" si="16"/>
        <v>2827106.3498863638</v>
      </c>
      <c r="AP84" s="590">
        <f>+AM$29*AO84+AN84</f>
        <v>453448.93862646178</v>
      </c>
      <c r="AQ84" s="589">
        <f>+AQ83</f>
        <v>24206937.347045455</v>
      </c>
      <c r="AR84" s="564">
        <f>+AR83</f>
        <v>904932.23727272719</v>
      </c>
      <c r="AS84" s="564">
        <f t="shared" si="17"/>
        <v>23302005.109772727</v>
      </c>
      <c r="AT84" s="590">
        <f>+AQ$29*AS84+AR84</f>
        <v>3728613.7904952425</v>
      </c>
      <c r="AU84" s="671"/>
      <c r="AV84" s="671"/>
      <c r="AW84" s="671"/>
      <c r="AX84" s="653"/>
      <c r="AY84" s="671"/>
      <c r="AZ84" s="671"/>
      <c r="BA84" s="671"/>
      <c r="BB84" s="653"/>
      <c r="BC84" s="671"/>
      <c r="BD84" s="671"/>
      <c r="BE84" s="671"/>
      <c r="BF84" s="653"/>
      <c r="BG84" s="671"/>
      <c r="BH84" s="671"/>
      <c r="BI84" s="671"/>
      <c r="BJ84" s="653"/>
      <c r="BK84" s="671"/>
      <c r="BL84" s="671"/>
      <c r="BM84" s="671"/>
      <c r="BN84" s="653"/>
      <c r="BO84" s="671"/>
      <c r="BP84" s="671"/>
      <c r="BQ84" s="671"/>
      <c r="BR84" s="653"/>
      <c r="BS84" s="589">
        <f>+BS83</f>
        <v>224393.931818182</v>
      </c>
      <c r="BT84" s="564">
        <f>+BT83</f>
        <v>8310.886363636364</v>
      </c>
      <c r="BU84" s="564">
        <f t="shared" si="18"/>
        <v>216083.04545454565</v>
      </c>
      <c r="BV84" s="590">
        <f>+BS$29*BU84+BT84</f>
        <v>34495.315838259106</v>
      </c>
      <c r="BW84" s="589">
        <f>+BW83</f>
        <v>15718923.443181828</v>
      </c>
      <c r="BX84" s="564">
        <f>+BX83</f>
        <v>576841.22727272729</v>
      </c>
      <c r="BY84" s="564">
        <f t="shared" si="20"/>
        <v>15142082.215909101</v>
      </c>
      <c r="BZ84" s="590">
        <f>+BW$29*BY84+BX84</f>
        <v>2319309.0090565672</v>
      </c>
      <c r="CA84" s="589">
        <f>+CA83</f>
        <v>1483324.3200000012</v>
      </c>
      <c r="CB84" s="564">
        <f>+CB83</f>
        <v>54433.919999999998</v>
      </c>
      <c r="CC84" s="564">
        <f t="shared" si="21"/>
        <v>1428890.4000000013</v>
      </c>
      <c r="CD84" s="590">
        <f>+CA$29*CC84+CB84</f>
        <v>227583.45992369531</v>
      </c>
      <c r="CE84" s="589">
        <f>+CE83</f>
        <v>128757.04272727284</v>
      </c>
      <c r="CF84" s="564">
        <f>+CF83</f>
        <v>4725.0290909090909</v>
      </c>
      <c r="CG84" s="564">
        <f t="shared" si="22"/>
        <v>124032.01363636376</v>
      </c>
      <c r="CH84" s="590">
        <f>+CE$29*CG84+CF84</f>
        <v>19754.933481718817</v>
      </c>
      <c r="CI84" s="589">
        <f>+CI83</f>
        <v>349247.04545454518</v>
      </c>
      <c r="CJ84" s="564">
        <f>+CJ83</f>
        <v>12362.727272727272</v>
      </c>
      <c r="CK84" s="564">
        <f t="shared" si="24"/>
        <v>336884.31818181789</v>
      </c>
      <c r="CL84" s="590">
        <f>+CI$29*CK84+CJ84</f>
        <v>51129.527125609377</v>
      </c>
      <c r="CM84" s="589">
        <f>+CM83</f>
        <v>15840901.500284094</v>
      </c>
      <c r="CN84" s="564">
        <f>+CN83</f>
        <v>483691.64886363636</v>
      </c>
      <c r="CO84" s="564">
        <f t="shared" si="34"/>
        <v>15357209.851420458</v>
      </c>
      <c r="CP84" s="590">
        <f>+CM$29*CO84+CN84</f>
        <v>2250915.1391758607</v>
      </c>
      <c r="CQ84" s="589">
        <f>+CQ83</f>
        <v>66080852.831420414</v>
      </c>
      <c r="CR84" s="564">
        <f>+CR83</f>
        <v>2017735.9643181816</v>
      </c>
      <c r="CS84" s="564">
        <f t="shared" si="40"/>
        <v>64063116.867102236</v>
      </c>
      <c r="CT84" s="590">
        <f>+CQ$29*CS84+CR84</f>
        <v>9389768.1293724794</v>
      </c>
      <c r="CU84" s="589">
        <f>+CU83</f>
        <v>22314447.292500015</v>
      </c>
      <c r="CV84" s="564">
        <f>+CV83</f>
        <v>676195.37250000006</v>
      </c>
      <c r="CW84" s="564">
        <f t="shared" si="41"/>
        <v>21638251.920000017</v>
      </c>
      <c r="CX84" s="590">
        <f>+CU$29*CW84+CV84</f>
        <v>3166206.7386454372</v>
      </c>
      <c r="CY84" s="589">
        <f>+CY83</f>
        <v>24579.749431818222</v>
      </c>
      <c r="CZ84" s="564">
        <f>+CZ83</f>
        <v>733.72386363636497</v>
      </c>
      <c r="DA84" s="564">
        <f t="shared" si="42"/>
        <v>23846.025568181856</v>
      </c>
      <c r="DB84" s="590">
        <f>+CY$29*DA84+CZ84</f>
        <v>3477.7937137191293</v>
      </c>
      <c r="DC84" s="589">
        <f>+DC83</f>
        <v>1480644.8681818191</v>
      </c>
      <c r="DD84" s="564">
        <f>+DD83</f>
        <v>44530.672727272722</v>
      </c>
      <c r="DE84" s="564">
        <f t="shared" si="43"/>
        <v>1436114.1954545465</v>
      </c>
      <c r="DF84" s="590">
        <f>+DC$29*DE84+DD84</f>
        <v>209790.81864781381</v>
      </c>
      <c r="DG84" s="589">
        <f>+DG83</f>
        <v>825422.38965909043</v>
      </c>
      <c r="DH84" s="564">
        <f>+DH83</f>
        <v>24639.474318181816</v>
      </c>
      <c r="DI84" s="564">
        <f t="shared" si="44"/>
        <v>800782.91534090857</v>
      </c>
      <c r="DJ84" s="590">
        <f>+DG$29*DI84+DH84</f>
        <v>116789.18069861943</v>
      </c>
      <c r="DK84" s="589">
        <f>+DK83</f>
        <v>18230350.493977275</v>
      </c>
      <c r="DL84" s="564">
        <f>+DL83</f>
        <v>549658.80886363634</v>
      </c>
      <c r="DM84" s="564">
        <f t="shared" si="45"/>
        <v>17680691.685113639</v>
      </c>
      <c r="DN84" s="590">
        <f>+DK$29*DM84+DL84</f>
        <v>2584255.8465547496</v>
      </c>
      <c r="DO84" s="589">
        <f>+DO83</f>
        <v>669417.38200757536</v>
      </c>
      <c r="DP84" s="564">
        <f t="shared" si="116"/>
        <v>19592.703863636354</v>
      </c>
      <c r="DQ84" s="564">
        <f t="shared" si="123"/>
        <v>649824.678143939</v>
      </c>
      <c r="DR84" s="590">
        <f t="shared" si="124"/>
        <v>94370.964166846999</v>
      </c>
      <c r="DS84" s="589">
        <f>+DS83</f>
        <v>286203.46909090813</v>
      </c>
      <c r="DT84" s="564">
        <f t="shared" si="117"/>
        <v>8295.7527272726966</v>
      </c>
      <c r="DU84" s="564">
        <f t="shared" si="61"/>
        <v>277907.71636363544</v>
      </c>
      <c r="DV84" s="590">
        <f t="shared" si="66"/>
        <v>40275.848672332475</v>
      </c>
      <c r="DW84" s="589">
        <f>+DW83</f>
        <v>41845.396761363605</v>
      </c>
      <c r="DX84" s="564">
        <f t="shared" si="118"/>
        <v>1221.7634090909089</v>
      </c>
      <c r="DY84" s="564">
        <f t="shared" si="62"/>
        <v>40623.633352272693</v>
      </c>
      <c r="DZ84" s="590">
        <f t="shared" si="67"/>
        <v>5896.5083540736823</v>
      </c>
      <c r="EA84" s="589">
        <f>+EA83</f>
        <v>-248617.19721591071</v>
      </c>
      <c r="EB84" s="564">
        <f t="shared" si="119"/>
        <v>-7120.3015909091364</v>
      </c>
      <c r="EC84" s="564">
        <f t="shared" si="63"/>
        <v>-241496.89562500158</v>
      </c>
      <c r="ED84" s="590">
        <f t="shared" si="68"/>
        <v>-34910.439963375764</v>
      </c>
      <c r="EE84" s="589">
        <f>+EE83</f>
        <v>6995960.0145454528</v>
      </c>
      <c r="EF84" s="564">
        <f t="shared" si="120"/>
        <v>192108.74181818182</v>
      </c>
      <c r="EG84" s="564">
        <f t="shared" si="72"/>
        <v>6803851.2727272706</v>
      </c>
      <c r="EH84" s="590">
        <f t="shared" si="73"/>
        <v>975058.6337637041</v>
      </c>
      <c r="EI84" s="589">
        <f>+EI83</f>
        <v>282508.1256439393</v>
      </c>
      <c r="EJ84" s="564">
        <f t="shared" si="121"/>
        <v>7669.903863636363</v>
      </c>
      <c r="EK84" s="564">
        <f t="shared" si="74"/>
        <v>274838.22178030293</v>
      </c>
      <c r="EL84" s="590">
        <f t="shared" si="75"/>
        <v>39296.779205244558</v>
      </c>
      <c r="EM84" s="589">
        <f>+EM83</f>
        <v>9642479.0977272745</v>
      </c>
      <c r="EN84" s="564">
        <f t="shared" si="122"/>
        <v>260607.54318181818</v>
      </c>
      <c r="EO84" s="564">
        <f t="shared" si="76"/>
        <v>9381871.5545454565</v>
      </c>
      <c r="EP84" s="590">
        <f t="shared" si="77"/>
        <v>1340221.8712201403</v>
      </c>
      <c r="EQ84" s="678">
        <f t="shared" si="94"/>
        <v>36868644.99865599</v>
      </c>
      <c r="ER84" s="675">
        <f>+EQ84</f>
        <v>36868644.99865599</v>
      </c>
      <c r="ES84" s="648"/>
      <c r="EV84" s="589"/>
      <c r="EW84" s="564"/>
      <c r="EX84" s="564"/>
      <c r="EY84" s="590"/>
      <c r="EZ84" s="589"/>
      <c r="FA84" s="564"/>
      <c r="FB84" s="564"/>
      <c r="FC84" s="590"/>
      <c r="FD84" s="589"/>
      <c r="FE84" s="564"/>
      <c r="FF84" s="564"/>
      <c r="FG84" s="590"/>
      <c r="FH84" s="589"/>
      <c r="FI84" s="564"/>
      <c r="FJ84" s="564"/>
      <c r="FK84" s="590"/>
      <c r="FL84" s="589"/>
      <c r="FM84" s="564"/>
      <c r="FN84" s="564"/>
      <c r="FO84" s="590"/>
      <c r="FP84" s="589"/>
      <c r="FQ84" s="564"/>
      <c r="FR84" s="564"/>
      <c r="FS84" s="590"/>
      <c r="FT84" s="589"/>
      <c r="FU84" s="564"/>
      <c r="FV84" s="564"/>
      <c r="FW84" s="590"/>
      <c r="FX84" s="589"/>
      <c r="FY84" s="564"/>
      <c r="FZ84" s="564"/>
      <c r="GA84" s="590"/>
      <c r="GB84" s="589"/>
      <c r="GC84" s="564"/>
      <c r="GD84" s="564"/>
      <c r="GE84" s="590"/>
      <c r="GF84" s="589"/>
      <c r="GG84" s="564"/>
      <c r="GH84" s="564"/>
      <c r="GI84" s="590"/>
      <c r="GJ84" s="589"/>
      <c r="GK84" s="564"/>
      <c r="GL84" s="564"/>
      <c r="GM84" s="590"/>
      <c r="GN84" s="589"/>
      <c r="GO84" s="564"/>
      <c r="GP84" s="564"/>
      <c r="GQ84" s="590"/>
      <c r="GR84" s="589">
        <f>+GR83</f>
        <v>5352031.7673333287</v>
      </c>
      <c r="GS84" s="564">
        <f>+GS83</f>
        <v>5352031.7673333334</v>
      </c>
      <c r="GT84" s="564">
        <f t="shared" si="64"/>
        <v>0</v>
      </c>
      <c r="GU84" s="590">
        <f t="shared" si="69"/>
        <v>5352031.7673333334</v>
      </c>
      <c r="GV84" s="672">
        <f>+GV83</f>
        <v>-57615.025000000089</v>
      </c>
      <c r="GW84" s="676">
        <f t="shared" si="125"/>
        <v>-53183.1</v>
      </c>
      <c r="GX84" s="676">
        <f t="shared" si="70"/>
        <v>-4431.9250000000902</v>
      </c>
      <c r="GY84" s="1366">
        <f t="shared" si="90"/>
        <v>-53809.436249079889</v>
      </c>
      <c r="GZ84" s="672">
        <f>+GZ83</f>
        <v>173008.53333333335</v>
      </c>
      <c r="HA84" s="671">
        <f t="shared" si="126"/>
        <v>129756.4</v>
      </c>
      <c r="HB84" s="671">
        <f t="shared" si="71"/>
        <v>43252.13333333336</v>
      </c>
      <c r="HC84" s="1366">
        <f t="shared" si="91"/>
        <v>135868.95356458033</v>
      </c>
      <c r="HD84" s="672">
        <f>+HD83</f>
        <v>916867.29166666721</v>
      </c>
      <c r="HE84" s="671">
        <f t="shared" si="127"/>
        <v>440096.3</v>
      </c>
      <c r="HF84" s="671">
        <f t="shared" si="92"/>
        <v>476770.99166666722</v>
      </c>
      <c r="HG84" s="1366">
        <f t="shared" si="93"/>
        <v>507475.36318148288</v>
      </c>
      <c r="HI84" s="589"/>
      <c r="HJ84" s="564"/>
      <c r="HK84" s="564"/>
      <c r="HL84" s="590"/>
      <c r="HM84" s="589"/>
      <c r="HN84" s="564"/>
      <c r="HO84" s="564"/>
      <c r="HP84" s="590"/>
      <c r="HQ84" s="589"/>
      <c r="HR84" s="564"/>
      <c r="HS84" s="564"/>
      <c r="HT84" s="590"/>
    </row>
    <row r="85" spans="1:228">
      <c r="A85" s="649" t="s">
        <v>24</v>
      </c>
      <c r="B85" s="670">
        <v>2029</v>
      </c>
      <c r="C85" s="671">
        <f>+E84</f>
        <v>10587559.622159086</v>
      </c>
      <c r="D85" s="671">
        <f>+C$31</f>
        <v>445791.98409090913</v>
      </c>
      <c r="E85" s="671">
        <f t="shared" si="6"/>
        <v>10141767.638068177</v>
      </c>
      <c r="F85" s="653">
        <f>+C$28*E85+D85</f>
        <v>1612850.9861286166</v>
      </c>
      <c r="G85" s="671">
        <f>+I84</f>
        <v>2722257.6143181794</v>
      </c>
      <c r="H85" s="671">
        <f>+G$31</f>
        <v>115840.74954545456</v>
      </c>
      <c r="I85" s="671">
        <f t="shared" si="7"/>
        <v>2606416.8647727249</v>
      </c>
      <c r="J85" s="653">
        <f>+G$28*I85+H85</f>
        <v>415772.90867696889</v>
      </c>
      <c r="K85" s="672">
        <f>+M84</f>
        <v>6948299.5658522667</v>
      </c>
      <c r="L85" s="671">
        <f>+K$31</f>
        <v>305419.76113636367</v>
      </c>
      <c r="M85" s="671">
        <f t="shared" si="8"/>
        <v>6642879.8047159035</v>
      </c>
      <c r="N85" s="653">
        <f>+K$28*M85+L85</f>
        <v>1069845.9393153896</v>
      </c>
      <c r="O85" s="672">
        <f>+Q84</f>
        <v>2963021.9015151486</v>
      </c>
      <c r="P85" s="671">
        <f>+O$31</f>
        <v>119316.31818181818</v>
      </c>
      <c r="Q85" s="671">
        <f t="shared" si="11"/>
        <v>2843705.5833333302</v>
      </c>
      <c r="R85" s="653">
        <f>+O$28*Q85+P85</f>
        <v>446554.36174699484</v>
      </c>
      <c r="S85" s="589">
        <f>+U84</f>
        <v>1350980.509696967</v>
      </c>
      <c r="T85" s="564">
        <f>+S$31</f>
        <v>58315.705454545445</v>
      </c>
      <c r="U85" s="564">
        <f t="shared" si="12"/>
        <v>1292664.8042424214</v>
      </c>
      <c r="V85" s="590">
        <f>+S$28*U85+T85</f>
        <v>207068.48211506385</v>
      </c>
      <c r="W85" s="589">
        <f>+Y84</f>
        <v>17216791.405303035</v>
      </c>
      <c r="X85" s="564">
        <f>+W$31</f>
        <v>693293.61363636365</v>
      </c>
      <c r="Y85" s="564">
        <f t="shared" si="13"/>
        <v>16523497.791666672</v>
      </c>
      <c r="Z85" s="590">
        <f>+W$28*Y85+X85</f>
        <v>2594727.1241548518</v>
      </c>
      <c r="AA85" s="589">
        <f>+AC84</f>
        <v>11233262.945075756</v>
      </c>
      <c r="AB85" s="564">
        <f>+AA$31</f>
        <v>450833.29545454547</v>
      </c>
      <c r="AC85" s="564">
        <f t="shared" si="14"/>
        <v>10782429.649621211</v>
      </c>
      <c r="AD85" s="590">
        <f>+AA$28*AC85+AB85</f>
        <v>1691616.1683725144</v>
      </c>
      <c r="AE85" s="589">
        <f>+AG84</f>
        <v>112648.21590909104</v>
      </c>
      <c r="AF85" s="564">
        <f>+AE$31</f>
        <v>4597.886363636364</v>
      </c>
      <c r="AG85" s="564">
        <f t="shared" si="15"/>
        <v>108050.32954545468</v>
      </c>
      <c r="AH85" s="590">
        <f>+AE$28*AG85+AF85</f>
        <v>17031.725736551016</v>
      </c>
      <c r="AI85" s="589">
        <f>+AK84</f>
        <v>7634975.3219696991</v>
      </c>
      <c r="AJ85" s="564">
        <f>+AI$31</f>
        <v>295547.43181818182</v>
      </c>
      <c r="AK85" s="564">
        <f t="shared" si="19"/>
        <v>7339427.8901515175</v>
      </c>
      <c r="AL85" s="590">
        <f>+AI$28*AK85+AJ85</f>
        <v>1140128.5437790083</v>
      </c>
      <c r="AM85" s="589">
        <f>+AO84</f>
        <v>2827106.3498863638</v>
      </c>
      <c r="AN85" s="564">
        <f>+AM$31</f>
        <v>110866.91568181818</v>
      </c>
      <c r="AO85" s="564">
        <f t="shared" si="16"/>
        <v>2716239.4342045458</v>
      </c>
      <c r="AP85" s="590">
        <f>+AM$28*AO85+AN85</f>
        <v>423436.85383335466</v>
      </c>
      <c r="AQ85" s="589">
        <f>+AS84</f>
        <v>23302005.109772727</v>
      </c>
      <c r="AR85" s="564">
        <f>+AQ$31</f>
        <v>904932.23727272719</v>
      </c>
      <c r="AS85" s="564">
        <f t="shared" si="17"/>
        <v>22397072.872499999</v>
      </c>
      <c r="AT85" s="590">
        <f>+AQ$28*AS85+AR85</f>
        <v>3482264.5572355031</v>
      </c>
      <c r="AU85" s="671"/>
      <c r="AV85" s="671"/>
      <c r="AW85" s="671"/>
      <c r="AX85" s="653"/>
      <c r="AY85" s="671"/>
      <c r="AZ85" s="671"/>
      <c r="BA85" s="671"/>
      <c r="BB85" s="653"/>
      <c r="BC85" s="671"/>
      <c r="BD85" s="671"/>
      <c r="BE85" s="671"/>
      <c r="BF85" s="653"/>
      <c r="BG85" s="671"/>
      <c r="BH85" s="671"/>
      <c r="BI85" s="671"/>
      <c r="BJ85" s="653"/>
      <c r="BK85" s="671"/>
      <c r="BL85" s="671"/>
      <c r="BM85" s="671"/>
      <c r="BN85" s="653"/>
      <c r="BO85" s="671"/>
      <c r="BP85" s="671"/>
      <c r="BQ85" s="671"/>
      <c r="BR85" s="653"/>
      <c r="BS85" s="589">
        <f>+BU84</f>
        <v>216083.04545454565</v>
      </c>
      <c r="BT85" s="564">
        <f>+BS$31</f>
        <v>8310.886363636364</v>
      </c>
      <c r="BU85" s="564">
        <f t="shared" si="18"/>
        <v>207772.15909090929</v>
      </c>
      <c r="BV85" s="590">
        <f>+BS$28*BU85+BT85</f>
        <v>32220.167003203933</v>
      </c>
      <c r="BW85" s="589">
        <f>+BY84</f>
        <v>15142082.215909101</v>
      </c>
      <c r="BX85" s="564">
        <f>+BW$31</f>
        <v>576841.22727272729</v>
      </c>
      <c r="BY85" s="564">
        <f t="shared" si="20"/>
        <v>14565240.988636374</v>
      </c>
      <c r="BZ85" s="590">
        <f>+BW$28*BY85+BX85</f>
        <v>2252929.2840362308</v>
      </c>
      <c r="CA85" s="589">
        <f>+CC84</f>
        <v>1428890.4000000013</v>
      </c>
      <c r="CB85" s="564">
        <f>+CA$31</f>
        <v>54433.919999999998</v>
      </c>
      <c r="CC85" s="564">
        <f t="shared" si="21"/>
        <v>1374456.4800000014</v>
      </c>
      <c r="CD85" s="590">
        <f>+CA$28*CC85+CB85</f>
        <v>212598.83415875194</v>
      </c>
      <c r="CE85" s="589">
        <f>+CG84</f>
        <v>124032.01363636376</v>
      </c>
      <c r="CF85" s="564">
        <f>+CE$31</f>
        <v>4725.0290909090909</v>
      </c>
      <c r="CG85" s="564">
        <f t="shared" si="22"/>
        <v>119306.98454545467</v>
      </c>
      <c r="CH85" s="590">
        <f>+CE$28*CG85+CF85</f>
        <v>18454.222589397574</v>
      </c>
      <c r="CI85" s="589">
        <f>+CK84</f>
        <v>336884.31818181789</v>
      </c>
      <c r="CJ85" s="564">
        <f>+CI$31</f>
        <v>12362.727272727272</v>
      </c>
      <c r="CK85" s="564">
        <f t="shared" si="24"/>
        <v>324521.59090909059</v>
      </c>
      <c r="CL85" s="590">
        <f>+CI$28*CK85+CJ85</f>
        <v>49706.892268622869</v>
      </c>
      <c r="CM85" s="589">
        <f>+CO84</f>
        <v>15357209.851420458</v>
      </c>
      <c r="CN85" s="564">
        <f>+CM$31</f>
        <v>483691.64886363636</v>
      </c>
      <c r="CO85" s="564">
        <f t="shared" si="34"/>
        <v>14873518.202556822</v>
      </c>
      <c r="CP85" s="590">
        <f>+CM$28*CO85+CN85</f>
        <v>2195254.5568038225</v>
      </c>
      <c r="CQ85" s="589">
        <f>+CS84</f>
        <v>64063116.867102236</v>
      </c>
      <c r="CR85" s="564">
        <f>+CQ$31</f>
        <v>2017735.9643181816</v>
      </c>
      <c r="CS85" s="564">
        <f t="shared" si="40"/>
        <v>62045380.902784057</v>
      </c>
      <c r="CT85" s="590">
        <f>+CQ$28*CS85+CR85</f>
        <v>9157578.1399219502</v>
      </c>
      <c r="CU85" s="589">
        <f>+CW84</f>
        <v>21638251.920000017</v>
      </c>
      <c r="CV85" s="564">
        <f>+CU$31</f>
        <v>676195.37250000006</v>
      </c>
      <c r="CW85" s="564">
        <f t="shared" si="41"/>
        <v>20962056.547500018</v>
      </c>
      <c r="CX85" s="590">
        <f>+CU$28*CW85+CV85</f>
        <v>3088393.8834533924</v>
      </c>
      <c r="CY85" s="589">
        <f>+DA84</f>
        <v>23846.025568181856</v>
      </c>
      <c r="CZ85" s="564">
        <f>+CY$31</f>
        <v>733.72386363636497</v>
      </c>
      <c r="DA85" s="564">
        <f t="shared" si="42"/>
        <v>23112.301704545491</v>
      </c>
      <c r="DB85" s="590">
        <f>+CY$28*DA85+CZ85</f>
        <v>3393.3607952550442</v>
      </c>
      <c r="DC85" s="589">
        <f>+DE84</f>
        <v>1436114.1954545465</v>
      </c>
      <c r="DD85" s="564">
        <f>+DC$31</f>
        <v>44530.672727272722</v>
      </c>
      <c r="DE85" s="564">
        <f t="shared" si="43"/>
        <v>1391583.5227272739</v>
      </c>
      <c r="DF85" s="590">
        <f>+DC$28*DE85+DD85</f>
        <v>204666.47303787456</v>
      </c>
      <c r="DG85" s="589">
        <f>+DI84</f>
        <v>800782.91534090857</v>
      </c>
      <c r="DH85" s="564">
        <f>+DG$31</f>
        <v>24639.474318181816</v>
      </c>
      <c r="DI85" s="564">
        <f t="shared" si="44"/>
        <v>776143.44102272671</v>
      </c>
      <c r="DJ85" s="590">
        <f>+DG$28*DI85+DH85</f>
        <v>113953.80511768287</v>
      </c>
      <c r="DK85" s="589">
        <f>+DM84</f>
        <v>17680691.685113639</v>
      </c>
      <c r="DL85" s="564">
        <f>+DK$31</f>
        <v>549658.80886363634</v>
      </c>
      <c r="DM85" s="564">
        <f t="shared" si="45"/>
        <v>17131032.876250003</v>
      </c>
      <c r="DN85" s="590">
        <f>+DK$28*DM85+DL85</f>
        <v>2521004.1251757517</v>
      </c>
      <c r="DO85" s="589">
        <f>+DQ84</f>
        <v>649824.678143939</v>
      </c>
      <c r="DP85" s="564">
        <f t="shared" si="116"/>
        <v>19592.703863636354</v>
      </c>
      <c r="DQ85" s="564">
        <f t="shared" ref="DQ85:DQ86" si="128">+DO85-DP85</f>
        <v>630231.97428030265</v>
      </c>
      <c r="DR85" s="590">
        <f t="shared" ref="DR85:DR86" si="129">+DO$29*DQ85+DP85</f>
        <v>92116.343253182349</v>
      </c>
      <c r="DS85" s="589">
        <f>+DU84</f>
        <v>277907.71636363544</v>
      </c>
      <c r="DT85" s="564">
        <f t="shared" si="117"/>
        <v>8295.7527272726966</v>
      </c>
      <c r="DU85" s="564">
        <f t="shared" si="61"/>
        <v>269611.96363636275</v>
      </c>
      <c r="DV85" s="590">
        <f t="shared" si="66"/>
        <v>39321.218942629203</v>
      </c>
      <c r="DW85" s="589">
        <f>+DY84</f>
        <v>40623.633352272693</v>
      </c>
      <c r="DX85" s="564">
        <f t="shared" si="118"/>
        <v>1221.7634090909089</v>
      </c>
      <c r="DY85" s="564">
        <f t="shared" si="62"/>
        <v>39401.86994318178</v>
      </c>
      <c r="DZ85" s="590">
        <f t="shared" si="67"/>
        <v>5755.914521141869</v>
      </c>
      <c r="EA85" s="589">
        <f>+EC84</f>
        <v>-241496.89562500158</v>
      </c>
      <c r="EB85" s="564">
        <f t="shared" si="119"/>
        <v>-7120.3015909091364</v>
      </c>
      <c r="EC85" s="564">
        <f t="shared" si="63"/>
        <v>-234376.59403409244</v>
      </c>
      <c r="ED85" s="590">
        <f t="shared" si="68"/>
        <v>-34091.0747042367</v>
      </c>
      <c r="EE85" s="589">
        <f>+EG84</f>
        <v>6803851.2727272706</v>
      </c>
      <c r="EF85" s="564">
        <f t="shared" si="120"/>
        <v>192108.74181818182</v>
      </c>
      <c r="EG85" s="564">
        <f t="shared" si="72"/>
        <v>6611742.5309090884</v>
      </c>
      <c r="EH85" s="590">
        <f t="shared" si="73"/>
        <v>952951.81328524218</v>
      </c>
      <c r="EI85" s="589">
        <f>+EK84</f>
        <v>274838.22178030293</v>
      </c>
      <c r="EJ85" s="564">
        <f t="shared" si="121"/>
        <v>7669.903863636363</v>
      </c>
      <c r="EK85" s="564">
        <f t="shared" si="74"/>
        <v>267168.31791666656</v>
      </c>
      <c r="EL85" s="590">
        <f t="shared" si="75"/>
        <v>38414.168730595033</v>
      </c>
      <c r="EM85" s="589">
        <f>+EO84</f>
        <v>9381871.5545454565</v>
      </c>
      <c r="EN85" s="564">
        <f t="shared" si="122"/>
        <v>260607.54318181818</v>
      </c>
      <c r="EO85" s="564">
        <f t="shared" si="76"/>
        <v>9121264.0113636386</v>
      </c>
      <c r="EP85" s="590">
        <f t="shared" si="77"/>
        <v>1310232.5843301869</v>
      </c>
      <c r="EQ85" s="678">
        <f t="shared" si="94"/>
        <v>35356152.363815494</v>
      </c>
      <c r="ER85" s="652"/>
      <c r="ES85" s="674">
        <f>+EQ85</f>
        <v>35356152.363815494</v>
      </c>
      <c r="EV85" s="589"/>
      <c r="EW85" s="564"/>
      <c r="EX85" s="564"/>
      <c r="EY85" s="590"/>
      <c r="EZ85" s="589"/>
      <c r="FA85" s="564"/>
      <c r="FB85" s="564"/>
      <c r="FC85" s="590"/>
      <c r="FD85" s="589"/>
      <c r="FE85" s="564"/>
      <c r="FF85" s="564"/>
      <c r="FG85" s="590"/>
      <c r="FH85" s="589"/>
      <c r="FI85" s="564"/>
      <c r="FJ85" s="564"/>
      <c r="FK85" s="590"/>
      <c r="FL85" s="589"/>
      <c r="FM85" s="564"/>
      <c r="FN85" s="564"/>
      <c r="FO85" s="590"/>
      <c r="FP85" s="589"/>
      <c r="FQ85" s="564"/>
      <c r="FR85" s="564"/>
      <c r="FS85" s="590"/>
      <c r="FT85" s="589"/>
      <c r="FU85" s="564"/>
      <c r="FV85" s="564"/>
      <c r="FW85" s="590"/>
      <c r="FX85" s="589"/>
      <c r="FY85" s="564"/>
      <c r="FZ85" s="564"/>
      <c r="GA85" s="590"/>
      <c r="GB85" s="589"/>
      <c r="GC85" s="564"/>
      <c r="GD85" s="564"/>
      <c r="GE85" s="590"/>
      <c r="GF85" s="589"/>
      <c r="GG85" s="564"/>
      <c r="GH85" s="564"/>
      <c r="GI85" s="590"/>
      <c r="GJ85" s="589"/>
      <c r="GK85" s="564"/>
      <c r="GL85" s="564"/>
      <c r="GM85" s="590"/>
      <c r="GN85" s="589"/>
      <c r="GO85" s="564"/>
      <c r="GP85" s="564"/>
      <c r="GQ85" s="590"/>
      <c r="GR85" s="589"/>
      <c r="GS85" s="564"/>
      <c r="GT85" s="564"/>
      <c r="GU85" s="590"/>
      <c r="GV85" s="672">
        <f>+GX84</f>
        <v>-4431.9250000000902</v>
      </c>
      <c r="GW85" s="676">
        <f>+GV$31/12*(12-11)</f>
        <v>-4431.9250000000002</v>
      </c>
      <c r="GX85" s="676">
        <f t="shared" si="70"/>
        <v>-9.0039975475519896E-11</v>
      </c>
      <c r="GY85" s="1366">
        <f t="shared" si="90"/>
        <v>-4431.9250000000129</v>
      </c>
      <c r="GZ85" s="672">
        <f>+HB84</f>
        <v>43252.13333333336</v>
      </c>
      <c r="HA85" s="671">
        <f>+GZ$31/12*(12-8)</f>
        <v>43252.133333333331</v>
      </c>
      <c r="HB85" s="671">
        <f t="shared" si="71"/>
        <v>0</v>
      </c>
      <c r="HC85" s="1366">
        <f t="shared" si="91"/>
        <v>43252.133333333331</v>
      </c>
      <c r="HD85" s="672">
        <f>+HF84</f>
        <v>476770.99166666722</v>
      </c>
      <c r="HE85" s="671">
        <f>+HE84</f>
        <v>440096.3</v>
      </c>
      <c r="HF85" s="671">
        <f t="shared" si="92"/>
        <v>36674.691666667233</v>
      </c>
      <c r="HG85" s="1366">
        <f t="shared" si="93"/>
        <v>445279.30486011412</v>
      </c>
      <c r="HI85" s="589"/>
      <c r="HJ85" s="564"/>
      <c r="HK85" s="564"/>
      <c r="HL85" s="590"/>
      <c r="HM85" s="589"/>
      <c r="HN85" s="564"/>
      <c r="HO85" s="564"/>
      <c r="HP85" s="590"/>
      <c r="HQ85" s="589"/>
      <c r="HR85" s="564"/>
      <c r="HS85" s="564"/>
      <c r="HT85" s="590"/>
    </row>
    <row r="86" spans="1:228">
      <c r="A86" s="649" t="s">
        <v>23</v>
      </c>
      <c r="B86" s="670">
        <v>2029</v>
      </c>
      <c r="C86" s="671">
        <f>+C85</f>
        <v>10587559.622159086</v>
      </c>
      <c r="D86" s="671">
        <f>+D85</f>
        <v>445791.98409090913</v>
      </c>
      <c r="E86" s="671">
        <f t="shared" si="6"/>
        <v>10141767.638068177</v>
      </c>
      <c r="F86" s="653">
        <f>+C$29*E86+D86</f>
        <v>1674747.2633373265</v>
      </c>
      <c r="G86" s="671">
        <f>+G85</f>
        <v>2722257.6143181794</v>
      </c>
      <c r="H86" s="671">
        <f>+H85</f>
        <v>115840.74954545456</v>
      </c>
      <c r="I86" s="671">
        <f t="shared" si="7"/>
        <v>2606416.8647727249</v>
      </c>
      <c r="J86" s="653">
        <f>+G$29*I86+H86</f>
        <v>431680.14561443037</v>
      </c>
      <c r="K86" s="672">
        <f>+K85</f>
        <v>6948299.5658522667</v>
      </c>
      <c r="L86" s="671">
        <f>+L85</f>
        <v>305419.76113636367</v>
      </c>
      <c r="M86" s="671">
        <f t="shared" si="8"/>
        <v>6642879.8047159035</v>
      </c>
      <c r="N86" s="653">
        <f>+K$29*M86+L86</f>
        <v>1110388.1351662853</v>
      </c>
      <c r="O86" s="672">
        <f>+O85</f>
        <v>2963021.9015151486</v>
      </c>
      <c r="P86" s="671">
        <f>+P85</f>
        <v>119316.31818181818</v>
      </c>
      <c r="Q86" s="671">
        <f t="shared" si="11"/>
        <v>2843705.5833333302</v>
      </c>
      <c r="R86" s="653">
        <f>+O$29*Q86+P86</f>
        <v>463909.7967527493</v>
      </c>
      <c r="S86" s="589">
        <f>+S85</f>
        <v>1350980.509696967</v>
      </c>
      <c r="T86" s="564">
        <f>+T85</f>
        <v>58315.705454545445</v>
      </c>
      <c r="U86" s="564">
        <f t="shared" si="12"/>
        <v>1292664.8042424214</v>
      </c>
      <c r="V86" s="590">
        <f>+S$29*U86+T86</f>
        <v>214957.75170954771</v>
      </c>
      <c r="W86" s="589">
        <f>+W85</f>
        <v>17216791.405303035</v>
      </c>
      <c r="X86" s="564">
        <f>+X85</f>
        <v>693293.61363636365</v>
      </c>
      <c r="Y86" s="564">
        <f t="shared" si="13"/>
        <v>16523497.791666672</v>
      </c>
      <c r="Z86" s="590">
        <f>+W$29*Y86+X86</f>
        <v>2695571.7733589546</v>
      </c>
      <c r="AA86" s="589">
        <f>+AA85</f>
        <v>11233262.945075756</v>
      </c>
      <c r="AB86" s="564">
        <f>+AB85</f>
        <v>450833.29545454547</v>
      </c>
      <c r="AC86" s="564">
        <f t="shared" si="14"/>
        <v>10782429.649621211</v>
      </c>
      <c r="AD86" s="590">
        <f>+AA$29*AC86+AB86</f>
        <v>1757422.4733869622</v>
      </c>
      <c r="AE86" s="589">
        <f>+AE85</f>
        <v>112648.21590909104</v>
      </c>
      <c r="AF86" s="564">
        <f>+AF85</f>
        <v>4597.886363636364</v>
      </c>
      <c r="AG86" s="564">
        <f t="shared" si="15"/>
        <v>108050.32954545468</v>
      </c>
      <c r="AH86" s="590">
        <f>+AE$29*AG86+AF86</f>
        <v>17691.168290227179</v>
      </c>
      <c r="AI86" s="589">
        <f>+AI85</f>
        <v>7634975.3219696991</v>
      </c>
      <c r="AJ86" s="564">
        <f>+AJ85</f>
        <v>295547.43181818182</v>
      </c>
      <c r="AK86" s="564">
        <f t="shared" si="19"/>
        <v>7339427.8901515175</v>
      </c>
      <c r="AL86" s="590">
        <f>+AI$29*AK86+AJ86</f>
        <v>1184921.8460369853</v>
      </c>
      <c r="AM86" s="589">
        <f>+AM85</f>
        <v>2827106.3498863638</v>
      </c>
      <c r="AN86" s="564">
        <f>+AN85</f>
        <v>110866.91568181818</v>
      </c>
      <c r="AO86" s="564">
        <f t="shared" si="16"/>
        <v>2716239.4342045458</v>
      </c>
      <c r="AP86" s="590">
        <f>+AM$29*AO86+AN86</f>
        <v>440014.34949137771</v>
      </c>
      <c r="AQ86" s="589">
        <f>+AQ85</f>
        <v>23302005.109772727</v>
      </c>
      <c r="AR86" s="564">
        <f>+AR85</f>
        <v>904932.23727272719</v>
      </c>
      <c r="AS86" s="564">
        <f t="shared" si="17"/>
        <v>22397072.872499999</v>
      </c>
      <c r="AT86" s="590">
        <f>+AQ$29*AS86+AR86</f>
        <v>3618956.2544477661</v>
      </c>
      <c r="AU86" s="671"/>
      <c r="AV86" s="671"/>
      <c r="AW86" s="671"/>
      <c r="AX86" s="653"/>
      <c r="AY86" s="671"/>
      <c r="AZ86" s="671"/>
      <c r="BA86" s="671"/>
      <c r="BB86" s="653"/>
      <c r="BC86" s="671"/>
      <c r="BD86" s="671"/>
      <c r="BE86" s="671"/>
      <c r="BF86" s="653"/>
      <c r="BG86" s="671"/>
      <c r="BH86" s="671"/>
      <c r="BI86" s="671"/>
      <c r="BJ86" s="653"/>
      <c r="BK86" s="671"/>
      <c r="BL86" s="671"/>
      <c r="BM86" s="671"/>
      <c r="BN86" s="653"/>
      <c r="BO86" s="671"/>
      <c r="BP86" s="671"/>
      <c r="BQ86" s="671"/>
      <c r="BR86" s="653"/>
      <c r="BS86" s="589">
        <f>+BS85</f>
        <v>216083.04545454565</v>
      </c>
      <c r="BT86" s="564">
        <f>+BT85</f>
        <v>8310.886363636364</v>
      </c>
      <c r="BU86" s="564">
        <f t="shared" si="18"/>
        <v>207772.15909090929</v>
      </c>
      <c r="BV86" s="590">
        <f>+BS$29*BU86+BT86</f>
        <v>33488.222396927464</v>
      </c>
      <c r="BW86" s="589">
        <f>+BW85</f>
        <v>15142082.215909101</v>
      </c>
      <c r="BX86" s="564">
        <f>+BX85</f>
        <v>576841.22727272729</v>
      </c>
      <c r="BY86" s="564">
        <f t="shared" si="20"/>
        <v>14565240.988636374</v>
      </c>
      <c r="BZ86" s="590">
        <f>+BW$29*BY86+BX86</f>
        <v>2252929.2840362308</v>
      </c>
      <c r="CA86" s="589">
        <f>+CA85</f>
        <v>1428890.4000000013</v>
      </c>
      <c r="CB86" s="564">
        <f>+CB85</f>
        <v>54433.919999999998</v>
      </c>
      <c r="CC86" s="564">
        <f t="shared" si="21"/>
        <v>1374456.4800000014</v>
      </c>
      <c r="CD86" s="590">
        <f>+CA$29*CC86+CB86</f>
        <v>220987.28697422118</v>
      </c>
      <c r="CE86" s="589">
        <f>+CE85</f>
        <v>124032.01363636376</v>
      </c>
      <c r="CF86" s="564">
        <f>+CF85</f>
        <v>4725.0290909090909</v>
      </c>
      <c r="CG86" s="564">
        <f t="shared" si="22"/>
        <v>119306.98454545467</v>
      </c>
      <c r="CH86" s="590">
        <f>+CE$29*CG86+CF86</f>
        <v>19182.365695402259</v>
      </c>
      <c r="CI86" s="589">
        <f>+CI85</f>
        <v>336884.31818181789</v>
      </c>
      <c r="CJ86" s="564">
        <f>+CJ85</f>
        <v>12362.727272727272</v>
      </c>
      <c r="CK86" s="564">
        <f t="shared" si="24"/>
        <v>324521.59090909059</v>
      </c>
      <c r="CL86" s="590">
        <f>+CI$29*CK86+CJ86</f>
        <v>49706.892268622869</v>
      </c>
      <c r="CM86" s="589">
        <f>+CM85</f>
        <v>15357209.851420458</v>
      </c>
      <c r="CN86" s="564">
        <f>+CN85</f>
        <v>483691.64886363636</v>
      </c>
      <c r="CO86" s="564">
        <f t="shared" si="34"/>
        <v>14873518.202556822</v>
      </c>
      <c r="CP86" s="590">
        <f>+CM$29*CO86+CN86</f>
        <v>2195254.5568038225</v>
      </c>
      <c r="CQ86" s="589">
        <f>+CQ85</f>
        <v>64063116.867102236</v>
      </c>
      <c r="CR86" s="564">
        <f>+CR85</f>
        <v>2017735.9643181816</v>
      </c>
      <c r="CS86" s="564">
        <f t="shared" si="40"/>
        <v>62045380.902784057</v>
      </c>
      <c r="CT86" s="590">
        <f>+CQ$29*CS86+CR86</f>
        <v>9157578.1399219502</v>
      </c>
      <c r="CU86" s="589">
        <f>+CU85</f>
        <v>21638251.920000017</v>
      </c>
      <c r="CV86" s="564">
        <f>+CV85</f>
        <v>676195.37250000006</v>
      </c>
      <c r="CW86" s="564">
        <f t="shared" si="41"/>
        <v>20962056.547500018</v>
      </c>
      <c r="CX86" s="590">
        <f>+CU$29*CW86+CV86</f>
        <v>3088393.8834533924</v>
      </c>
      <c r="CY86" s="589">
        <f>+CY85</f>
        <v>23846.025568181856</v>
      </c>
      <c r="CZ86" s="564">
        <f>+CZ85</f>
        <v>733.72386363636497</v>
      </c>
      <c r="DA86" s="564">
        <f t="shared" si="42"/>
        <v>23112.301704545491</v>
      </c>
      <c r="DB86" s="590">
        <f>+CY$29*DA86+CZ86</f>
        <v>3393.3607952550442</v>
      </c>
      <c r="DC86" s="589">
        <f>+DC85</f>
        <v>1436114.1954545465</v>
      </c>
      <c r="DD86" s="564">
        <f>+DD85</f>
        <v>44530.672727272722</v>
      </c>
      <c r="DE86" s="564">
        <f t="shared" si="43"/>
        <v>1391583.5227272739</v>
      </c>
      <c r="DF86" s="590">
        <f>+DC$29*DE86+DD86</f>
        <v>204666.47303787456</v>
      </c>
      <c r="DG86" s="589">
        <f>+DG85</f>
        <v>800782.91534090857</v>
      </c>
      <c r="DH86" s="564">
        <f>+DH85</f>
        <v>24639.474318181816</v>
      </c>
      <c r="DI86" s="564">
        <f t="shared" si="44"/>
        <v>776143.44102272671</v>
      </c>
      <c r="DJ86" s="590">
        <f>+DG$29*DI86+DH86</f>
        <v>113953.80511768287</v>
      </c>
      <c r="DK86" s="589">
        <f>+DK85</f>
        <v>17680691.685113639</v>
      </c>
      <c r="DL86" s="564">
        <f>+DL85</f>
        <v>549658.80886363634</v>
      </c>
      <c r="DM86" s="564">
        <f t="shared" si="45"/>
        <v>17131032.876250003</v>
      </c>
      <c r="DN86" s="590">
        <f>+DK$29*DM86+DL86</f>
        <v>2521004.1251757517</v>
      </c>
      <c r="DO86" s="589">
        <f>+DO85</f>
        <v>649824.678143939</v>
      </c>
      <c r="DP86" s="564">
        <f t="shared" si="116"/>
        <v>19592.703863636354</v>
      </c>
      <c r="DQ86" s="564">
        <f t="shared" si="128"/>
        <v>630231.97428030265</v>
      </c>
      <c r="DR86" s="590">
        <f t="shared" si="129"/>
        <v>92116.343253182349</v>
      </c>
      <c r="DS86" s="589">
        <f>+DS85</f>
        <v>277907.71636363544</v>
      </c>
      <c r="DT86" s="564">
        <f t="shared" si="117"/>
        <v>8295.7527272726966</v>
      </c>
      <c r="DU86" s="564">
        <f t="shared" si="61"/>
        <v>269611.96363636275</v>
      </c>
      <c r="DV86" s="590">
        <f t="shared" si="66"/>
        <v>39321.218942629203</v>
      </c>
      <c r="DW86" s="589">
        <f>+DW85</f>
        <v>40623.633352272693</v>
      </c>
      <c r="DX86" s="564">
        <f t="shared" si="118"/>
        <v>1221.7634090909089</v>
      </c>
      <c r="DY86" s="564">
        <f t="shared" si="62"/>
        <v>39401.86994318178</v>
      </c>
      <c r="DZ86" s="590">
        <f t="shared" si="67"/>
        <v>5755.914521141869</v>
      </c>
      <c r="EA86" s="589">
        <f>+EA85</f>
        <v>-241496.89562500158</v>
      </c>
      <c r="EB86" s="564">
        <f t="shared" si="119"/>
        <v>-7120.3015909091364</v>
      </c>
      <c r="EC86" s="564">
        <f t="shared" si="63"/>
        <v>-234376.59403409244</v>
      </c>
      <c r="ED86" s="590">
        <f t="shared" si="68"/>
        <v>-34091.0747042367</v>
      </c>
      <c r="EE86" s="589">
        <f>+EE85</f>
        <v>6803851.2727272706</v>
      </c>
      <c r="EF86" s="564">
        <f t="shared" si="120"/>
        <v>192108.74181818182</v>
      </c>
      <c r="EG86" s="564">
        <f t="shared" si="72"/>
        <v>6611742.5309090884</v>
      </c>
      <c r="EH86" s="590">
        <f t="shared" si="73"/>
        <v>952951.81328524218</v>
      </c>
      <c r="EI86" s="589">
        <f>+EI85</f>
        <v>274838.22178030293</v>
      </c>
      <c r="EJ86" s="564">
        <f t="shared" si="121"/>
        <v>7669.903863636363</v>
      </c>
      <c r="EK86" s="564">
        <f t="shared" si="74"/>
        <v>267168.31791666656</v>
      </c>
      <c r="EL86" s="590">
        <f t="shared" si="75"/>
        <v>38414.168730595033</v>
      </c>
      <c r="EM86" s="589">
        <f>+EM85</f>
        <v>9381871.5545454565</v>
      </c>
      <c r="EN86" s="564">
        <f t="shared" si="122"/>
        <v>260607.54318181818</v>
      </c>
      <c r="EO86" s="564">
        <f t="shared" si="76"/>
        <v>9121264.0113636386</v>
      </c>
      <c r="EP86" s="590">
        <f t="shared" si="77"/>
        <v>1310232.5843301869</v>
      </c>
      <c r="EQ86" s="678">
        <f t="shared" si="94"/>
        <v>35875500.321628481</v>
      </c>
      <c r="ER86" s="675">
        <f>+EQ86</f>
        <v>35875500.321628481</v>
      </c>
      <c r="ES86" s="648"/>
      <c r="EV86" s="589"/>
      <c r="EW86" s="564"/>
      <c r="EX86" s="564"/>
      <c r="EY86" s="590"/>
      <c r="EZ86" s="589"/>
      <c r="FA86" s="564"/>
      <c r="FB86" s="564"/>
      <c r="FC86" s="590"/>
      <c r="FD86" s="589"/>
      <c r="FE86" s="564"/>
      <c r="FF86" s="564"/>
      <c r="FG86" s="590"/>
      <c r="FH86" s="589"/>
      <c r="FI86" s="564"/>
      <c r="FJ86" s="564"/>
      <c r="FK86" s="590"/>
      <c r="FL86" s="589"/>
      <c r="FM86" s="564"/>
      <c r="FN86" s="564"/>
      <c r="FO86" s="590"/>
      <c r="FP86" s="589"/>
      <c r="FQ86" s="564"/>
      <c r="FR86" s="564"/>
      <c r="FS86" s="590"/>
      <c r="FT86" s="589"/>
      <c r="FU86" s="564"/>
      <c r="FV86" s="564"/>
      <c r="FW86" s="590"/>
      <c r="FX86" s="589"/>
      <c r="FY86" s="564"/>
      <c r="FZ86" s="564"/>
      <c r="GA86" s="590"/>
      <c r="GB86" s="589"/>
      <c r="GC86" s="564"/>
      <c r="GD86" s="564"/>
      <c r="GE86" s="590"/>
      <c r="GF86" s="589"/>
      <c r="GG86" s="564"/>
      <c r="GH86" s="564"/>
      <c r="GI86" s="590"/>
      <c r="GJ86" s="589"/>
      <c r="GK86" s="564"/>
      <c r="GL86" s="564"/>
      <c r="GM86" s="590"/>
      <c r="GN86" s="589"/>
      <c r="GO86" s="564"/>
      <c r="GP86" s="564"/>
      <c r="GQ86" s="590"/>
      <c r="GR86" s="589"/>
      <c r="GS86" s="564"/>
      <c r="GT86" s="564"/>
      <c r="GU86" s="590"/>
      <c r="GV86" s="672">
        <f>+GV85</f>
        <v>-4431.9250000000902</v>
      </c>
      <c r="GW86" s="676">
        <f>+GW85</f>
        <v>-4431.9250000000002</v>
      </c>
      <c r="GX86" s="676">
        <f t="shared" si="70"/>
        <v>-9.0039975475519896E-11</v>
      </c>
      <c r="GY86" s="1366">
        <f t="shared" si="90"/>
        <v>-4431.9250000000129</v>
      </c>
      <c r="GZ86" s="672">
        <f>+GZ85</f>
        <v>43252.13333333336</v>
      </c>
      <c r="HA86" s="671">
        <f>+HA85</f>
        <v>43252.133333333331</v>
      </c>
      <c r="HB86" s="671">
        <f t="shared" si="71"/>
        <v>0</v>
      </c>
      <c r="HC86" s="1366">
        <f t="shared" si="91"/>
        <v>43252.133333333331</v>
      </c>
      <c r="HD86" s="672">
        <f>+HD85</f>
        <v>476770.99166666722</v>
      </c>
      <c r="HE86" s="671">
        <f>+HE85</f>
        <v>440096.3</v>
      </c>
      <c r="HF86" s="671">
        <f t="shared" si="92"/>
        <v>36674.691666667233</v>
      </c>
      <c r="HG86" s="1366">
        <f t="shared" si="93"/>
        <v>445279.30486011412</v>
      </c>
      <c r="HI86" s="589"/>
      <c r="HJ86" s="564"/>
      <c r="HK86" s="564"/>
      <c r="HL86" s="590"/>
      <c r="HM86" s="589"/>
      <c r="HN86" s="564"/>
      <c r="HO86" s="564"/>
      <c r="HP86" s="590"/>
      <c r="HQ86" s="589"/>
      <c r="HR86" s="564"/>
      <c r="HS86" s="564"/>
      <c r="HT86" s="590"/>
    </row>
    <row r="87" spans="1:228">
      <c r="A87" s="649" t="s">
        <v>24</v>
      </c>
      <c r="B87" s="670">
        <v>2030</v>
      </c>
      <c r="C87" s="671">
        <f>+E86</f>
        <v>10141767.638068177</v>
      </c>
      <c r="D87" s="671">
        <f>+C$31</f>
        <v>445791.98409090913</v>
      </c>
      <c r="E87" s="671">
        <f t="shared" si="6"/>
        <v>9695975.6539772674</v>
      </c>
      <c r="F87" s="653">
        <f>+C$28*E87+D87</f>
        <v>1561551.6893357502</v>
      </c>
      <c r="G87" s="671">
        <f>+I86</f>
        <v>2606416.8647727249</v>
      </c>
      <c r="H87" s="671">
        <f>+G$31</f>
        <v>115840.74954545456</v>
      </c>
      <c r="I87" s="671">
        <f t="shared" si="7"/>
        <v>2490576.1152272704</v>
      </c>
      <c r="J87" s="653">
        <f>+G$28*I87+H87</f>
        <v>402442.59049334604</v>
      </c>
      <c r="K87" s="672">
        <f>+M86</f>
        <v>6642879.8047159035</v>
      </c>
      <c r="L87" s="671">
        <f>+K$31</f>
        <v>305419.76113636367</v>
      </c>
      <c r="M87" s="671">
        <f t="shared" si="8"/>
        <v>6337460.0435795402</v>
      </c>
      <c r="N87" s="653">
        <f>+K$28*M87+L87</f>
        <v>1034699.9081347447</v>
      </c>
      <c r="O87" s="672">
        <f>+Q86</f>
        <v>2843705.5833333302</v>
      </c>
      <c r="P87" s="671">
        <f>+O$31</f>
        <v>119316.31818181818</v>
      </c>
      <c r="Q87" s="671">
        <f t="shared" si="11"/>
        <v>2724389.2651515119</v>
      </c>
      <c r="R87" s="653">
        <f>+O$28*Q87+P87</f>
        <v>432824.09418481955</v>
      </c>
      <c r="S87" s="589">
        <f>+U86</f>
        <v>1292664.8042424214</v>
      </c>
      <c r="T87" s="564">
        <f>+S$31</f>
        <v>58315.705454545445</v>
      </c>
      <c r="U87" s="564">
        <f t="shared" si="12"/>
        <v>1234349.0987878758</v>
      </c>
      <c r="V87" s="590">
        <f>+S$28*U87+T87</f>
        <v>200357.83053639383</v>
      </c>
      <c r="W87" s="589">
        <f>+Y86</f>
        <v>16523497.791666672</v>
      </c>
      <c r="X87" s="564">
        <f>+W$31</f>
        <v>693293.61363636365</v>
      </c>
      <c r="Y87" s="564">
        <f t="shared" si="13"/>
        <v>15830204.178030308</v>
      </c>
      <c r="Z87" s="590">
        <f>+W$28*Y87+X87</f>
        <v>2514946.6971400902</v>
      </c>
      <c r="AA87" s="589">
        <f>+AC86</f>
        <v>10782429.649621211</v>
      </c>
      <c r="AB87" s="564">
        <f>+AA$31</f>
        <v>450833.29545454547</v>
      </c>
      <c r="AC87" s="564">
        <f t="shared" si="14"/>
        <v>10331596.354166666</v>
      </c>
      <c r="AD87" s="590">
        <f>+AA$28*AC87+AB87</f>
        <v>1639736.7451146203</v>
      </c>
      <c r="AE87" s="589">
        <f>+AG86</f>
        <v>108050.32954545468</v>
      </c>
      <c r="AF87" s="564">
        <f>+AE$31</f>
        <v>4597.886363636364</v>
      </c>
      <c r="AG87" s="564">
        <f t="shared" si="15"/>
        <v>103452.44318181831</v>
      </c>
      <c r="AH87" s="590">
        <f>+AE$28*AG87+AF87</f>
        <v>16502.626188767415</v>
      </c>
      <c r="AI87" s="589">
        <f>+AK86</f>
        <v>7339427.8901515175</v>
      </c>
      <c r="AJ87" s="564">
        <f>+AI$31</f>
        <v>295547.43181818182</v>
      </c>
      <c r="AK87" s="564">
        <f t="shared" si="19"/>
        <v>7043880.4583333358</v>
      </c>
      <c r="AL87" s="590">
        <f>+AI$28*AK87+AJ87</f>
        <v>1106118.5661161563</v>
      </c>
      <c r="AM87" s="589">
        <f>+AO86</f>
        <v>2716239.4342045458</v>
      </c>
      <c r="AN87" s="564">
        <f>+AM$31</f>
        <v>110866.91568181818</v>
      </c>
      <c r="AO87" s="564">
        <f t="shared" si="16"/>
        <v>2605372.5185227278</v>
      </c>
      <c r="AP87" s="590">
        <f>+AM$28*AO87+AN87</f>
        <v>410678.89717410831</v>
      </c>
      <c r="AQ87" s="589">
        <f>+AS86</f>
        <v>22397072.872499999</v>
      </c>
      <c r="AR87" s="564">
        <f>+AQ$31</f>
        <v>904932.23727272719</v>
      </c>
      <c r="AS87" s="564">
        <f t="shared" si="17"/>
        <v>21492140.63522727</v>
      </c>
      <c r="AT87" s="590">
        <f>+AQ$28*AS87+AR87</f>
        <v>3378129.9180450877</v>
      </c>
      <c r="AU87" s="671"/>
      <c r="AV87" s="671"/>
      <c r="AW87" s="671"/>
      <c r="AX87" s="653"/>
      <c r="AY87" s="671"/>
      <c r="AZ87" s="671"/>
      <c r="BA87" s="671"/>
      <c r="BB87" s="653"/>
      <c r="BC87" s="671"/>
      <c r="BD87" s="671"/>
      <c r="BE87" s="671"/>
      <c r="BF87" s="653"/>
      <c r="BG87" s="671"/>
      <c r="BH87" s="671"/>
      <c r="BI87" s="671"/>
      <c r="BJ87" s="653"/>
      <c r="BK87" s="671"/>
      <c r="BL87" s="671"/>
      <c r="BM87" s="671"/>
      <c r="BN87" s="653"/>
      <c r="BO87" s="671"/>
      <c r="BP87" s="671"/>
      <c r="BQ87" s="671"/>
      <c r="BR87" s="653"/>
      <c r="BS87" s="589">
        <f>+BU86</f>
        <v>207772.15909090929</v>
      </c>
      <c r="BT87" s="564">
        <f>+BS$31</f>
        <v>8310.886363636364</v>
      </c>
      <c r="BU87" s="564">
        <f t="shared" si="18"/>
        <v>199461.27272727294</v>
      </c>
      <c r="BV87" s="590">
        <f>+BS$28*BU87+BT87</f>
        <v>31263.795777621232</v>
      </c>
      <c r="BW87" s="589">
        <f>+BY86</f>
        <v>14565240.988636374</v>
      </c>
      <c r="BX87" s="564">
        <f>+BW$31</f>
        <v>576841.22727272729</v>
      </c>
      <c r="BY87" s="564">
        <f t="shared" si="20"/>
        <v>13988399.761363648</v>
      </c>
      <c r="BZ87" s="590">
        <f>+BW$28*BY87+BX87</f>
        <v>2186549.5590158943</v>
      </c>
      <c r="CA87" s="589">
        <f>+CC86</f>
        <v>1374456.4800000014</v>
      </c>
      <c r="CB87" s="564">
        <f>+CA$31</f>
        <v>54433.919999999998</v>
      </c>
      <c r="CC87" s="564">
        <f t="shared" si="21"/>
        <v>1320022.5600000015</v>
      </c>
      <c r="CD87" s="590">
        <f>+CA$28*CC87+CB87</f>
        <v>206334.87716236577</v>
      </c>
      <c r="CE87" s="589">
        <f>+CG86</f>
        <v>119306.98454545467</v>
      </c>
      <c r="CF87" s="564">
        <f>+CE$31</f>
        <v>4725.0290909090909</v>
      </c>
      <c r="CG87" s="564">
        <f t="shared" si="22"/>
        <v>114581.95545454559</v>
      </c>
      <c r="CH87" s="590">
        <f>+CE$28*CG87+CF87</f>
        <v>17910.492153813873</v>
      </c>
      <c r="CI87" s="589">
        <f>+CK86</f>
        <v>324521.59090909059</v>
      </c>
      <c r="CJ87" s="564">
        <f>+CI$31</f>
        <v>12362.727272727272</v>
      </c>
      <c r="CK87" s="564">
        <f t="shared" si="24"/>
        <v>312158.8636363633</v>
      </c>
      <c r="CL87" s="590">
        <f>+CI$28*CK87+CJ87</f>
        <v>48284.257411636368</v>
      </c>
      <c r="CM87" s="589">
        <f>+CO86</f>
        <v>14873518.202556822</v>
      </c>
      <c r="CN87" s="564">
        <f>+CM$31</f>
        <v>483691.64886363636</v>
      </c>
      <c r="CO87" s="564">
        <f t="shared" si="34"/>
        <v>14389826.553693186</v>
      </c>
      <c r="CP87" s="590">
        <f>+CM$28*CO87+CN87</f>
        <v>2139593.9744317839</v>
      </c>
      <c r="CQ87" s="589">
        <f>+CS86</f>
        <v>62045380.902784057</v>
      </c>
      <c r="CR87" s="564">
        <f>+CQ$31</f>
        <v>2017735.9643181816</v>
      </c>
      <c r="CS87" s="564">
        <f t="shared" si="40"/>
        <v>60027644.938465878</v>
      </c>
      <c r="CT87" s="590">
        <f>+CQ$28*CS87+CR87</f>
        <v>8925388.1504714228</v>
      </c>
      <c r="CU87" s="589">
        <f>+CW86</f>
        <v>20962056.547500018</v>
      </c>
      <c r="CV87" s="564">
        <f>+CU$31</f>
        <v>676195.37250000006</v>
      </c>
      <c r="CW87" s="564">
        <f t="shared" si="41"/>
        <v>20285861.175000019</v>
      </c>
      <c r="CX87" s="590">
        <f>+CU$28*CW87+CV87</f>
        <v>3010581.0282613477</v>
      </c>
      <c r="CY87" s="589">
        <f>+DA86</f>
        <v>23112.301704545491</v>
      </c>
      <c r="CZ87" s="564">
        <f>+CY$31</f>
        <v>733.72386363636497</v>
      </c>
      <c r="DA87" s="564">
        <f t="shared" si="42"/>
        <v>22378.577840909125</v>
      </c>
      <c r="DB87" s="590">
        <f>+CY$28*DA87+CZ87</f>
        <v>3308.9278767909591</v>
      </c>
      <c r="DC87" s="589">
        <f>+DE86</f>
        <v>1391583.5227272739</v>
      </c>
      <c r="DD87" s="564">
        <f>+DC$31</f>
        <v>44530.672727272722</v>
      </c>
      <c r="DE87" s="564">
        <f t="shared" si="43"/>
        <v>1347052.8500000013</v>
      </c>
      <c r="DF87" s="590">
        <f>+DC$28*DE87+DD87</f>
        <v>199542.12742793531</v>
      </c>
      <c r="DG87" s="589">
        <f>+DI86</f>
        <v>776143.44102272671</v>
      </c>
      <c r="DH87" s="564">
        <f>+DG$31</f>
        <v>24639.474318181816</v>
      </c>
      <c r="DI87" s="564">
        <f t="shared" si="44"/>
        <v>751503.96670454484</v>
      </c>
      <c r="DJ87" s="590">
        <f>+DG$28*DI87+DH87</f>
        <v>111118.42953674632</v>
      </c>
      <c r="DK87" s="589">
        <f>+DM86</f>
        <v>17131032.876250003</v>
      </c>
      <c r="DL87" s="564">
        <f>+DK$31</f>
        <v>549658.80886363634</v>
      </c>
      <c r="DM87" s="564">
        <f t="shared" si="45"/>
        <v>16581374.067386366</v>
      </c>
      <c r="DN87" s="590">
        <f>+DK$28*DM87+DL87</f>
        <v>2457752.4037967534</v>
      </c>
      <c r="DO87" s="589">
        <f>+DQ86</f>
        <v>630231.97428030265</v>
      </c>
      <c r="DP87" s="564">
        <f t="shared" si="116"/>
        <v>19592.703863636354</v>
      </c>
      <c r="DQ87" s="564">
        <f t="shared" ref="DQ87:DQ88" si="130">+DO87-DP87</f>
        <v>610639.27041666629</v>
      </c>
      <c r="DR87" s="590">
        <f t="shared" ref="DR87:DR88" si="131">+DO$29*DQ87+DP87</f>
        <v>89861.722339517713</v>
      </c>
      <c r="DS87" s="589">
        <f>+DU86</f>
        <v>269611.96363636275</v>
      </c>
      <c r="DT87" s="564">
        <f t="shared" si="117"/>
        <v>8295.7527272726966</v>
      </c>
      <c r="DU87" s="564">
        <f t="shared" si="61"/>
        <v>261316.21090909006</v>
      </c>
      <c r="DV87" s="590">
        <f t="shared" si="66"/>
        <v>38366.58921292593</v>
      </c>
      <c r="DW87" s="589">
        <f>+DY86</f>
        <v>39401.86994318178</v>
      </c>
      <c r="DX87" s="564">
        <f t="shared" si="118"/>
        <v>1221.7634090909089</v>
      </c>
      <c r="DY87" s="564">
        <f t="shared" si="62"/>
        <v>38180.106534090868</v>
      </c>
      <c r="DZ87" s="590">
        <f t="shared" si="67"/>
        <v>5615.3206882100558</v>
      </c>
      <c r="EA87" s="589">
        <f>+EC86</f>
        <v>-234376.59403409244</v>
      </c>
      <c r="EB87" s="564">
        <f t="shared" si="119"/>
        <v>-7120.3015909091364</v>
      </c>
      <c r="EC87" s="564">
        <f t="shared" si="63"/>
        <v>-227256.29244318331</v>
      </c>
      <c r="ED87" s="590">
        <f t="shared" si="68"/>
        <v>-33271.709445097636</v>
      </c>
      <c r="EE87" s="589">
        <f>+EG86</f>
        <v>6611742.5309090884</v>
      </c>
      <c r="EF87" s="564">
        <f t="shared" si="120"/>
        <v>192108.74181818182</v>
      </c>
      <c r="EG87" s="564">
        <f t="shared" si="72"/>
        <v>6419633.7890909063</v>
      </c>
      <c r="EH87" s="590">
        <f t="shared" si="73"/>
        <v>930844.99280678038</v>
      </c>
      <c r="EI87" s="589">
        <f>+EK86</f>
        <v>267168.31791666656</v>
      </c>
      <c r="EJ87" s="564">
        <f t="shared" si="121"/>
        <v>7669.903863636363</v>
      </c>
      <c r="EK87" s="564">
        <f t="shared" si="74"/>
        <v>259498.4140530302</v>
      </c>
      <c r="EL87" s="590">
        <f t="shared" si="75"/>
        <v>37531.5582559455</v>
      </c>
      <c r="EM87" s="589">
        <f>+EO86</f>
        <v>9121264.0113636386</v>
      </c>
      <c r="EN87" s="564">
        <f t="shared" si="122"/>
        <v>260607.54318181818</v>
      </c>
      <c r="EO87" s="564">
        <f t="shared" si="76"/>
        <v>8860656.4681818206</v>
      </c>
      <c r="EP87" s="590">
        <f t="shared" si="77"/>
        <v>1280243.2974402334</v>
      </c>
      <c r="EQ87" s="678">
        <f t="shared" si="94"/>
        <v>34384809.357086509</v>
      </c>
      <c r="ER87" s="652"/>
      <c r="ES87" s="674">
        <f>+EQ87</f>
        <v>34384809.357086509</v>
      </c>
      <c r="EV87" s="589"/>
      <c r="EW87" s="564"/>
      <c r="EX87" s="564"/>
      <c r="EY87" s="590"/>
      <c r="EZ87" s="589"/>
      <c r="FA87" s="564"/>
      <c r="FB87" s="564"/>
      <c r="FC87" s="590"/>
      <c r="FD87" s="589"/>
      <c r="FE87" s="564"/>
      <c r="FF87" s="564"/>
      <c r="FG87" s="590"/>
      <c r="FH87" s="589"/>
      <c r="FI87" s="564"/>
      <c r="FJ87" s="564"/>
      <c r="FK87" s="590"/>
      <c r="FL87" s="589"/>
      <c r="FM87" s="564"/>
      <c r="FN87" s="564"/>
      <c r="FO87" s="590"/>
      <c r="FP87" s="589"/>
      <c r="FQ87" s="564"/>
      <c r="FR87" s="564"/>
      <c r="FS87" s="590"/>
      <c r="FT87" s="589"/>
      <c r="FU87" s="564"/>
      <c r="FV87" s="564"/>
      <c r="FW87" s="590"/>
      <c r="FX87" s="589"/>
      <c r="FY87" s="564"/>
      <c r="FZ87" s="564"/>
      <c r="GA87" s="590"/>
      <c r="GB87" s="589"/>
      <c r="GC87" s="564"/>
      <c r="GD87" s="564"/>
      <c r="GE87" s="590"/>
      <c r="GF87" s="589"/>
      <c r="GG87" s="564"/>
      <c r="GH87" s="564"/>
      <c r="GI87" s="590"/>
      <c r="GJ87" s="589"/>
      <c r="GK87" s="564"/>
      <c r="GL87" s="564"/>
      <c r="GM87" s="590"/>
      <c r="GN87" s="589"/>
      <c r="GO87" s="564"/>
      <c r="GP87" s="564"/>
      <c r="GQ87" s="590"/>
      <c r="GR87" s="589"/>
      <c r="GS87" s="564"/>
      <c r="GT87" s="564"/>
      <c r="GU87" s="590"/>
      <c r="GV87" s="672"/>
      <c r="GW87" s="676"/>
      <c r="GX87" s="676"/>
      <c r="GY87" s="1366"/>
      <c r="GZ87" s="1367"/>
      <c r="HA87" s="1373"/>
      <c r="HB87" s="1373"/>
      <c r="HC87" s="1366"/>
      <c r="HD87" s="672">
        <f>+HF86</f>
        <v>36674.691666667233</v>
      </c>
      <c r="HE87" s="671">
        <f>+HD$31/12*(12-11)</f>
        <v>36674.691666666666</v>
      </c>
      <c r="HF87" s="671">
        <f t="shared" ref="HF87:HF88" si="132">+HD87-HE87</f>
        <v>5.6752469390630722E-10</v>
      </c>
      <c r="HG87" s="1366">
        <f t="shared" ref="HG87:HG88" si="133">+HD$29*HF87+HE87</f>
        <v>36674.691666666746</v>
      </c>
      <c r="HI87" s="589"/>
      <c r="HJ87" s="564"/>
      <c r="HK87" s="564"/>
      <c r="HL87" s="590"/>
      <c r="HM87" s="589"/>
      <c r="HN87" s="564"/>
      <c r="HO87" s="564"/>
      <c r="HP87" s="590"/>
      <c r="HQ87" s="589"/>
      <c r="HR87" s="564"/>
      <c r="HS87" s="564"/>
      <c r="HT87" s="590"/>
    </row>
    <row r="88" spans="1:228">
      <c r="A88" s="649" t="s">
        <v>23</v>
      </c>
      <c r="B88" s="670">
        <v>2030</v>
      </c>
      <c r="C88" s="671">
        <f>+C87</f>
        <v>10141767.638068177</v>
      </c>
      <c r="D88" s="671">
        <f>+D87</f>
        <v>445791.98409090913</v>
      </c>
      <c r="E88" s="671">
        <f t="shared" si="6"/>
        <v>9695975.6539772674</v>
      </c>
      <c r="F88" s="653">
        <f>+C$29*E88+D88</f>
        <v>1620727.2510627587</v>
      </c>
      <c r="G88" s="671">
        <f>+G87</f>
        <v>2606416.8647727249</v>
      </c>
      <c r="H88" s="671">
        <f>+H87</f>
        <v>115840.74954545456</v>
      </c>
      <c r="I88" s="671">
        <f t="shared" si="7"/>
        <v>2490576.1152272704</v>
      </c>
      <c r="J88" s="653">
        <f>+G$29*I88+H88</f>
        <v>417642.83912247588</v>
      </c>
      <c r="K88" s="672">
        <f>+K87</f>
        <v>6642879.8047159035</v>
      </c>
      <c r="L88" s="671">
        <f>+L87</f>
        <v>305419.76113636367</v>
      </c>
      <c r="M88" s="671">
        <f t="shared" si="8"/>
        <v>6337460.0435795402</v>
      </c>
      <c r="N88" s="653">
        <f>+K$29*M88+L88</f>
        <v>1073378.0949810017</v>
      </c>
      <c r="O88" s="672">
        <f>+O87</f>
        <v>2843705.5833333302</v>
      </c>
      <c r="P88" s="671">
        <f>+P87</f>
        <v>119316.31818181818</v>
      </c>
      <c r="Q88" s="671">
        <f t="shared" si="11"/>
        <v>2724389.2651515119</v>
      </c>
      <c r="R88" s="653">
        <f>+O$29*Q88+P88</f>
        <v>449451.32912040252</v>
      </c>
      <c r="S88" s="589">
        <f>+S87</f>
        <v>1292664.8042424214</v>
      </c>
      <c r="T88" s="564">
        <f>+T87</f>
        <v>58315.705454545445</v>
      </c>
      <c r="U88" s="564">
        <f t="shared" si="12"/>
        <v>1234349.0987878758</v>
      </c>
      <c r="V88" s="590">
        <f>+S$29*U88+T88</f>
        <v>207891.19323187842</v>
      </c>
      <c r="W88" s="589">
        <f>+W87</f>
        <v>16523497.791666672</v>
      </c>
      <c r="X88" s="564">
        <f>+X87</f>
        <v>693293.61363636365</v>
      </c>
      <c r="Y88" s="564">
        <f t="shared" si="13"/>
        <v>15830204.178030308</v>
      </c>
      <c r="Z88" s="590">
        <f>+W$29*Y88+X88</f>
        <v>2611560.1023216429</v>
      </c>
      <c r="AA88" s="589">
        <f>+AA87</f>
        <v>10782429.649621211</v>
      </c>
      <c r="AB88" s="564">
        <f>+AB87</f>
        <v>450833.29545454547</v>
      </c>
      <c r="AC88" s="564">
        <f t="shared" si="14"/>
        <v>10331596.354166666</v>
      </c>
      <c r="AD88" s="590">
        <f>+AA$29*AC88+AB88</f>
        <v>1702791.5669925753</v>
      </c>
      <c r="AE88" s="589">
        <f>+AE87</f>
        <v>108050.32954545468</v>
      </c>
      <c r="AF88" s="564">
        <f>+AF87</f>
        <v>4597.886363636364</v>
      </c>
      <c r="AG88" s="564">
        <f t="shared" si="15"/>
        <v>103452.44318181831</v>
      </c>
      <c r="AH88" s="590">
        <f>+AE$29*AG88+AF88</f>
        <v>17134.007357180762</v>
      </c>
      <c r="AI88" s="589">
        <f>+AI87</f>
        <v>7339427.8901515175</v>
      </c>
      <c r="AJ88" s="564">
        <f>+AJ87</f>
        <v>295547.43181818182</v>
      </c>
      <c r="AK88" s="564">
        <f t="shared" si="19"/>
        <v>7043880.4583333358</v>
      </c>
      <c r="AL88" s="590">
        <f>+AI$29*AK88+AJ88</f>
        <v>1149108.1112362281</v>
      </c>
      <c r="AM88" s="589">
        <f>+AM87</f>
        <v>2716239.4342045458</v>
      </c>
      <c r="AN88" s="564">
        <f>+AN87</f>
        <v>110866.91568181818</v>
      </c>
      <c r="AO88" s="564">
        <f t="shared" si="16"/>
        <v>2605372.5185227278</v>
      </c>
      <c r="AP88" s="590">
        <f>+AM$29*AO88+AN88</f>
        <v>426579.76035629376</v>
      </c>
      <c r="AQ88" s="589">
        <f>+AQ87</f>
        <v>22397072.872499999</v>
      </c>
      <c r="AR88" s="564">
        <f>+AR87</f>
        <v>904932.23727272719</v>
      </c>
      <c r="AS88" s="564">
        <f t="shared" si="17"/>
        <v>21492140.63522727</v>
      </c>
      <c r="AT88" s="590">
        <f>+AQ$29*AS88+AR88</f>
        <v>3509298.7184002893</v>
      </c>
      <c r="AU88" s="671"/>
      <c r="AV88" s="671"/>
      <c r="AW88" s="671"/>
      <c r="AX88" s="653"/>
      <c r="AY88" s="671"/>
      <c r="AZ88" s="671"/>
      <c r="BA88" s="671"/>
      <c r="BB88" s="653"/>
      <c r="BC88" s="671"/>
      <c r="BD88" s="671"/>
      <c r="BE88" s="671"/>
      <c r="BF88" s="653"/>
      <c r="BG88" s="671"/>
      <c r="BH88" s="671"/>
      <c r="BI88" s="671"/>
      <c r="BJ88" s="653"/>
      <c r="BK88" s="671"/>
      <c r="BL88" s="671"/>
      <c r="BM88" s="671"/>
      <c r="BN88" s="653"/>
      <c r="BO88" s="671"/>
      <c r="BP88" s="671"/>
      <c r="BQ88" s="671"/>
      <c r="BR88" s="653"/>
      <c r="BS88" s="589">
        <f>+BS87</f>
        <v>207772.15909090929</v>
      </c>
      <c r="BT88" s="564">
        <f>+BT87</f>
        <v>8310.886363636364</v>
      </c>
      <c r="BU88" s="564">
        <f t="shared" si="18"/>
        <v>199461.27272727294</v>
      </c>
      <c r="BV88" s="590">
        <f>+BS$29*BU88+BT88</f>
        <v>32481.128955595825</v>
      </c>
      <c r="BW88" s="589">
        <f>+BW87</f>
        <v>14565240.988636374</v>
      </c>
      <c r="BX88" s="564">
        <f>+BX87</f>
        <v>576841.22727272729</v>
      </c>
      <c r="BY88" s="564">
        <f t="shared" si="20"/>
        <v>13988399.761363648</v>
      </c>
      <c r="BZ88" s="590">
        <f>+BW$29*BY88+BX88</f>
        <v>2186549.5590158943</v>
      </c>
      <c r="CA88" s="589">
        <f>+CA87</f>
        <v>1374456.4800000014</v>
      </c>
      <c r="CB88" s="564">
        <f>+CB87</f>
        <v>54433.919999999998</v>
      </c>
      <c r="CC88" s="564">
        <f t="shared" si="21"/>
        <v>1320022.5600000015</v>
      </c>
      <c r="CD88" s="590">
        <f>+CA$29*CC88+CB88</f>
        <v>214391.1140247471</v>
      </c>
      <c r="CE88" s="589">
        <f>+CE87</f>
        <v>119306.98454545467</v>
      </c>
      <c r="CF88" s="564">
        <f>+CF87</f>
        <v>4725.0290909090909</v>
      </c>
      <c r="CG88" s="564">
        <f t="shared" si="22"/>
        <v>114581.95545454559</v>
      </c>
      <c r="CH88" s="590">
        <f>+CE$29*CG88+CF88</f>
        <v>18609.797909085697</v>
      </c>
      <c r="CI88" s="589">
        <f>+CI87</f>
        <v>324521.59090909059</v>
      </c>
      <c r="CJ88" s="564">
        <f>+CJ87</f>
        <v>12362.727272727272</v>
      </c>
      <c r="CK88" s="564">
        <f t="shared" si="24"/>
        <v>312158.8636363633</v>
      </c>
      <c r="CL88" s="590">
        <f>+CI$29*CK88+CJ88</f>
        <v>48284.257411636368</v>
      </c>
      <c r="CM88" s="589">
        <f>+CM87</f>
        <v>14873518.202556822</v>
      </c>
      <c r="CN88" s="564">
        <f>+CN87</f>
        <v>483691.64886363636</v>
      </c>
      <c r="CO88" s="564">
        <f t="shared" si="34"/>
        <v>14389826.553693186</v>
      </c>
      <c r="CP88" s="590">
        <f>+CM$29*CO88+CN88</f>
        <v>2139593.9744317839</v>
      </c>
      <c r="CQ88" s="589">
        <f>+CQ87</f>
        <v>62045380.902784057</v>
      </c>
      <c r="CR88" s="564">
        <f>+CR87</f>
        <v>2017735.9643181816</v>
      </c>
      <c r="CS88" s="564">
        <f t="shared" si="40"/>
        <v>60027644.938465878</v>
      </c>
      <c r="CT88" s="590">
        <f>+CQ$29*CS88+CR88</f>
        <v>8925388.1504714228</v>
      </c>
      <c r="CU88" s="589">
        <f>+CU87</f>
        <v>20962056.547500018</v>
      </c>
      <c r="CV88" s="564">
        <f>+CV87</f>
        <v>676195.37250000006</v>
      </c>
      <c r="CW88" s="564">
        <f t="shared" si="41"/>
        <v>20285861.175000019</v>
      </c>
      <c r="CX88" s="590">
        <f>+CU$29*CW88+CV88</f>
        <v>3010581.0282613477</v>
      </c>
      <c r="CY88" s="589">
        <f>+CY87</f>
        <v>23112.301704545491</v>
      </c>
      <c r="CZ88" s="564">
        <f>+CZ87</f>
        <v>733.72386363636497</v>
      </c>
      <c r="DA88" s="564">
        <f t="shared" si="42"/>
        <v>22378.577840909125</v>
      </c>
      <c r="DB88" s="590">
        <f>+CY$29*DA88+CZ88</f>
        <v>3308.9278767909591</v>
      </c>
      <c r="DC88" s="589">
        <f>+DC87</f>
        <v>1391583.5227272739</v>
      </c>
      <c r="DD88" s="564">
        <f>+DD87</f>
        <v>44530.672727272722</v>
      </c>
      <c r="DE88" s="564">
        <f t="shared" si="43"/>
        <v>1347052.8500000013</v>
      </c>
      <c r="DF88" s="590">
        <f>+DC$29*DE88+DD88</f>
        <v>199542.12742793531</v>
      </c>
      <c r="DG88" s="589">
        <f>+DG87</f>
        <v>776143.44102272671</v>
      </c>
      <c r="DH88" s="564">
        <f>+DH87</f>
        <v>24639.474318181816</v>
      </c>
      <c r="DI88" s="564">
        <f t="shared" si="44"/>
        <v>751503.96670454484</v>
      </c>
      <c r="DJ88" s="590">
        <f>+DG$29*DI88+DH88</f>
        <v>111118.42953674632</v>
      </c>
      <c r="DK88" s="589">
        <f>+DK87</f>
        <v>17131032.876250003</v>
      </c>
      <c r="DL88" s="564">
        <f>+DL87</f>
        <v>549658.80886363634</v>
      </c>
      <c r="DM88" s="564">
        <f t="shared" si="45"/>
        <v>16581374.067386366</v>
      </c>
      <c r="DN88" s="590">
        <f>+DK$29*DM88+DL88</f>
        <v>2457752.4037967534</v>
      </c>
      <c r="DO88" s="589">
        <f>+DO87</f>
        <v>630231.97428030265</v>
      </c>
      <c r="DP88" s="564">
        <f t="shared" si="116"/>
        <v>19592.703863636354</v>
      </c>
      <c r="DQ88" s="564">
        <f t="shared" si="130"/>
        <v>610639.27041666629</v>
      </c>
      <c r="DR88" s="590">
        <f t="shared" si="131"/>
        <v>89861.722339517713</v>
      </c>
      <c r="DS88" s="589">
        <f>+DS87</f>
        <v>269611.96363636275</v>
      </c>
      <c r="DT88" s="564">
        <f t="shared" si="117"/>
        <v>8295.7527272726966</v>
      </c>
      <c r="DU88" s="564">
        <f t="shared" si="61"/>
        <v>261316.21090909006</v>
      </c>
      <c r="DV88" s="590">
        <f t="shared" si="66"/>
        <v>38366.58921292593</v>
      </c>
      <c r="DW88" s="589">
        <f>+DW87</f>
        <v>39401.86994318178</v>
      </c>
      <c r="DX88" s="564">
        <f t="shared" si="118"/>
        <v>1221.7634090909089</v>
      </c>
      <c r="DY88" s="564">
        <f t="shared" si="62"/>
        <v>38180.106534090868</v>
      </c>
      <c r="DZ88" s="590">
        <f t="shared" si="67"/>
        <v>5615.3206882100558</v>
      </c>
      <c r="EA88" s="589">
        <f>+EA87</f>
        <v>-234376.59403409244</v>
      </c>
      <c r="EB88" s="564">
        <f t="shared" si="119"/>
        <v>-7120.3015909091364</v>
      </c>
      <c r="EC88" s="564">
        <f t="shared" si="63"/>
        <v>-227256.29244318331</v>
      </c>
      <c r="ED88" s="590">
        <f t="shared" si="68"/>
        <v>-33271.709445097636</v>
      </c>
      <c r="EE88" s="589">
        <f>+EE87</f>
        <v>6611742.5309090884</v>
      </c>
      <c r="EF88" s="564">
        <f t="shared" si="120"/>
        <v>192108.74181818182</v>
      </c>
      <c r="EG88" s="564">
        <f t="shared" si="72"/>
        <v>6419633.7890909063</v>
      </c>
      <c r="EH88" s="590">
        <f t="shared" si="73"/>
        <v>930844.99280678038</v>
      </c>
      <c r="EI88" s="589">
        <f>+EI87</f>
        <v>267168.31791666656</v>
      </c>
      <c r="EJ88" s="564">
        <f t="shared" si="121"/>
        <v>7669.903863636363</v>
      </c>
      <c r="EK88" s="564">
        <f t="shared" si="74"/>
        <v>259498.4140530302</v>
      </c>
      <c r="EL88" s="590">
        <f t="shared" si="75"/>
        <v>37531.5582559455</v>
      </c>
      <c r="EM88" s="589">
        <f>+EM87</f>
        <v>9121264.0113636386</v>
      </c>
      <c r="EN88" s="564">
        <f t="shared" si="122"/>
        <v>260607.54318181818</v>
      </c>
      <c r="EO88" s="564">
        <f t="shared" si="76"/>
        <v>8860656.4681818206</v>
      </c>
      <c r="EP88" s="590">
        <f t="shared" si="77"/>
        <v>1280243.2974402334</v>
      </c>
      <c r="EQ88" s="678">
        <f t="shared" si="94"/>
        <v>34882355.64460098</v>
      </c>
      <c r="ER88" s="675">
        <f>+EQ88</f>
        <v>34882355.64460098</v>
      </c>
      <c r="ES88" s="648"/>
      <c r="EV88" s="589"/>
      <c r="EW88" s="564"/>
      <c r="EX88" s="564"/>
      <c r="EY88" s="590"/>
      <c r="EZ88" s="589"/>
      <c r="FA88" s="564"/>
      <c r="FB88" s="564"/>
      <c r="FC88" s="590"/>
      <c r="FD88" s="589"/>
      <c r="FE88" s="564"/>
      <c r="FF88" s="564"/>
      <c r="FG88" s="590"/>
      <c r="FH88" s="589"/>
      <c r="FI88" s="564"/>
      <c r="FJ88" s="564"/>
      <c r="FK88" s="590"/>
      <c r="FL88" s="589"/>
      <c r="FM88" s="564"/>
      <c r="FN88" s="564"/>
      <c r="FO88" s="590"/>
      <c r="FP88" s="589"/>
      <c r="FQ88" s="564"/>
      <c r="FR88" s="564"/>
      <c r="FS88" s="590"/>
      <c r="FT88" s="589"/>
      <c r="FU88" s="564"/>
      <c r="FV88" s="564"/>
      <c r="FW88" s="590"/>
      <c r="FX88" s="589"/>
      <c r="FY88" s="564"/>
      <c r="FZ88" s="564"/>
      <c r="GA88" s="590"/>
      <c r="GB88" s="589"/>
      <c r="GC88" s="564"/>
      <c r="GD88" s="564"/>
      <c r="GE88" s="590"/>
      <c r="GF88" s="589"/>
      <c r="GG88" s="564"/>
      <c r="GH88" s="564"/>
      <c r="GI88" s="590"/>
      <c r="GJ88" s="589"/>
      <c r="GK88" s="564"/>
      <c r="GL88" s="564"/>
      <c r="GM88" s="590"/>
      <c r="GN88" s="589"/>
      <c r="GO88" s="564"/>
      <c r="GP88" s="564"/>
      <c r="GQ88" s="590"/>
      <c r="GR88" s="589"/>
      <c r="GS88" s="564"/>
      <c r="GT88" s="564"/>
      <c r="GU88" s="590"/>
      <c r="GV88" s="672"/>
      <c r="GW88" s="676"/>
      <c r="GX88" s="676"/>
      <c r="GY88" s="1366"/>
      <c r="GZ88" s="1367"/>
      <c r="HA88" s="1373"/>
      <c r="HB88" s="1373"/>
      <c r="HC88" s="1366"/>
      <c r="HD88" s="672">
        <f>+HD87</f>
        <v>36674.691666667233</v>
      </c>
      <c r="HE88" s="671">
        <f>+HE87</f>
        <v>36674.691666666666</v>
      </c>
      <c r="HF88" s="671">
        <f t="shared" si="132"/>
        <v>5.6752469390630722E-10</v>
      </c>
      <c r="HG88" s="1366">
        <f t="shared" si="133"/>
        <v>36674.691666666746</v>
      </c>
      <c r="HI88" s="589"/>
      <c r="HJ88" s="564"/>
      <c r="HK88" s="564"/>
      <c r="HL88" s="590"/>
      <c r="HM88" s="589"/>
      <c r="HN88" s="564"/>
      <c r="HO88" s="564"/>
      <c r="HP88" s="590"/>
      <c r="HQ88" s="589"/>
      <c r="HR88" s="564"/>
      <c r="HS88" s="564"/>
      <c r="HT88" s="590"/>
    </row>
    <row r="89" spans="1:228">
      <c r="A89" s="649" t="s">
        <v>24</v>
      </c>
      <c r="B89" s="670">
        <v>2031</v>
      </c>
      <c r="C89" s="671">
        <f>+E88</f>
        <v>9695975.6539772674</v>
      </c>
      <c r="D89" s="671">
        <f>+C$31</f>
        <v>445791.98409090913</v>
      </c>
      <c r="E89" s="671">
        <f t="shared" si="6"/>
        <v>9250183.6698863581</v>
      </c>
      <c r="F89" s="653">
        <f>+C$28*E89+D89</f>
        <v>1510252.392542884</v>
      </c>
      <c r="G89" s="671">
        <f>+I88</f>
        <v>2490576.1152272704</v>
      </c>
      <c r="H89" s="671">
        <f>+G$31</f>
        <v>115840.74954545456</v>
      </c>
      <c r="I89" s="671">
        <f t="shared" si="7"/>
        <v>2374735.3656818159</v>
      </c>
      <c r="J89" s="653">
        <f>+G$28*I89+H89</f>
        <v>389112.27230972314</v>
      </c>
      <c r="K89" s="672">
        <f>+M88</f>
        <v>6337460.0435795402</v>
      </c>
      <c r="L89" s="671">
        <f>+K$31</f>
        <v>305419.76113636367</v>
      </c>
      <c r="M89" s="671">
        <f t="shared" si="8"/>
        <v>6032040.282443177</v>
      </c>
      <c r="N89" s="653">
        <f>+K$28*M89+L89</f>
        <v>999553.87695409986</v>
      </c>
      <c r="O89" s="672">
        <f>+Q88</f>
        <v>2724389.2651515119</v>
      </c>
      <c r="P89" s="671">
        <f>+O$31</f>
        <v>119316.31818181818</v>
      </c>
      <c r="Q89" s="671">
        <f t="shared" si="11"/>
        <v>2605072.9469696935</v>
      </c>
      <c r="R89" s="653">
        <f>+O$28*Q89+P89</f>
        <v>419093.82662264426</v>
      </c>
      <c r="S89" s="589">
        <f>+U88</f>
        <v>1234349.0987878758</v>
      </c>
      <c r="T89" s="564">
        <f>+S$31</f>
        <v>58315.705454545445</v>
      </c>
      <c r="U89" s="564">
        <f t="shared" si="12"/>
        <v>1176033.3933333303</v>
      </c>
      <c r="V89" s="590">
        <f>+S$28*U89+T89</f>
        <v>193647.17895772378</v>
      </c>
      <c r="W89" s="589">
        <f>+Y88</f>
        <v>15830204.178030308</v>
      </c>
      <c r="X89" s="564">
        <f>+W$31</f>
        <v>693293.61363636365</v>
      </c>
      <c r="Y89" s="564">
        <f t="shared" si="13"/>
        <v>15136910.564393945</v>
      </c>
      <c r="Z89" s="590">
        <f>+W$28*Y89+X89</f>
        <v>2435166.2701253281</v>
      </c>
      <c r="AA89" s="589">
        <f>+AC88</f>
        <v>10331596.354166666</v>
      </c>
      <c r="AB89" s="564">
        <f>+AA$31</f>
        <v>450833.29545454547</v>
      </c>
      <c r="AC89" s="564">
        <f t="shared" si="14"/>
        <v>9880763.0587121211</v>
      </c>
      <c r="AD89" s="590">
        <f>+AA$28*AC89+AB89</f>
        <v>1587857.3218567262</v>
      </c>
      <c r="AE89" s="589">
        <f>+AG88</f>
        <v>103452.44318181831</v>
      </c>
      <c r="AF89" s="564">
        <f>+AE$31</f>
        <v>4597.886363636364</v>
      </c>
      <c r="AG89" s="564">
        <f t="shared" si="15"/>
        <v>98854.55681818194</v>
      </c>
      <c r="AH89" s="590">
        <f>+AE$28*AG89+AF89</f>
        <v>15973.526640983813</v>
      </c>
      <c r="AI89" s="589">
        <f>+AK88</f>
        <v>7043880.4583333358</v>
      </c>
      <c r="AJ89" s="564">
        <f>+AI$31</f>
        <v>295547.43181818182</v>
      </c>
      <c r="AK89" s="564">
        <f t="shared" si="19"/>
        <v>6748333.0265151542</v>
      </c>
      <c r="AL89" s="590">
        <f>+AI$28*AK89+AJ89</f>
        <v>1072108.5884533043</v>
      </c>
      <c r="AM89" s="589">
        <f>+AO88</f>
        <v>2605372.5185227278</v>
      </c>
      <c r="AN89" s="564">
        <f>+AM$31</f>
        <v>110866.91568181818</v>
      </c>
      <c r="AO89" s="564">
        <f t="shared" si="16"/>
        <v>2494505.6028409097</v>
      </c>
      <c r="AP89" s="590">
        <f>+AM$28*AO89+AN89</f>
        <v>397920.94051486196</v>
      </c>
      <c r="AQ89" s="589">
        <f>+AS88</f>
        <v>21492140.63522727</v>
      </c>
      <c r="AR89" s="564">
        <f>+AQ$31</f>
        <v>904932.23727272719</v>
      </c>
      <c r="AS89" s="564">
        <f t="shared" si="17"/>
        <v>20587208.397954542</v>
      </c>
      <c r="AT89" s="590">
        <f>+AQ$28*AS89+AR89</f>
        <v>3273995.2788546728</v>
      </c>
      <c r="AU89" s="671"/>
      <c r="AV89" s="671"/>
      <c r="AW89" s="671"/>
      <c r="AX89" s="653"/>
      <c r="AY89" s="671"/>
      <c r="AZ89" s="671"/>
      <c r="BA89" s="671"/>
      <c r="BB89" s="653"/>
      <c r="BC89" s="671"/>
      <c r="BD89" s="671"/>
      <c r="BE89" s="671"/>
      <c r="BF89" s="653"/>
      <c r="BG89" s="671"/>
      <c r="BH89" s="671"/>
      <c r="BI89" s="671"/>
      <c r="BJ89" s="653"/>
      <c r="BK89" s="671"/>
      <c r="BL89" s="671"/>
      <c r="BM89" s="671"/>
      <c r="BN89" s="653"/>
      <c r="BO89" s="671"/>
      <c r="BP89" s="671"/>
      <c r="BQ89" s="671"/>
      <c r="BR89" s="653"/>
      <c r="BS89" s="589">
        <f>+BU88</f>
        <v>199461.27272727294</v>
      </c>
      <c r="BT89" s="564">
        <f>+BS$31</f>
        <v>8310.886363636364</v>
      </c>
      <c r="BU89" s="564">
        <f t="shared" si="18"/>
        <v>191150.38636363659</v>
      </c>
      <c r="BV89" s="590">
        <f>+BS$28*BU89+BT89</f>
        <v>30307.42455203853</v>
      </c>
      <c r="BW89" s="589">
        <f>+BY88</f>
        <v>13988399.761363648</v>
      </c>
      <c r="BX89" s="564">
        <f>+BW$31</f>
        <v>576841.22727272729</v>
      </c>
      <c r="BY89" s="564">
        <f t="shared" si="20"/>
        <v>13411558.534090921</v>
      </c>
      <c r="BZ89" s="590">
        <f>+BW$28*BY89+BX89</f>
        <v>2120169.8339955574</v>
      </c>
      <c r="CA89" s="589">
        <f>+CC88</f>
        <v>1320022.5600000015</v>
      </c>
      <c r="CB89" s="564">
        <f>+CA$31</f>
        <v>54433.919999999998</v>
      </c>
      <c r="CC89" s="564">
        <f t="shared" si="21"/>
        <v>1265588.6400000015</v>
      </c>
      <c r="CD89" s="590">
        <f>+CA$28*CC89+CB89</f>
        <v>200070.92016597954</v>
      </c>
      <c r="CE89" s="589">
        <f>+CG88</f>
        <v>114581.95545454559</v>
      </c>
      <c r="CF89" s="564">
        <f>+CE$31</f>
        <v>4725.0290909090909</v>
      </c>
      <c r="CG89" s="564">
        <f t="shared" si="22"/>
        <v>109856.92636363651</v>
      </c>
      <c r="CH89" s="590">
        <f>+CE$28*CG89+CF89</f>
        <v>17366.761718230173</v>
      </c>
      <c r="CI89" s="589">
        <f>+CK88</f>
        <v>312158.8636363633</v>
      </c>
      <c r="CJ89" s="564">
        <f>+CI$31</f>
        <v>12362.727272727272</v>
      </c>
      <c r="CK89" s="564">
        <f t="shared" si="24"/>
        <v>299796.136363636</v>
      </c>
      <c r="CL89" s="590">
        <f>+CI$28*CK89+CJ89</f>
        <v>46861.622554649868</v>
      </c>
      <c r="CM89" s="589">
        <f>+CO88</f>
        <v>14389826.553693186</v>
      </c>
      <c r="CN89" s="564">
        <f>+CM$31</f>
        <v>483691.64886363636</v>
      </c>
      <c r="CO89" s="564">
        <f t="shared" si="34"/>
        <v>13906134.904829551</v>
      </c>
      <c r="CP89" s="590">
        <f>+CM$28*CO89+CN89</f>
        <v>2083933.3920597455</v>
      </c>
      <c r="CQ89" s="589">
        <f>+CS88</f>
        <v>60027644.938465878</v>
      </c>
      <c r="CR89" s="564">
        <f>+CQ$31</f>
        <v>2017735.9643181816</v>
      </c>
      <c r="CS89" s="564">
        <f t="shared" si="40"/>
        <v>58009908.9741477</v>
      </c>
      <c r="CT89" s="590">
        <f>+CQ$28*CS89+CR89</f>
        <v>8693198.1610208936</v>
      </c>
      <c r="CU89" s="589">
        <f>+CW88</f>
        <v>20285861.175000019</v>
      </c>
      <c r="CV89" s="564">
        <f>+CU$31</f>
        <v>676195.37250000006</v>
      </c>
      <c r="CW89" s="564">
        <f t="shared" si="41"/>
        <v>19609665.802500021</v>
      </c>
      <c r="CX89" s="590">
        <f>+CU$28*CW89+CV89</f>
        <v>2932768.1730693034</v>
      </c>
      <c r="CY89" s="589">
        <f>+DA88</f>
        <v>22378.577840909125</v>
      </c>
      <c r="CZ89" s="564">
        <f>+CY$31</f>
        <v>733.72386363636497</v>
      </c>
      <c r="DA89" s="564">
        <f t="shared" si="42"/>
        <v>21644.85397727276</v>
      </c>
      <c r="DB89" s="590">
        <f>+CY$28*DA89+CZ89</f>
        <v>3224.494958326874</v>
      </c>
      <c r="DC89" s="589">
        <f>+DE88</f>
        <v>1347052.8500000013</v>
      </c>
      <c r="DD89" s="564">
        <f>+DC$31</f>
        <v>44530.672727272722</v>
      </c>
      <c r="DE89" s="564">
        <f t="shared" si="43"/>
        <v>1302522.1772727286</v>
      </c>
      <c r="DF89" s="590">
        <f>+DC$28*DE89+DD89</f>
        <v>194417.78181799609</v>
      </c>
      <c r="DG89" s="589">
        <f>+DI88</f>
        <v>751503.96670454484</v>
      </c>
      <c r="DH89" s="564">
        <f>+DG$31</f>
        <v>24639.474318181816</v>
      </c>
      <c r="DI89" s="564">
        <f t="shared" si="44"/>
        <v>726864.49238636298</v>
      </c>
      <c r="DJ89" s="590">
        <f>+DG$28*DI89+DH89</f>
        <v>108283.05395580978</v>
      </c>
      <c r="DK89" s="589">
        <f>+DM88</f>
        <v>16581374.067386366</v>
      </c>
      <c r="DL89" s="564">
        <f>+DK$31</f>
        <v>549658.80886363634</v>
      </c>
      <c r="DM89" s="564">
        <f t="shared" si="45"/>
        <v>16031715.25852273</v>
      </c>
      <c r="DN89" s="590">
        <f>+DK$28*DM89+DL89</f>
        <v>2394500.682417755</v>
      </c>
      <c r="DO89" s="589">
        <f>+DQ88</f>
        <v>610639.27041666629</v>
      </c>
      <c r="DP89" s="564">
        <f t="shared" si="116"/>
        <v>19592.703863636354</v>
      </c>
      <c r="DQ89" s="564">
        <f t="shared" ref="DQ89:DQ148" si="134">+DO89-DP89</f>
        <v>591046.56655302993</v>
      </c>
      <c r="DR89" s="590">
        <f t="shared" ref="DR89:DR90" si="135">+DO$29*DQ89+DP89</f>
        <v>87607.101425853063</v>
      </c>
      <c r="DS89" s="589">
        <f>+DU88</f>
        <v>261316.21090909006</v>
      </c>
      <c r="DT89" s="564">
        <f t="shared" si="117"/>
        <v>8295.7527272726966</v>
      </c>
      <c r="DU89" s="564">
        <f t="shared" si="61"/>
        <v>253020.45818181738</v>
      </c>
      <c r="DV89" s="590">
        <f t="shared" si="66"/>
        <v>37411.95948322265</v>
      </c>
      <c r="DW89" s="589">
        <f>+DY88</f>
        <v>38180.106534090868</v>
      </c>
      <c r="DX89" s="564">
        <f t="shared" si="118"/>
        <v>1221.7634090909089</v>
      </c>
      <c r="DY89" s="564">
        <f t="shared" si="62"/>
        <v>36958.343124999956</v>
      </c>
      <c r="DZ89" s="590">
        <f t="shared" si="67"/>
        <v>5474.7268552782425</v>
      </c>
      <c r="EA89" s="589">
        <f>+EC88</f>
        <v>-227256.29244318331</v>
      </c>
      <c r="EB89" s="564">
        <f t="shared" si="119"/>
        <v>-7120.3015909091364</v>
      </c>
      <c r="EC89" s="564">
        <f t="shared" si="63"/>
        <v>-220135.99085227418</v>
      </c>
      <c r="ED89" s="590">
        <f t="shared" si="68"/>
        <v>-32452.344185958576</v>
      </c>
      <c r="EE89" s="589">
        <f>+EG88</f>
        <v>6419633.7890909063</v>
      </c>
      <c r="EF89" s="564">
        <f t="shared" si="120"/>
        <v>192108.74181818182</v>
      </c>
      <c r="EG89" s="564">
        <f t="shared" si="72"/>
        <v>6227525.0472727241</v>
      </c>
      <c r="EH89" s="590">
        <f t="shared" si="73"/>
        <v>908738.17232831859</v>
      </c>
      <c r="EI89" s="589">
        <f>+EK88</f>
        <v>259498.4140530302</v>
      </c>
      <c r="EJ89" s="564">
        <f t="shared" si="121"/>
        <v>7669.903863636363</v>
      </c>
      <c r="EK89" s="564">
        <f t="shared" si="74"/>
        <v>251828.51018939383</v>
      </c>
      <c r="EL89" s="590">
        <f t="shared" si="75"/>
        <v>36648.947781295967</v>
      </c>
      <c r="EM89" s="589">
        <f>+EO88</f>
        <v>8860656.4681818206</v>
      </c>
      <c r="EN89" s="564">
        <f t="shared" si="122"/>
        <v>260607.54318181818</v>
      </c>
      <c r="EO89" s="564">
        <f t="shared" si="76"/>
        <v>8600048.9250000026</v>
      </c>
      <c r="EP89" s="590">
        <f t="shared" si="77"/>
        <v>1250254.0105502801</v>
      </c>
      <c r="EQ89" s="678">
        <f t="shared" si="94"/>
        <v>33413466.350357521</v>
      </c>
      <c r="ER89" s="652"/>
      <c r="ES89" s="674">
        <f>+EQ89</f>
        <v>33413466.350357521</v>
      </c>
      <c r="EV89" s="589"/>
      <c r="EW89" s="564"/>
      <c r="EX89" s="564"/>
      <c r="EY89" s="590"/>
      <c r="EZ89" s="589"/>
      <c r="FA89" s="564"/>
      <c r="FB89" s="564"/>
      <c r="FC89" s="590"/>
      <c r="FD89" s="589"/>
      <c r="FE89" s="564"/>
      <c r="FF89" s="564"/>
      <c r="FG89" s="590"/>
      <c r="FH89" s="589"/>
      <c r="FI89" s="564"/>
      <c r="FJ89" s="564"/>
      <c r="FK89" s="590"/>
      <c r="FL89" s="589"/>
      <c r="FM89" s="564"/>
      <c r="FN89" s="564"/>
      <c r="FO89" s="590"/>
      <c r="FP89" s="589"/>
      <c r="FQ89" s="564"/>
      <c r="FR89" s="564"/>
      <c r="FS89" s="590"/>
      <c r="FT89" s="589"/>
      <c r="FU89" s="564"/>
      <c r="FV89" s="564"/>
      <c r="FW89" s="590"/>
      <c r="FX89" s="589"/>
      <c r="FY89" s="564"/>
      <c r="FZ89" s="564"/>
      <c r="GA89" s="590"/>
      <c r="GB89" s="589"/>
      <c r="GC89" s="564"/>
      <c r="GD89" s="564"/>
      <c r="GE89" s="590"/>
      <c r="GF89" s="589"/>
      <c r="GG89" s="564"/>
      <c r="GH89" s="564"/>
      <c r="GI89" s="590"/>
      <c r="GJ89" s="589"/>
      <c r="GK89" s="564"/>
      <c r="GL89" s="564"/>
      <c r="GM89" s="590"/>
      <c r="GN89" s="589"/>
      <c r="GO89" s="564"/>
      <c r="GP89" s="564"/>
      <c r="GQ89" s="590"/>
      <c r="GR89" s="589"/>
      <c r="GS89" s="564"/>
      <c r="GT89" s="564"/>
      <c r="GU89" s="590"/>
      <c r="GV89" s="672"/>
      <c r="GW89" s="676"/>
      <c r="GX89" s="676"/>
      <c r="GY89" s="1366"/>
      <c r="GZ89" s="1367"/>
      <c r="HA89" s="1373"/>
      <c r="HB89" s="1373"/>
      <c r="HC89" s="1366"/>
      <c r="HD89" s="1367"/>
      <c r="HE89" s="1373"/>
      <c r="HF89" s="1373"/>
      <c r="HG89" s="1366"/>
      <c r="HI89" s="589"/>
      <c r="HJ89" s="564"/>
      <c r="HK89" s="564"/>
      <c r="HL89" s="590"/>
      <c r="HM89" s="589"/>
      <c r="HN89" s="564"/>
      <c r="HO89" s="564"/>
      <c r="HP89" s="590"/>
      <c r="HQ89" s="589"/>
      <c r="HR89" s="564"/>
      <c r="HS89" s="564"/>
      <c r="HT89" s="590"/>
    </row>
    <row r="90" spans="1:228">
      <c r="A90" s="649" t="s">
        <v>23</v>
      </c>
      <c r="B90" s="670">
        <v>2031</v>
      </c>
      <c r="C90" s="671">
        <f>+C89</f>
        <v>9695975.6539772674</v>
      </c>
      <c r="D90" s="671">
        <f>+D89</f>
        <v>445791.98409090913</v>
      </c>
      <c r="E90" s="671">
        <f t="shared" si="6"/>
        <v>9250183.6698863581</v>
      </c>
      <c r="F90" s="653">
        <f>+C$29*E90+D90</f>
        <v>1566707.2387881908</v>
      </c>
      <c r="G90" s="671">
        <f>+G89</f>
        <v>2490576.1152272704</v>
      </c>
      <c r="H90" s="671">
        <f>+H89</f>
        <v>115840.74954545456</v>
      </c>
      <c r="I90" s="671">
        <f t="shared" si="7"/>
        <v>2374735.3656818159</v>
      </c>
      <c r="J90" s="653">
        <f>+G$29*I90+H90</f>
        <v>403605.5326305214</v>
      </c>
      <c r="K90" s="672">
        <f>+K89</f>
        <v>6337460.0435795402</v>
      </c>
      <c r="L90" s="671">
        <f>+L89</f>
        <v>305419.76113636367</v>
      </c>
      <c r="M90" s="671">
        <f t="shared" si="8"/>
        <v>6032040.282443177</v>
      </c>
      <c r="N90" s="653">
        <f>+K$29*M90+L90</f>
        <v>1036368.0547957178</v>
      </c>
      <c r="O90" s="672">
        <f>+O89</f>
        <v>2724389.2651515119</v>
      </c>
      <c r="P90" s="671">
        <f>+P89</f>
        <v>119316.31818181818</v>
      </c>
      <c r="Q90" s="671">
        <f t="shared" si="11"/>
        <v>2605072.9469696935</v>
      </c>
      <c r="R90" s="653">
        <f>+O$29*Q90+P90</f>
        <v>434992.86148805573</v>
      </c>
      <c r="S90" s="589">
        <f>+S89</f>
        <v>1234349.0987878758</v>
      </c>
      <c r="T90" s="564">
        <f>+T89</f>
        <v>58315.705454545445</v>
      </c>
      <c r="U90" s="564">
        <f t="shared" si="12"/>
        <v>1176033.3933333303</v>
      </c>
      <c r="V90" s="590">
        <f>+S$29*U90+T90</f>
        <v>200824.63475420911</v>
      </c>
      <c r="W90" s="589">
        <f>+W89</f>
        <v>15830204.178030308</v>
      </c>
      <c r="X90" s="564">
        <f>+X89</f>
        <v>693293.61363636365</v>
      </c>
      <c r="Y90" s="564">
        <f t="shared" si="13"/>
        <v>15136910.564393945</v>
      </c>
      <c r="Z90" s="590">
        <f>+W$29*Y90+X90</f>
        <v>2527548.4312843317</v>
      </c>
      <c r="AA90" s="589">
        <f>+AA89</f>
        <v>10331596.354166666</v>
      </c>
      <c r="AB90" s="564">
        <f>+AB89</f>
        <v>450833.29545454547</v>
      </c>
      <c r="AC90" s="564">
        <f t="shared" si="14"/>
        <v>9880763.0587121211</v>
      </c>
      <c r="AD90" s="590">
        <f>+AA$29*AC90+AB90</f>
        <v>1648160.6605981886</v>
      </c>
      <c r="AE90" s="589">
        <f>+AE89</f>
        <v>103452.44318181831</v>
      </c>
      <c r="AF90" s="564">
        <f>+AF89</f>
        <v>4597.886363636364</v>
      </c>
      <c r="AG90" s="564">
        <f t="shared" si="15"/>
        <v>98854.55681818194</v>
      </c>
      <c r="AH90" s="590">
        <f>+AE$29*AG90+AF90</f>
        <v>16576.846424134346</v>
      </c>
      <c r="AI90" s="589">
        <f>+AI89</f>
        <v>7043880.4583333358</v>
      </c>
      <c r="AJ90" s="564">
        <f>+AJ89</f>
        <v>295547.43181818182</v>
      </c>
      <c r="AK90" s="564">
        <f t="shared" si="19"/>
        <v>6748333.0265151542</v>
      </c>
      <c r="AL90" s="590">
        <f>+AI$29*AK90+AJ90</f>
        <v>1113294.376435471</v>
      </c>
      <c r="AM90" s="589">
        <f>+AM89</f>
        <v>2605372.5185227278</v>
      </c>
      <c r="AN90" s="564">
        <f>+AN89</f>
        <v>110866.91568181818</v>
      </c>
      <c r="AO90" s="564">
        <f t="shared" si="16"/>
        <v>2494505.6028409097</v>
      </c>
      <c r="AP90" s="590">
        <f>+AM$29*AO90+AN90</f>
        <v>413145.17122120969</v>
      </c>
      <c r="AQ90" s="589">
        <f>+AQ89</f>
        <v>21492140.63522727</v>
      </c>
      <c r="AR90" s="564">
        <f>+AR89</f>
        <v>904932.23727272719</v>
      </c>
      <c r="AS90" s="564">
        <f t="shared" si="17"/>
        <v>20587208.397954542</v>
      </c>
      <c r="AT90" s="590">
        <f>+AQ$29*AS90+AR90</f>
        <v>3399641.182352813</v>
      </c>
      <c r="AU90" s="671"/>
      <c r="AV90" s="671"/>
      <c r="AW90" s="671"/>
      <c r="AX90" s="653"/>
      <c r="AY90" s="671"/>
      <c r="AZ90" s="671"/>
      <c r="BA90" s="671"/>
      <c r="BB90" s="653"/>
      <c r="BC90" s="671"/>
      <c r="BD90" s="671"/>
      <c r="BE90" s="671"/>
      <c r="BF90" s="653"/>
      <c r="BG90" s="671"/>
      <c r="BH90" s="671"/>
      <c r="BI90" s="671"/>
      <c r="BJ90" s="653"/>
      <c r="BK90" s="671"/>
      <c r="BL90" s="671"/>
      <c r="BM90" s="671"/>
      <c r="BN90" s="653"/>
      <c r="BO90" s="671"/>
      <c r="BP90" s="671"/>
      <c r="BQ90" s="671"/>
      <c r="BR90" s="653"/>
      <c r="BS90" s="589">
        <f>+BS89</f>
        <v>199461.27272727294</v>
      </c>
      <c r="BT90" s="564">
        <f>+BT89</f>
        <v>8310.886363636364</v>
      </c>
      <c r="BU90" s="564">
        <f t="shared" si="18"/>
        <v>191150.38636363659</v>
      </c>
      <c r="BV90" s="590">
        <f>+BS$29*BU90+BT90</f>
        <v>31474.035514264182</v>
      </c>
      <c r="BW90" s="589">
        <f>+BW89</f>
        <v>13988399.761363648</v>
      </c>
      <c r="BX90" s="564">
        <f>+BX89</f>
        <v>576841.22727272729</v>
      </c>
      <c r="BY90" s="564">
        <f t="shared" si="20"/>
        <v>13411558.534090921</v>
      </c>
      <c r="BZ90" s="590">
        <f>+BW$29*BY90+BX90</f>
        <v>2120169.8339955574</v>
      </c>
      <c r="CA90" s="589">
        <f>+CA89</f>
        <v>1320022.5600000015</v>
      </c>
      <c r="CB90" s="564">
        <f>+CB89</f>
        <v>54433.919999999998</v>
      </c>
      <c r="CC90" s="564">
        <f t="shared" si="21"/>
        <v>1265588.6400000015</v>
      </c>
      <c r="CD90" s="590">
        <f>+CA$29*CC90+CB90</f>
        <v>207794.94107527303</v>
      </c>
      <c r="CE90" s="589">
        <f>+CE89</f>
        <v>114581.95545454559</v>
      </c>
      <c r="CF90" s="564">
        <f>+CF89</f>
        <v>4725.0290909090909</v>
      </c>
      <c r="CG90" s="564">
        <f t="shared" si="22"/>
        <v>109856.92636363651</v>
      </c>
      <c r="CH90" s="590">
        <f>+CE$29*CG90+CF90</f>
        <v>18037.230122769139</v>
      </c>
      <c r="CI90" s="589">
        <f>+CI89</f>
        <v>312158.8636363633</v>
      </c>
      <c r="CJ90" s="564">
        <f>+CJ89</f>
        <v>12362.727272727272</v>
      </c>
      <c r="CK90" s="564">
        <f t="shared" si="24"/>
        <v>299796.136363636</v>
      </c>
      <c r="CL90" s="590">
        <f>+CI$29*CK90+CJ90</f>
        <v>46861.622554649868</v>
      </c>
      <c r="CM90" s="589">
        <f>+CM89</f>
        <v>14389826.553693186</v>
      </c>
      <c r="CN90" s="564">
        <f>+CN89</f>
        <v>483691.64886363636</v>
      </c>
      <c r="CO90" s="564">
        <f t="shared" si="34"/>
        <v>13906134.904829551</v>
      </c>
      <c r="CP90" s="590">
        <f>+CM$29*CO90+CN90</f>
        <v>2083933.3920597455</v>
      </c>
      <c r="CQ90" s="589">
        <f>+CQ89</f>
        <v>60027644.938465878</v>
      </c>
      <c r="CR90" s="564">
        <f>+CR89</f>
        <v>2017735.9643181816</v>
      </c>
      <c r="CS90" s="564">
        <f t="shared" si="40"/>
        <v>58009908.9741477</v>
      </c>
      <c r="CT90" s="590">
        <f>+CQ$29*CS90+CR90</f>
        <v>8693198.1610208936</v>
      </c>
      <c r="CU90" s="589">
        <f>+CU89</f>
        <v>20285861.175000019</v>
      </c>
      <c r="CV90" s="564">
        <f>+CV89</f>
        <v>676195.37250000006</v>
      </c>
      <c r="CW90" s="564">
        <f t="shared" si="41"/>
        <v>19609665.802500021</v>
      </c>
      <c r="CX90" s="590">
        <f>+CU$29*CW90+CV90</f>
        <v>2932768.1730693034</v>
      </c>
      <c r="CY90" s="589">
        <f>+CY89</f>
        <v>22378.577840909125</v>
      </c>
      <c r="CZ90" s="564">
        <f>+CZ89</f>
        <v>733.72386363636497</v>
      </c>
      <c r="DA90" s="564">
        <f t="shared" si="42"/>
        <v>21644.85397727276</v>
      </c>
      <c r="DB90" s="590">
        <f>+CY$29*DA90+CZ90</f>
        <v>3224.494958326874</v>
      </c>
      <c r="DC90" s="589">
        <f>+DC89</f>
        <v>1347052.8500000013</v>
      </c>
      <c r="DD90" s="564">
        <f>+DD89</f>
        <v>44530.672727272722</v>
      </c>
      <c r="DE90" s="564">
        <f t="shared" si="43"/>
        <v>1302522.1772727286</v>
      </c>
      <c r="DF90" s="590">
        <f>+DC$29*DE90+DD90</f>
        <v>194417.78181799609</v>
      </c>
      <c r="DG90" s="589">
        <f>+DG89</f>
        <v>751503.96670454484</v>
      </c>
      <c r="DH90" s="564">
        <f>+DH89</f>
        <v>24639.474318181816</v>
      </c>
      <c r="DI90" s="564">
        <f t="shared" si="44"/>
        <v>726864.49238636298</v>
      </c>
      <c r="DJ90" s="590">
        <f>+DG$29*DI90+DH90</f>
        <v>108283.05395580978</v>
      </c>
      <c r="DK90" s="589">
        <f>+DK89</f>
        <v>16581374.067386366</v>
      </c>
      <c r="DL90" s="564">
        <f>+DL89</f>
        <v>549658.80886363634</v>
      </c>
      <c r="DM90" s="564">
        <f t="shared" si="45"/>
        <v>16031715.25852273</v>
      </c>
      <c r="DN90" s="590">
        <f>+DK$29*DM90+DL90</f>
        <v>2394500.682417755</v>
      </c>
      <c r="DO90" s="589">
        <f>+DO89</f>
        <v>610639.27041666629</v>
      </c>
      <c r="DP90" s="564">
        <f t="shared" si="116"/>
        <v>19592.703863636354</v>
      </c>
      <c r="DQ90" s="564">
        <f t="shared" si="134"/>
        <v>591046.56655302993</v>
      </c>
      <c r="DR90" s="590">
        <f t="shared" si="135"/>
        <v>87607.101425853063</v>
      </c>
      <c r="DS90" s="589">
        <f>+DS89</f>
        <v>261316.21090909006</v>
      </c>
      <c r="DT90" s="564">
        <f t="shared" si="117"/>
        <v>8295.7527272726966</v>
      </c>
      <c r="DU90" s="564">
        <f t="shared" si="61"/>
        <v>253020.45818181738</v>
      </c>
      <c r="DV90" s="590">
        <f t="shared" si="66"/>
        <v>37411.95948322265</v>
      </c>
      <c r="DW90" s="589">
        <f>+DW89</f>
        <v>38180.106534090868</v>
      </c>
      <c r="DX90" s="564">
        <f t="shared" si="118"/>
        <v>1221.7634090909089</v>
      </c>
      <c r="DY90" s="564">
        <f t="shared" si="62"/>
        <v>36958.343124999956</v>
      </c>
      <c r="DZ90" s="590">
        <f t="shared" si="67"/>
        <v>5474.7268552782425</v>
      </c>
      <c r="EA90" s="589">
        <f>+EA89</f>
        <v>-227256.29244318331</v>
      </c>
      <c r="EB90" s="564">
        <f t="shared" si="119"/>
        <v>-7120.3015909091364</v>
      </c>
      <c r="EC90" s="564">
        <f t="shared" si="63"/>
        <v>-220135.99085227418</v>
      </c>
      <c r="ED90" s="590">
        <f t="shared" si="68"/>
        <v>-32452.344185958576</v>
      </c>
      <c r="EE90" s="589">
        <f>+EE89</f>
        <v>6419633.7890909063</v>
      </c>
      <c r="EF90" s="564">
        <f t="shared" si="120"/>
        <v>192108.74181818182</v>
      </c>
      <c r="EG90" s="564">
        <f t="shared" si="72"/>
        <v>6227525.0472727241</v>
      </c>
      <c r="EH90" s="590">
        <f t="shared" si="73"/>
        <v>908738.17232831859</v>
      </c>
      <c r="EI90" s="589">
        <f>+EI89</f>
        <v>259498.4140530302</v>
      </c>
      <c r="EJ90" s="564">
        <f t="shared" si="121"/>
        <v>7669.903863636363</v>
      </c>
      <c r="EK90" s="564">
        <f t="shared" si="74"/>
        <v>251828.51018939383</v>
      </c>
      <c r="EL90" s="590">
        <f t="shared" si="75"/>
        <v>36648.947781295967</v>
      </c>
      <c r="EM90" s="589">
        <f>+EM89</f>
        <v>8860656.4681818206</v>
      </c>
      <c r="EN90" s="564">
        <f t="shared" si="122"/>
        <v>260607.54318181818</v>
      </c>
      <c r="EO90" s="564">
        <f t="shared" si="76"/>
        <v>8600048.9250000026</v>
      </c>
      <c r="EP90" s="590">
        <f t="shared" si="77"/>
        <v>1250254.0105502801</v>
      </c>
      <c r="EQ90" s="678">
        <f t="shared" si="94"/>
        <v>33889210.967573471</v>
      </c>
      <c r="ER90" s="675">
        <f>+EQ90</f>
        <v>33889210.967573471</v>
      </c>
      <c r="ES90" s="648"/>
      <c r="EV90" s="589"/>
      <c r="EW90" s="564"/>
      <c r="EX90" s="564"/>
      <c r="EY90" s="590"/>
      <c r="EZ90" s="589"/>
      <c r="FA90" s="564"/>
      <c r="FB90" s="564"/>
      <c r="FC90" s="590"/>
      <c r="FD90" s="589"/>
      <c r="FE90" s="564"/>
      <c r="FF90" s="564"/>
      <c r="FG90" s="590"/>
      <c r="FH90" s="589"/>
      <c r="FI90" s="564"/>
      <c r="FJ90" s="564"/>
      <c r="FK90" s="590"/>
      <c r="FL90" s="589"/>
      <c r="FM90" s="564"/>
      <c r="FN90" s="564"/>
      <c r="FO90" s="590"/>
      <c r="FP90" s="589"/>
      <c r="FQ90" s="564"/>
      <c r="FR90" s="564"/>
      <c r="FS90" s="590"/>
      <c r="FT90" s="589"/>
      <c r="FU90" s="564"/>
      <c r="FV90" s="564"/>
      <c r="FW90" s="590"/>
      <c r="FX90" s="589"/>
      <c r="FY90" s="564"/>
      <c r="FZ90" s="564"/>
      <c r="GA90" s="590"/>
      <c r="GB90" s="589"/>
      <c r="GC90" s="564"/>
      <c r="GD90" s="564"/>
      <c r="GE90" s="590"/>
      <c r="GF90" s="589"/>
      <c r="GG90" s="564"/>
      <c r="GH90" s="564"/>
      <c r="GI90" s="590"/>
      <c r="GJ90" s="589"/>
      <c r="GK90" s="564"/>
      <c r="GL90" s="564"/>
      <c r="GM90" s="590"/>
      <c r="GN90" s="589"/>
      <c r="GO90" s="564"/>
      <c r="GP90" s="564"/>
      <c r="GQ90" s="590"/>
      <c r="GR90" s="589"/>
      <c r="GS90" s="564"/>
      <c r="GT90" s="564"/>
      <c r="GU90" s="590"/>
      <c r="GV90" s="672"/>
      <c r="GW90" s="676"/>
      <c r="GX90" s="676"/>
      <c r="GY90" s="1366"/>
      <c r="GZ90" s="1367"/>
      <c r="HA90" s="1373"/>
      <c r="HB90" s="1373"/>
      <c r="HC90" s="1366"/>
      <c r="HD90" s="1367"/>
      <c r="HE90" s="1373"/>
      <c r="HF90" s="1373"/>
      <c r="HG90" s="1366"/>
      <c r="HI90" s="589"/>
      <c r="HJ90" s="564"/>
      <c r="HK90" s="564"/>
      <c r="HL90" s="590"/>
      <c r="HM90" s="589"/>
      <c r="HN90" s="564"/>
      <c r="HO90" s="564"/>
      <c r="HP90" s="590"/>
      <c r="HQ90" s="589"/>
      <c r="HR90" s="564"/>
      <c r="HS90" s="564"/>
      <c r="HT90" s="590"/>
    </row>
    <row r="91" spans="1:228">
      <c r="A91" s="649" t="s">
        <v>24</v>
      </c>
      <c r="B91" s="670">
        <v>2032</v>
      </c>
      <c r="C91" s="671">
        <f>+E90</f>
        <v>9250183.6698863581</v>
      </c>
      <c r="D91" s="671">
        <f>+C$31</f>
        <v>445791.98409090913</v>
      </c>
      <c r="E91" s="671">
        <f t="shared" si="6"/>
        <v>8804391.6857954487</v>
      </c>
      <c r="F91" s="653">
        <f>+C$28*E91+D91</f>
        <v>1458953.0957500176</v>
      </c>
      <c r="G91" s="671">
        <f>+I90</f>
        <v>2374735.3656818159</v>
      </c>
      <c r="H91" s="671">
        <f>+G$31</f>
        <v>115840.74954545456</v>
      </c>
      <c r="I91" s="671">
        <f t="shared" si="7"/>
        <v>2258894.6161363614</v>
      </c>
      <c r="J91" s="653">
        <f>+G$28*I91+H91</f>
        <v>375781.95412610029</v>
      </c>
      <c r="K91" s="672">
        <f>+M90</f>
        <v>6032040.282443177</v>
      </c>
      <c r="L91" s="671">
        <f>+K$31</f>
        <v>305419.76113636367</v>
      </c>
      <c r="M91" s="671">
        <f t="shared" si="8"/>
        <v>5726620.5213068137</v>
      </c>
      <c r="N91" s="653">
        <f>+K$28*M91+L91</f>
        <v>964407.84577345499</v>
      </c>
      <c r="O91" s="672">
        <f>+Q90</f>
        <v>2605072.9469696935</v>
      </c>
      <c r="P91" s="671">
        <f>+O$31</f>
        <v>119316.31818181818</v>
      </c>
      <c r="Q91" s="671">
        <f t="shared" si="11"/>
        <v>2485756.6287878752</v>
      </c>
      <c r="R91" s="653">
        <f>+O$28*Q91+P91</f>
        <v>405363.55906046898</v>
      </c>
      <c r="S91" s="589">
        <f>+U90</f>
        <v>1176033.3933333303</v>
      </c>
      <c r="T91" s="564">
        <f>+S$31</f>
        <v>58315.705454545445</v>
      </c>
      <c r="U91" s="564">
        <f t="shared" si="12"/>
        <v>1117717.6878787847</v>
      </c>
      <c r="V91" s="590">
        <f>+S$28*U91+T91</f>
        <v>186936.52737905376</v>
      </c>
      <c r="W91" s="589">
        <f>+Y90</f>
        <v>15136910.564393945</v>
      </c>
      <c r="X91" s="564">
        <f>+W$31</f>
        <v>693293.61363636365</v>
      </c>
      <c r="Y91" s="564">
        <f t="shared" si="13"/>
        <v>14443616.950757582</v>
      </c>
      <c r="Z91" s="590">
        <f>+W$28*Y91+X91</f>
        <v>2355385.8431105665</v>
      </c>
      <c r="AA91" s="589">
        <f>+AC90</f>
        <v>9880763.0587121211</v>
      </c>
      <c r="AB91" s="564">
        <f>+AA$31</f>
        <v>450833.29545454547</v>
      </c>
      <c r="AC91" s="564">
        <f t="shared" si="14"/>
        <v>9429929.7632575762</v>
      </c>
      <c r="AD91" s="590">
        <f>+AA$28*AC91+AB91</f>
        <v>1535977.8985988321</v>
      </c>
      <c r="AE91" s="589">
        <f>+AG90</f>
        <v>98854.55681818194</v>
      </c>
      <c r="AF91" s="564">
        <f>+AE$31</f>
        <v>4597.886363636364</v>
      </c>
      <c r="AG91" s="564">
        <f t="shared" si="15"/>
        <v>94256.670454545572</v>
      </c>
      <c r="AH91" s="590">
        <f>+AE$28*AG91+AF91</f>
        <v>15444.427093200211</v>
      </c>
      <c r="AI91" s="589">
        <f>+AK90</f>
        <v>6748333.0265151542</v>
      </c>
      <c r="AJ91" s="564">
        <f>+AI$31</f>
        <v>295547.43181818182</v>
      </c>
      <c r="AK91" s="564">
        <f t="shared" si="19"/>
        <v>6452785.5946969725</v>
      </c>
      <c r="AL91" s="590">
        <f>+AI$28*AK91+AJ91</f>
        <v>1038098.6107904522</v>
      </c>
      <c r="AM91" s="589">
        <f>+AO90</f>
        <v>2494505.6028409097</v>
      </c>
      <c r="AN91" s="564">
        <f>+AM$31</f>
        <v>110866.91568181818</v>
      </c>
      <c r="AO91" s="564">
        <f t="shared" si="16"/>
        <v>2383638.6871590917</v>
      </c>
      <c r="AP91" s="590">
        <f>+AM$28*AO91+AN91</f>
        <v>385162.9838556156</v>
      </c>
      <c r="AQ91" s="589">
        <f>+AS90</f>
        <v>20587208.397954542</v>
      </c>
      <c r="AR91" s="564">
        <f>+AQ$31</f>
        <v>904932.23727272719</v>
      </c>
      <c r="AS91" s="564">
        <f t="shared" si="17"/>
        <v>19682276.160681814</v>
      </c>
      <c r="AT91" s="590">
        <f>+AQ$28*AS91+AR91</f>
        <v>3169860.6396642574</v>
      </c>
      <c r="AU91" s="671"/>
      <c r="AV91" s="671"/>
      <c r="AW91" s="671"/>
      <c r="AX91" s="653"/>
      <c r="AY91" s="671"/>
      <c r="AZ91" s="671"/>
      <c r="BA91" s="671"/>
      <c r="BB91" s="653"/>
      <c r="BC91" s="671"/>
      <c r="BD91" s="671"/>
      <c r="BE91" s="671"/>
      <c r="BF91" s="653"/>
      <c r="BG91" s="671"/>
      <c r="BH91" s="671"/>
      <c r="BI91" s="671"/>
      <c r="BJ91" s="653"/>
      <c r="BK91" s="671"/>
      <c r="BL91" s="671"/>
      <c r="BM91" s="671"/>
      <c r="BN91" s="653"/>
      <c r="BO91" s="671"/>
      <c r="BP91" s="671"/>
      <c r="BQ91" s="671"/>
      <c r="BR91" s="653"/>
      <c r="BS91" s="589">
        <f>+BU90</f>
        <v>191150.38636363659</v>
      </c>
      <c r="BT91" s="564">
        <f>+BS$31</f>
        <v>8310.886363636364</v>
      </c>
      <c r="BU91" s="564">
        <f t="shared" si="18"/>
        <v>182839.50000000023</v>
      </c>
      <c r="BV91" s="590">
        <f>+BS$28*BU91+BT91</f>
        <v>29351.053326455833</v>
      </c>
      <c r="BW91" s="589">
        <f>+BY90</f>
        <v>13411558.534090921</v>
      </c>
      <c r="BX91" s="564">
        <f>+BW$31</f>
        <v>576841.22727272729</v>
      </c>
      <c r="BY91" s="564">
        <f t="shared" si="20"/>
        <v>12834717.306818195</v>
      </c>
      <c r="BZ91" s="590">
        <f>+BW$28*BY91+BX91</f>
        <v>2053790.1089752209</v>
      </c>
      <c r="CA91" s="589">
        <f>+CC90</f>
        <v>1265588.6400000015</v>
      </c>
      <c r="CB91" s="564">
        <f>+CA$31</f>
        <v>54433.919999999998</v>
      </c>
      <c r="CC91" s="564">
        <f t="shared" si="21"/>
        <v>1211154.7200000016</v>
      </c>
      <c r="CD91" s="590">
        <f>+CA$28*CC91+CB91</f>
        <v>193806.96316959336</v>
      </c>
      <c r="CE91" s="589">
        <f>+CG90</f>
        <v>109856.92636363651</v>
      </c>
      <c r="CF91" s="564">
        <f>+CE$31</f>
        <v>4725.0290909090909</v>
      </c>
      <c r="CG91" s="564">
        <f t="shared" si="22"/>
        <v>105131.89727272742</v>
      </c>
      <c r="CH91" s="590">
        <f>+CE$28*CG91+CF91</f>
        <v>16823.031282646472</v>
      </c>
      <c r="CI91" s="589">
        <f>+CK90</f>
        <v>299796.136363636</v>
      </c>
      <c r="CJ91" s="564">
        <f>+CI$31</f>
        <v>12362.727272727272</v>
      </c>
      <c r="CK91" s="564">
        <f t="shared" si="24"/>
        <v>287433.40909090871</v>
      </c>
      <c r="CL91" s="590">
        <f>+CI$28*CK91+CJ91</f>
        <v>45438.98769766336</v>
      </c>
      <c r="CM91" s="589">
        <f>+CO90</f>
        <v>13906134.904829551</v>
      </c>
      <c r="CN91" s="564">
        <f>+CM$31</f>
        <v>483691.64886363636</v>
      </c>
      <c r="CO91" s="564">
        <f t="shared" si="34"/>
        <v>13422443.255965915</v>
      </c>
      <c r="CP91" s="590">
        <f>+CM$28*CO91+CN91</f>
        <v>2028272.8096877069</v>
      </c>
      <c r="CQ91" s="589">
        <f>+CS90</f>
        <v>58009908.9741477</v>
      </c>
      <c r="CR91" s="564">
        <f>+CQ$31</f>
        <v>2017735.9643181816</v>
      </c>
      <c r="CS91" s="564">
        <f t="shared" si="40"/>
        <v>55992173.009829521</v>
      </c>
      <c r="CT91" s="590">
        <f>+CQ$28*CS91+CR91</f>
        <v>8461008.1715703644</v>
      </c>
      <c r="CU91" s="589">
        <f>+CW90</f>
        <v>19609665.802500021</v>
      </c>
      <c r="CV91" s="564">
        <f>+CU$31</f>
        <v>676195.37250000006</v>
      </c>
      <c r="CW91" s="564">
        <f t="shared" si="41"/>
        <v>18933470.430000022</v>
      </c>
      <c r="CX91" s="590">
        <f>+CU$28*CW91+CV91</f>
        <v>2854955.3178772586</v>
      </c>
      <c r="CY91" s="589">
        <f>+DA90</f>
        <v>21644.85397727276</v>
      </c>
      <c r="CZ91" s="564">
        <f>+CY$31</f>
        <v>733.72386363636497</v>
      </c>
      <c r="DA91" s="564">
        <f t="shared" si="42"/>
        <v>20911.130113636395</v>
      </c>
      <c r="DB91" s="590">
        <f>+CY$28*DA91+CZ91</f>
        <v>3140.0620398627889</v>
      </c>
      <c r="DC91" s="589">
        <f>+DE90</f>
        <v>1302522.1772727286</v>
      </c>
      <c r="DD91" s="564">
        <f>+DC$31</f>
        <v>44530.672727272722</v>
      </c>
      <c r="DE91" s="564">
        <f t="shared" si="43"/>
        <v>1257991.504545456</v>
      </c>
      <c r="DF91" s="590">
        <f>+DC$28*DE91+DD91</f>
        <v>189293.43620805684</v>
      </c>
      <c r="DG91" s="589">
        <f>+DI90</f>
        <v>726864.49238636298</v>
      </c>
      <c r="DH91" s="564">
        <f>+DG$31</f>
        <v>24639.474318181816</v>
      </c>
      <c r="DI91" s="564">
        <f t="shared" si="44"/>
        <v>702225.01806818112</v>
      </c>
      <c r="DJ91" s="590">
        <f>+DG$28*DI91+DH91</f>
        <v>105447.67837487323</v>
      </c>
      <c r="DK91" s="589">
        <f>+DM90</f>
        <v>16031715.25852273</v>
      </c>
      <c r="DL91" s="564">
        <f>+DK$31</f>
        <v>549658.80886363634</v>
      </c>
      <c r="DM91" s="564">
        <f t="shared" si="45"/>
        <v>15482056.449659094</v>
      </c>
      <c r="DN91" s="590">
        <f>+DK$28*DM91+DL91</f>
        <v>2331248.9610387566</v>
      </c>
      <c r="DO91" s="589">
        <f>+DQ90</f>
        <v>591046.56655302993</v>
      </c>
      <c r="DP91" s="564">
        <f>+DO$31</f>
        <v>19592.703863636354</v>
      </c>
      <c r="DQ91" s="564">
        <f t="shared" si="134"/>
        <v>571453.86268939357</v>
      </c>
      <c r="DR91" s="590">
        <f>+DO$28*DQ91+DP91</f>
        <v>85352.480512188427</v>
      </c>
      <c r="DS91" s="589">
        <f>+DU90</f>
        <v>253020.45818181738</v>
      </c>
      <c r="DT91" s="564">
        <f>+DS$31</f>
        <v>8295.7527272726966</v>
      </c>
      <c r="DU91" s="564">
        <f t="shared" si="61"/>
        <v>244724.70545454469</v>
      </c>
      <c r="DV91" s="590">
        <f>+DS$28*DU91+DT91</f>
        <v>36457.329753519378</v>
      </c>
      <c r="DW91" s="589">
        <f>+DY90</f>
        <v>36958.343124999956</v>
      </c>
      <c r="DX91" s="564">
        <f>+DW$31</f>
        <v>1221.7634090909089</v>
      </c>
      <c r="DY91" s="564">
        <f t="shared" si="62"/>
        <v>35736.579715909043</v>
      </c>
      <c r="DZ91" s="590">
        <f>+DW$28*DY91+DX91</f>
        <v>5334.1330223464292</v>
      </c>
      <c r="EA91" s="589">
        <f>+EC90</f>
        <v>-220135.99085227418</v>
      </c>
      <c r="EB91" s="564">
        <f>+EA$31</f>
        <v>-7120.3015909091364</v>
      </c>
      <c r="EC91" s="564">
        <f t="shared" si="63"/>
        <v>-213015.68926136504</v>
      </c>
      <c r="ED91" s="590">
        <f>+EA$28*EC91+EB91</f>
        <v>-31632.978926819509</v>
      </c>
      <c r="EE91" s="589">
        <f>+EG90</f>
        <v>6227525.0472727241</v>
      </c>
      <c r="EF91" s="564">
        <f>+EE$31</f>
        <v>192108.74181818182</v>
      </c>
      <c r="EG91" s="564">
        <f t="shared" si="72"/>
        <v>6035416.3054545419</v>
      </c>
      <c r="EH91" s="590">
        <f>+EE$28*EG91+EF91</f>
        <v>886631.35184985667</v>
      </c>
      <c r="EI91" s="589">
        <f>+EK90</f>
        <v>251828.51018939383</v>
      </c>
      <c r="EJ91" s="564">
        <f>+EI$31</f>
        <v>7669.903863636363</v>
      </c>
      <c r="EK91" s="564">
        <f t="shared" si="74"/>
        <v>244158.60632575746</v>
      </c>
      <c r="EL91" s="590">
        <f>+EI$28*EK91+EJ91</f>
        <v>35766.337306646434</v>
      </c>
      <c r="EM91" s="589">
        <f>+EO90</f>
        <v>8600048.9250000026</v>
      </c>
      <c r="EN91" s="564">
        <f>+EM$31</f>
        <v>260607.54318181818</v>
      </c>
      <c r="EO91" s="564">
        <f t="shared" si="76"/>
        <v>8339441.3818181846</v>
      </c>
      <c r="EP91" s="590">
        <f>+EM$28*EO91+EN91</f>
        <v>1220264.7236603268</v>
      </c>
      <c r="EQ91" s="678">
        <f t="shared" si="94"/>
        <v>32442123.343628541</v>
      </c>
      <c r="ER91" s="652"/>
      <c r="ES91" s="674">
        <f>+EQ91</f>
        <v>32442123.343628541</v>
      </c>
      <c r="EV91" s="589"/>
      <c r="EW91" s="564"/>
      <c r="EX91" s="564"/>
      <c r="EY91" s="590"/>
      <c r="EZ91" s="589"/>
      <c r="FA91" s="564"/>
      <c r="FB91" s="564"/>
      <c r="FC91" s="590"/>
      <c r="FD91" s="589"/>
      <c r="FE91" s="564"/>
      <c r="FF91" s="564"/>
      <c r="FG91" s="590"/>
      <c r="FH91" s="589"/>
      <c r="FI91" s="564"/>
      <c r="FJ91" s="564"/>
      <c r="FK91" s="590"/>
      <c r="FL91" s="589"/>
      <c r="FM91" s="564"/>
      <c r="FN91" s="564"/>
      <c r="FO91" s="590"/>
      <c r="FP91" s="589"/>
      <c r="FQ91" s="564"/>
      <c r="FR91" s="564"/>
      <c r="FS91" s="590"/>
      <c r="FT91" s="589"/>
      <c r="FU91" s="564"/>
      <c r="FV91" s="564"/>
      <c r="FW91" s="590"/>
      <c r="FX91" s="589"/>
      <c r="FY91" s="564"/>
      <c r="FZ91" s="564"/>
      <c r="GA91" s="590"/>
      <c r="GB91" s="589"/>
      <c r="GC91" s="564"/>
      <c r="GD91" s="564"/>
      <c r="GE91" s="590"/>
      <c r="GF91" s="589"/>
      <c r="GG91" s="564"/>
      <c r="GH91" s="564"/>
      <c r="GI91" s="590"/>
      <c r="GJ91" s="589"/>
      <c r="GK91" s="564"/>
      <c r="GL91" s="564"/>
      <c r="GM91" s="590"/>
      <c r="GN91" s="589"/>
      <c r="GO91" s="564"/>
      <c r="GP91" s="564"/>
      <c r="GQ91" s="590"/>
      <c r="GR91" s="589"/>
      <c r="GS91" s="564"/>
      <c r="GT91" s="564"/>
      <c r="GU91" s="590"/>
      <c r="GV91" s="672"/>
      <c r="GW91" s="676"/>
      <c r="GX91" s="676"/>
      <c r="GY91" s="1366"/>
      <c r="GZ91" s="1367"/>
      <c r="HA91" s="1373"/>
      <c r="HB91" s="1373"/>
      <c r="HC91" s="1366"/>
      <c r="HD91" s="1367"/>
      <c r="HE91" s="1373"/>
      <c r="HF91" s="1373"/>
      <c r="HG91" s="1366"/>
      <c r="HI91" s="589"/>
      <c r="HJ91" s="564"/>
      <c r="HK91" s="564"/>
      <c r="HL91" s="590"/>
      <c r="HM91" s="589"/>
      <c r="HN91" s="564"/>
      <c r="HO91" s="564"/>
      <c r="HP91" s="590"/>
      <c r="HQ91" s="589"/>
      <c r="HR91" s="564"/>
      <c r="HS91" s="564"/>
      <c r="HT91" s="590"/>
    </row>
    <row r="92" spans="1:228">
      <c r="A92" s="649" t="s">
        <v>23</v>
      </c>
      <c r="B92" s="670">
        <v>2032</v>
      </c>
      <c r="C92" s="671">
        <f>+C91</f>
        <v>9250183.6698863581</v>
      </c>
      <c r="D92" s="671">
        <f>+D91</f>
        <v>445791.98409090913</v>
      </c>
      <c r="E92" s="671">
        <f t="shared" si="6"/>
        <v>8804391.6857954487</v>
      </c>
      <c r="F92" s="653">
        <f>+C$29*E92+D92</f>
        <v>1512687.226513623</v>
      </c>
      <c r="G92" s="671">
        <f>+G91</f>
        <v>2374735.3656818159</v>
      </c>
      <c r="H92" s="671">
        <f>+H91</f>
        <v>115840.74954545456</v>
      </c>
      <c r="I92" s="671">
        <f t="shared" si="7"/>
        <v>2258894.6161363614</v>
      </c>
      <c r="J92" s="653">
        <f>+G$29*I92+H92</f>
        <v>389568.22613856691</v>
      </c>
      <c r="K92" s="672">
        <f>+K91</f>
        <v>6032040.282443177</v>
      </c>
      <c r="L92" s="671">
        <f>+L91</f>
        <v>305419.76113636367</v>
      </c>
      <c r="M92" s="671">
        <f t="shared" si="8"/>
        <v>5726620.5213068137</v>
      </c>
      <c r="N92" s="653">
        <f>+K$29*M92+L92</f>
        <v>999358.01461043418</v>
      </c>
      <c r="O92" s="672">
        <f>+O91</f>
        <v>2605072.9469696935</v>
      </c>
      <c r="P92" s="671">
        <f>+P91</f>
        <v>119316.31818181818</v>
      </c>
      <c r="Q92" s="671">
        <f t="shared" si="11"/>
        <v>2485756.6287878752</v>
      </c>
      <c r="R92" s="653">
        <f>+O$29*Q92+P92</f>
        <v>420534.39385570894</v>
      </c>
      <c r="S92" s="589">
        <f>+S91</f>
        <v>1176033.3933333303</v>
      </c>
      <c r="T92" s="564">
        <f>+T91</f>
        <v>58315.705454545445</v>
      </c>
      <c r="U92" s="564">
        <f t="shared" si="12"/>
        <v>1117717.6878787847</v>
      </c>
      <c r="V92" s="590">
        <f>+S$29*U92+T92</f>
        <v>193758.0762765398</v>
      </c>
      <c r="W92" s="589">
        <f>+W91</f>
        <v>15136910.564393945</v>
      </c>
      <c r="X92" s="564">
        <f>+X91</f>
        <v>693293.61363636365</v>
      </c>
      <c r="Y92" s="564">
        <f t="shared" si="13"/>
        <v>14443616.950757582</v>
      </c>
      <c r="Z92" s="590">
        <f>+W$29*Y92+X92</f>
        <v>2443536.7602470201</v>
      </c>
      <c r="AA92" s="589">
        <f>+AA91</f>
        <v>9880763.0587121211</v>
      </c>
      <c r="AB92" s="564">
        <f>+AB91</f>
        <v>450833.29545454547</v>
      </c>
      <c r="AC92" s="564">
        <f t="shared" si="14"/>
        <v>9429929.7632575762</v>
      </c>
      <c r="AD92" s="590">
        <f>+AA$29*AC92+AB92</f>
        <v>1593529.754203802</v>
      </c>
      <c r="AE92" s="589">
        <f>+AE91</f>
        <v>98854.55681818194</v>
      </c>
      <c r="AF92" s="564">
        <f>+AF91</f>
        <v>4597.886363636364</v>
      </c>
      <c r="AG92" s="564">
        <f t="shared" si="15"/>
        <v>94256.670454545572</v>
      </c>
      <c r="AH92" s="590">
        <f>+AE$29*AG92+AF92</f>
        <v>16019.685491087926</v>
      </c>
      <c r="AI92" s="589">
        <f>+AI91</f>
        <v>6748333.0265151542</v>
      </c>
      <c r="AJ92" s="564">
        <f>+AJ91</f>
        <v>295547.43181818182</v>
      </c>
      <c r="AK92" s="564">
        <f t="shared" si="19"/>
        <v>6452785.5946969725</v>
      </c>
      <c r="AL92" s="590">
        <f>+AI$29*AK92+AJ92</f>
        <v>1077480.6416347139</v>
      </c>
      <c r="AM92" s="589">
        <f>+AM91</f>
        <v>2494505.6028409097</v>
      </c>
      <c r="AN92" s="564">
        <f>+AN91</f>
        <v>110866.91568181818</v>
      </c>
      <c r="AO92" s="564">
        <f t="shared" si="16"/>
        <v>2383638.6871590917</v>
      </c>
      <c r="AP92" s="590">
        <f>+AM$29*AO92+AN92</f>
        <v>399710.58208612562</v>
      </c>
      <c r="AQ92" s="589">
        <f>+AQ91</f>
        <v>20587208.397954542</v>
      </c>
      <c r="AR92" s="564">
        <f>+AR91</f>
        <v>904932.23727272719</v>
      </c>
      <c r="AS92" s="564">
        <f t="shared" si="17"/>
        <v>19682276.160681814</v>
      </c>
      <c r="AT92" s="590">
        <f>+AQ$29*AS92+AR92</f>
        <v>3289983.6463053366</v>
      </c>
      <c r="AU92" s="671"/>
      <c r="AV92" s="671"/>
      <c r="AW92" s="671"/>
      <c r="AX92" s="653"/>
      <c r="AY92" s="671"/>
      <c r="AZ92" s="671"/>
      <c r="BA92" s="671"/>
      <c r="BB92" s="653"/>
      <c r="BC92" s="671"/>
      <c r="BD92" s="671"/>
      <c r="BE92" s="671"/>
      <c r="BF92" s="653"/>
      <c r="BG92" s="671"/>
      <c r="BH92" s="671"/>
      <c r="BI92" s="671"/>
      <c r="BJ92" s="653"/>
      <c r="BK92" s="671"/>
      <c r="BL92" s="671"/>
      <c r="BM92" s="671"/>
      <c r="BN92" s="653"/>
      <c r="BO92" s="671"/>
      <c r="BP92" s="671"/>
      <c r="BQ92" s="671"/>
      <c r="BR92" s="653"/>
      <c r="BS92" s="589">
        <f>+BS91</f>
        <v>191150.38636363659</v>
      </c>
      <c r="BT92" s="564">
        <f>+BT91</f>
        <v>8310.886363636364</v>
      </c>
      <c r="BU92" s="564">
        <f t="shared" si="18"/>
        <v>182839.50000000023</v>
      </c>
      <c r="BV92" s="590">
        <f>+BS$29*BU92+BT92</f>
        <v>30466.942072932539</v>
      </c>
      <c r="BW92" s="589">
        <f>+BW91</f>
        <v>13411558.534090921</v>
      </c>
      <c r="BX92" s="564">
        <f>+BX91</f>
        <v>576841.22727272729</v>
      </c>
      <c r="BY92" s="564">
        <f t="shared" si="20"/>
        <v>12834717.306818195</v>
      </c>
      <c r="BZ92" s="590">
        <f>+BW$29*BY92+BX92</f>
        <v>2053790.1089752209</v>
      </c>
      <c r="CA92" s="589">
        <f>+CA91</f>
        <v>1265588.6400000015</v>
      </c>
      <c r="CB92" s="564">
        <f>+CB91</f>
        <v>54433.919999999998</v>
      </c>
      <c r="CC92" s="564">
        <f t="shared" si="21"/>
        <v>1211154.7200000016</v>
      </c>
      <c r="CD92" s="590">
        <f>+CA$29*CC92+CB92</f>
        <v>201198.7681257989</v>
      </c>
      <c r="CE92" s="589">
        <f>+CE91</f>
        <v>109856.92636363651</v>
      </c>
      <c r="CF92" s="564">
        <f>+CF91</f>
        <v>4725.0290909090909</v>
      </c>
      <c r="CG92" s="564">
        <f t="shared" si="22"/>
        <v>105131.89727272742</v>
      </c>
      <c r="CH92" s="590">
        <f>+CE$29*CG92+CF92</f>
        <v>17464.66233645258</v>
      </c>
      <c r="CI92" s="589">
        <f>+CI91</f>
        <v>299796.136363636</v>
      </c>
      <c r="CJ92" s="564">
        <f>+CJ91</f>
        <v>12362.727272727272</v>
      </c>
      <c r="CK92" s="564">
        <f t="shared" si="24"/>
        <v>287433.40909090871</v>
      </c>
      <c r="CL92" s="590">
        <f>+CI$29*CK92+CJ92</f>
        <v>45438.98769766336</v>
      </c>
      <c r="CM92" s="589">
        <f>+CM91</f>
        <v>13906134.904829551</v>
      </c>
      <c r="CN92" s="564">
        <f>+CN91</f>
        <v>483691.64886363636</v>
      </c>
      <c r="CO92" s="564">
        <f t="shared" si="34"/>
        <v>13422443.255965915</v>
      </c>
      <c r="CP92" s="590">
        <f>+CM$29*CO92+CN92</f>
        <v>2028272.8096877069</v>
      </c>
      <c r="CQ92" s="589">
        <f>+CQ91</f>
        <v>58009908.9741477</v>
      </c>
      <c r="CR92" s="564">
        <f>+CR91</f>
        <v>2017735.9643181816</v>
      </c>
      <c r="CS92" s="564">
        <f t="shared" si="40"/>
        <v>55992173.009829521</v>
      </c>
      <c r="CT92" s="590">
        <f>+CQ$29*CS92+CR92</f>
        <v>8461008.1715703644</v>
      </c>
      <c r="CU92" s="589">
        <f>+CU91</f>
        <v>19609665.802500021</v>
      </c>
      <c r="CV92" s="564">
        <f>+CV91</f>
        <v>676195.37250000006</v>
      </c>
      <c r="CW92" s="564">
        <f t="shared" si="41"/>
        <v>18933470.430000022</v>
      </c>
      <c r="CX92" s="590">
        <f>+CU$29*CW92+CV92</f>
        <v>2854955.3178772586</v>
      </c>
      <c r="CY92" s="589">
        <f>+CY91</f>
        <v>21644.85397727276</v>
      </c>
      <c r="CZ92" s="564">
        <f>+CZ91</f>
        <v>733.72386363636497</v>
      </c>
      <c r="DA92" s="564">
        <f t="shared" si="42"/>
        <v>20911.130113636395</v>
      </c>
      <c r="DB92" s="590">
        <f>+CY$29*DA92+CZ92</f>
        <v>3140.0620398627889</v>
      </c>
      <c r="DC92" s="589">
        <f>+DC91</f>
        <v>1302522.1772727286</v>
      </c>
      <c r="DD92" s="564">
        <f>+DD91</f>
        <v>44530.672727272722</v>
      </c>
      <c r="DE92" s="564">
        <f t="shared" si="43"/>
        <v>1257991.504545456</v>
      </c>
      <c r="DF92" s="590">
        <f>+DC$29*DE92+DD92</f>
        <v>189293.43620805684</v>
      </c>
      <c r="DG92" s="589">
        <f>+DG91</f>
        <v>726864.49238636298</v>
      </c>
      <c r="DH92" s="564">
        <f>+DH91</f>
        <v>24639.474318181816</v>
      </c>
      <c r="DI92" s="564">
        <f t="shared" si="44"/>
        <v>702225.01806818112</v>
      </c>
      <c r="DJ92" s="590">
        <f>+DG$29*DI92+DH92</f>
        <v>105447.67837487323</v>
      </c>
      <c r="DK92" s="589">
        <f>+DK91</f>
        <v>16031715.25852273</v>
      </c>
      <c r="DL92" s="564">
        <f>+DL91</f>
        <v>549658.80886363634</v>
      </c>
      <c r="DM92" s="564">
        <f t="shared" si="45"/>
        <v>15482056.449659094</v>
      </c>
      <c r="DN92" s="590">
        <f>+DK$29*DM92+DL92</f>
        <v>2331248.9610387566</v>
      </c>
      <c r="DO92" s="589">
        <f>+DO91</f>
        <v>591046.56655302993</v>
      </c>
      <c r="DP92" s="564">
        <f>+DP91</f>
        <v>19592.703863636354</v>
      </c>
      <c r="DQ92" s="564">
        <f t="shared" si="134"/>
        <v>571453.86268939357</v>
      </c>
      <c r="DR92" s="590">
        <f>+DO$29*DQ92+DP92</f>
        <v>85352.480512188427</v>
      </c>
      <c r="DS92" s="589">
        <f>+DS91</f>
        <v>253020.45818181738</v>
      </c>
      <c r="DT92" s="564">
        <f>+DT91</f>
        <v>8295.7527272726966</v>
      </c>
      <c r="DU92" s="564">
        <f t="shared" si="61"/>
        <v>244724.70545454469</v>
      </c>
      <c r="DV92" s="590">
        <f>+DS$29*DU92+DT92</f>
        <v>36457.329753519378</v>
      </c>
      <c r="DW92" s="589">
        <f>+DW91</f>
        <v>36958.343124999956</v>
      </c>
      <c r="DX92" s="564">
        <f>+DX91</f>
        <v>1221.7634090909089</v>
      </c>
      <c r="DY92" s="564">
        <f t="shared" si="62"/>
        <v>35736.579715909043</v>
      </c>
      <c r="DZ92" s="590">
        <f>+DW$29*DY92+DX92</f>
        <v>5334.1330223464292</v>
      </c>
      <c r="EA92" s="589">
        <f>+EA91</f>
        <v>-220135.99085227418</v>
      </c>
      <c r="EB92" s="564">
        <f>+EB91</f>
        <v>-7120.3015909091364</v>
      </c>
      <c r="EC92" s="564">
        <f t="shared" si="63"/>
        <v>-213015.68926136504</v>
      </c>
      <c r="ED92" s="590">
        <f>+EA$29*EC92+EB92</f>
        <v>-31632.978926819509</v>
      </c>
      <c r="EE92" s="589">
        <f>+EE91</f>
        <v>6227525.0472727241</v>
      </c>
      <c r="EF92" s="564">
        <f>+EF91</f>
        <v>192108.74181818182</v>
      </c>
      <c r="EG92" s="564">
        <f t="shared" si="72"/>
        <v>6035416.3054545419</v>
      </c>
      <c r="EH92" s="590">
        <f>+EE$29*EG92+EF92</f>
        <v>886631.35184985667</v>
      </c>
      <c r="EI92" s="589">
        <f>+EI91</f>
        <v>251828.51018939383</v>
      </c>
      <c r="EJ92" s="564">
        <f>+EJ91</f>
        <v>7669.903863636363</v>
      </c>
      <c r="EK92" s="564">
        <f t="shared" si="74"/>
        <v>244158.60632575746</v>
      </c>
      <c r="EL92" s="590">
        <f>+EI$29*EK92+EJ92</f>
        <v>35766.337306646434</v>
      </c>
      <c r="EM92" s="589">
        <f>+EM91</f>
        <v>8600048.9250000026</v>
      </c>
      <c r="EN92" s="564">
        <f>+EN91</f>
        <v>260607.54318181818</v>
      </c>
      <c r="EO92" s="564">
        <f t="shared" si="76"/>
        <v>8339441.3818181846</v>
      </c>
      <c r="EP92" s="590">
        <f>+EM$29*EO92+EN92</f>
        <v>1220264.7236603268</v>
      </c>
      <c r="EQ92" s="678">
        <f t="shared" si="94"/>
        <v>32896066.290545966</v>
      </c>
      <c r="ER92" s="675">
        <f>+EQ92</f>
        <v>32896066.290545966</v>
      </c>
      <c r="ES92" s="648"/>
      <c r="EV92" s="589"/>
      <c r="EW92" s="564"/>
      <c r="EX92" s="564"/>
      <c r="EY92" s="590"/>
      <c r="EZ92" s="589"/>
      <c r="FA92" s="564"/>
      <c r="FB92" s="564"/>
      <c r="FC92" s="590"/>
      <c r="FD92" s="589"/>
      <c r="FE92" s="564"/>
      <c r="FF92" s="564"/>
      <c r="FG92" s="590"/>
      <c r="FH92" s="589"/>
      <c r="FI92" s="564"/>
      <c r="FJ92" s="564"/>
      <c r="FK92" s="590"/>
      <c r="FL92" s="589"/>
      <c r="FM92" s="564"/>
      <c r="FN92" s="564"/>
      <c r="FO92" s="590"/>
      <c r="FP92" s="589"/>
      <c r="FQ92" s="564"/>
      <c r="FR92" s="564"/>
      <c r="FS92" s="590"/>
      <c r="FT92" s="589"/>
      <c r="FU92" s="564"/>
      <c r="FV92" s="564"/>
      <c r="FW92" s="590"/>
      <c r="FX92" s="589"/>
      <c r="FY92" s="564"/>
      <c r="FZ92" s="564"/>
      <c r="GA92" s="590"/>
      <c r="GB92" s="589"/>
      <c r="GC92" s="564"/>
      <c r="GD92" s="564"/>
      <c r="GE92" s="590"/>
      <c r="GF92" s="589"/>
      <c r="GG92" s="564"/>
      <c r="GH92" s="564"/>
      <c r="GI92" s="590"/>
      <c r="GJ92" s="589"/>
      <c r="GK92" s="564"/>
      <c r="GL92" s="564"/>
      <c r="GM92" s="590"/>
      <c r="GN92" s="589"/>
      <c r="GO92" s="564"/>
      <c r="GP92" s="564"/>
      <c r="GQ92" s="590"/>
      <c r="GR92" s="589"/>
      <c r="GS92" s="564"/>
      <c r="GT92" s="564"/>
      <c r="GU92" s="590"/>
      <c r="GV92" s="672"/>
      <c r="GW92" s="676"/>
      <c r="GX92" s="676"/>
      <c r="GY92" s="1366"/>
      <c r="GZ92" s="1367"/>
      <c r="HA92" s="1373"/>
      <c r="HB92" s="1373"/>
      <c r="HC92" s="1366"/>
      <c r="HD92" s="1367"/>
      <c r="HE92" s="1373"/>
      <c r="HF92" s="1373"/>
      <c r="HG92" s="1366"/>
      <c r="HI92" s="589"/>
      <c r="HJ92" s="564"/>
      <c r="HK92" s="564"/>
      <c r="HL92" s="590"/>
      <c r="HM92" s="589"/>
      <c r="HN92" s="564"/>
      <c r="HO92" s="564"/>
      <c r="HP92" s="590"/>
      <c r="HQ92" s="589"/>
      <c r="HR92" s="564"/>
      <c r="HS92" s="564"/>
      <c r="HT92" s="590"/>
    </row>
    <row r="93" spans="1:228">
      <c r="A93" s="649" t="s">
        <v>24</v>
      </c>
      <c r="B93" s="670">
        <v>2033</v>
      </c>
      <c r="C93" s="671">
        <f>+E92</f>
        <v>8804391.6857954487</v>
      </c>
      <c r="D93" s="671">
        <f>+C$31</f>
        <v>445791.98409090913</v>
      </c>
      <c r="E93" s="671">
        <f t="shared" si="6"/>
        <v>8358599.7017045394</v>
      </c>
      <c r="F93" s="653">
        <f>+C$28*E93+D93</f>
        <v>1407653.7989571514</v>
      </c>
      <c r="G93" s="671">
        <f>+I92</f>
        <v>2258894.6161363614</v>
      </c>
      <c r="H93" s="671">
        <f>+G$31</f>
        <v>115840.74954545456</v>
      </c>
      <c r="I93" s="671">
        <f t="shared" si="7"/>
        <v>2143053.8665909069</v>
      </c>
      <c r="J93" s="653">
        <f>+G$28*I93+H93</f>
        <v>362451.63594247738</v>
      </c>
      <c r="K93" s="672">
        <f>+M92</f>
        <v>5726620.5213068137</v>
      </c>
      <c r="L93" s="671">
        <f>+K$31</f>
        <v>305419.76113636367</v>
      </c>
      <c r="M93" s="671">
        <f t="shared" si="8"/>
        <v>5421200.7601704504</v>
      </c>
      <c r="N93" s="653">
        <f>+K$28*M93+L93</f>
        <v>929261.81459281011</v>
      </c>
      <c r="O93" s="672">
        <f>+Q92</f>
        <v>2485756.6287878752</v>
      </c>
      <c r="P93" s="671">
        <f>+O$31</f>
        <v>119316.31818181818</v>
      </c>
      <c r="Q93" s="671">
        <f t="shared" si="11"/>
        <v>2366440.3106060568</v>
      </c>
      <c r="R93" s="653">
        <f>+O$28*Q93+P93</f>
        <v>391633.29149829375</v>
      </c>
      <c r="S93" s="589">
        <f>+U92</f>
        <v>1117717.6878787847</v>
      </c>
      <c r="T93" s="564">
        <f>+S$31</f>
        <v>58315.705454545445</v>
      </c>
      <c r="U93" s="564">
        <f t="shared" si="12"/>
        <v>1059401.9824242392</v>
      </c>
      <c r="V93" s="590">
        <f>+S$28*U93+T93</f>
        <v>180225.87580038374</v>
      </c>
      <c r="W93" s="589">
        <f>+Y92</f>
        <v>14443616.950757582</v>
      </c>
      <c r="X93" s="564">
        <f>+W$31</f>
        <v>693293.61363636365</v>
      </c>
      <c r="Y93" s="564">
        <f t="shared" si="13"/>
        <v>13750323.337121218</v>
      </c>
      <c r="Z93" s="590">
        <f>+W$28*Y93+X93</f>
        <v>2275605.4160958049</v>
      </c>
      <c r="AA93" s="589">
        <f>+AC92</f>
        <v>9429929.7632575762</v>
      </c>
      <c r="AB93" s="564">
        <f>+AA$31</f>
        <v>450833.29545454547</v>
      </c>
      <c r="AC93" s="564">
        <f t="shared" si="14"/>
        <v>8979096.4678030312</v>
      </c>
      <c r="AD93" s="590">
        <f>+AA$28*AC93+AB93</f>
        <v>1484098.475340938</v>
      </c>
      <c r="AE93" s="589">
        <f>+AG92</f>
        <v>94256.670454545572</v>
      </c>
      <c r="AF93" s="564">
        <f>+AE$31</f>
        <v>4597.886363636364</v>
      </c>
      <c r="AG93" s="564">
        <f t="shared" si="15"/>
        <v>89658.784090909205</v>
      </c>
      <c r="AH93" s="590">
        <f>+AE$28*AG93+AF93</f>
        <v>14915.327545416609</v>
      </c>
      <c r="AI93" s="589">
        <f>+AK92</f>
        <v>6452785.5946969725</v>
      </c>
      <c r="AJ93" s="564">
        <f>+AI$31</f>
        <v>295547.43181818182</v>
      </c>
      <c r="AK93" s="564">
        <f t="shared" si="19"/>
        <v>6157238.1628787909</v>
      </c>
      <c r="AL93" s="590">
        <f>+AI$28*AK93+AJ93</f>
        <v>1004088.6331276002</v>
      </c>
      <c r="AM93" s="589">
        <f>+AO92</f>
        <v>2383638.6871590917</v>
      </c>
      <c r="AN93" s="564">
        <f>+AM$31</f>
        <v>110866.91568181818</v>
      </c>
      <c r="AO93" s="564">
        <f t="shared" si="16"/>
        <v>2272771.7714772737</v>
      </c>
      <c r="AP93" s="590">
        <f>+AM$28*AO93+AN93</f>
        <v>372405.02719636919</v>
      </c>
      <c r="AQ93" s="589">
        <f>+AS92</f>
        <v>19682276.160681814</v>
      </c>
      <c r="AR93" s="564">
        <f>+AQ$31</f>
        <v>904932.23727272719</v>
      </c>
      <c r="AS93" s="564">
        <f t="shared" si="17"/>
        <v>18777343.923409086</v>
      </c>
      <c r="AT93" s="590">
        <f>+AQ$28*AS93+AR93</f>
        <v>3065726.000473842</v>
      </c>
      <c r="AU93" s="671"/>
      <c r="AV93" s="671"/>
      <c r="AW93" s="671"/>
      <c r="AX93" s="653"/>
      <c r="AY93" s="671"/>
      <c r="AZ93" s="671"/>
      <c r="BA93" s="671"/>
      <c r="BB93" s="653"/>
      <c r="BC93" s="671"/>
      <c r="BD93" s="671"/>
      <c r="BE93" s="671"/>
      <c r="BF93" s="653"/>
      <c r="BG93" s="671"/>
      <c r="BH93" s="671"/>
      <c r="BI93" s="671"/>
      <c r="BJ93" s="653"/>
      <c r="BK93" s="671"/>
      <c r="BL93" s="671"/>
      <c r="BM93" s="671"/>
      <c r="BN93" s="653"/>
      <c r="BO93" s="671"/>
      <c r="BP93" s="671"/>
      <c r="BQ93" s="671"/>
      <c r="BR93" s="653"/>
      <c r="BS93" s="589">
        <f>+BU92</f>
        <v>182839.50000000023</v>
      </c>
      <c r="BT93" s="564">
        <f>+BS$31</f>
        <v>8310.886363636364</v>
      </c>
      <c r="BU93" s="564">
        <f t="shared" si="18"/>
        <v>174528.61363636388</v>
      </c>
      <c r="BV93" s="590">
        <f>+BS$28*BU93+BT93</f>
        <v>28394.682100873131</v>
      </c>
      <c r="BW93" s="589">
        <f>+BY92</f>
        <v>12834717.306818195</v>
      </c>
      <c r="BX93" s="564">
        <f>+BW$31</f>
        <v>576841.22727272729</v>
      </c>
      <c r="BY93" s="564">
        <f t="shared" si="20"/>
        <v>12257876.079545468</v>
      </c>
      <c r="BZ93" s="590">
        <f>+BW$28*BY93+BX93</f>
        <v>1987410.3839548843</v>
      </c>
      <c r="CA93" s="589">
        <f>+CC92</f>
        <v>1211154.7200000016</v>
      </c>
      <c r="CB93" s="564">
        <f>+CA$31</f>
        <v>54433.919999999998</v>
      </c>
      <c r="CC93" s="564">
        <f t="shared" si="21"/>
        <v>1156720.8000000017</v>
      </c>
      <c r="CD93" s="590">
        <f>+CA$28*CC93+CB93</f>
        <v>187543.00617320713</v>
      </c>
      <c r="CE93" s="589">
        <f>+CG92</f>
        <v>105131.89727272742</v>
      </c>
      <c r="CF93" s="564">
        <f>+CE$31</f>
        <v>4725.0290909090909</v>
      </c>
      <c r="CG93" s="564">
        <f t="shared" si="22"/>
        <v>100406.86818181834</v>
      </c>
      <c r="CH93" s="590">
        <f>+CE$28*CG93+CF93</f>
        <v>16279.30084706277</v>
      </c>
      <c r="CI93" s="589">
        <f>+CK92</f>
        <v>287433.40909090871</v>
      </c>
      <c r="CJ93" s="564">
        <f>+CI$31</f>
        <v>12362.727272727272</v>
      </c>
      <c r="CK93" s="564">
        <f t="shared" si="24"/>
        <v>275070.68181818142</v>
      </c>
      <c r="CL93" s="590">
        <f>+CI$28*CK93+CJ93</f>
        <v>44016.35284067686</v>
      </c>
      <c r="CM93" s="589">
        <f>+CO92</f>
        <v>13422443.255965915</v>
      </c>
      <c r="CN93" s="564">
        <f>+CM$31</f>
        <v>483691.64886363636</v>
      </c>
      <c r="CO93" s="564">
        <f t="shared" si="34"/>
        <v>12938751.607102279</v>
      </c>
      <c r="CP93" s="590">
        <f>+CM$28*CO93+CN93</f>
        <v>1972612.2273156685</v>
      </c>
      <c r="CQ93" s="589">
        <f>+CS92</f>
        <v>55992173.009829521</v>
      </c>
      <c r="CR93" s="564">
        <f>+CQ$31</f>
        <v>2017735.9643181816</v>
      </c>
      <c r="CS93" s="564">
        <f t="shared" si="40"/>
        <v>53974437.045511343</v>
      </c>
      <c r="CT93" s="590">
        <f>+CQ$28*CS93+CR93</f>
        <v>8228818.1821198352</v>
      </c>
      <c r="CU93" s="589">
        <f>+CW92</f>
        <v>18933470.430000022</v>
      </c>
      <c r="CV93" s="564">
        <f>+CU$31</f>
        <v>676195.37250000006</v>
      </c>
      <c r="CW93" s="564">
        <f t="shared" si="41"/>
        <v>18257275.057500023</v>
      </c>
      <c r="CX93" s="590">
        <f>+CU$28*CW93+CV93</f>
        <v>2777142.4626852139</v>
      </c>
      <c r="CY93" s="589">
        <f>+DA92</f>
        <v>20911.130113636395</v>
      </c>
      <c r="CZ93" s="564">
        <f>+CY$31</f>
        <v>733.72386363636497</v>
      </c>
      <c r="DA93" s="564">
        <f t="shared" si="42"/>
        <v>20177.406250000029</v>
      </c>
      <c r="DB93" s="590">
        <f>+CY$28*DA93+CZ93</f>
        <v>3055.6291213987033</v>
      </c>
      <c r="DC93" s="589">
        <f>+DE92</f>
        <v>1257991.504545456</v>
      </c>
      <c r="DD93" s="564">
        <f>+DC$31</f>
        <v>44530.672727272722</v>
      </c>
      <c r="DE93" s="564">
        <f t="shared" si="43"/>
        <v>1213460.8318181834</v>
      </c>
      <c r="DF93" s="590">
        <f>+DC$28*DE93+DD93</f>
        <v>184169.09059811759</v>
      </c>
      <c r="DG93" s="589">
        <f>+DI92</f>
        <v>702225.01806818112</v>
      </c>
      <c r="DH93" s="564">
        <f>+DG$31</f>
        <v>24639.474318181816</v>
      </c>
      <c r="DI93" s="564">
        <f t="shared" si="44"/>
        <v>677585.54374999925</v>
      </c>
      <c r="DJ93" s="590">
        <f>+DG$28*DI93+DH93</f>
        <v>102612.30279393667</v>
      </c>
      <c r="DK93" s="589">
        <f>+DM92</f>
        <v>15482056.449659094</v>
      </c>
      <c r="DL93" s="564">
        <f>+DK$31</f>
        <v>549658.80886363634</v>
      </c>
      <c r="DM93" s="564">
        <f t="shared" si="45"/>
        <v>14932397.640795458</v>
      </c>
      <c r="DN93" s="590">
        <f>+DK$28*DM93+DL93</f>
        <v>2267997.2396597583</v>
      </c>
      <c r="DO93" s="589">
        <f>+DQ92</f>
        <v>571453.86268939357</v>
      </c>
      <c r="DP93" s="564">
        <f>+DO$31</f>
        <v>19592.703863636354</v>
      </c>
      <c r="DQ93" s="564">
        <f t="shared" si="134"/>
        <v>551861.15882575721</v>
      </c>
      <c r="DR93" s="590">
        <f>+DO$28*DQ93+DP93</f>
        <v>83097.859598523777</v>
      </c>
      <c r="DS93" s="589">
        <f>+DU92</f>
        <v>244724.70545454469</v>
      </c>
      <c r="DT93" s="564">
        <f>+DS$31</f>
        <v>8295.7527272726966</v>
      </c>
      <c r="DU93" s="564">
        <f t="shared" si="61"/>
        <v>236428.952727272</v>
      </c>
      <c r="DV93" s="590">
        <f>+DS$28*DU93+DT93</f>
        <v>35502.700023816098</v>
      </c>
      <c r="DW93" s="589">
        <f>+DY92</f>
        <v>35736.579715909043</v>
      </c>
      <c r="DX93" s="564">
        <f>+DW$31</f>
        <v>1221.7634090909089</v>
      </c>
      <c r="DY93" s="564">
        <f t="shared" si="62"/>
        <v>34514.816306818131</v>
      </c>
      <c r="DZ93" s="590">
        <f>+DW$28*DY93+DX93</f>
        <v>5193.5391894146169</v>
      </c>
      <c r="EA93" s="589">
        <f>+EC92</f>
        <v>-213015.68926136504</v>
      </c>
      <c r="EB93" s="564">
        <f>+EA$31</f>
        <v>-7120.3015909091364</v>
      </c>
      <c r="EC93" s="564">
        <f t="shared" si="63"/>
        <v>-205895.38767045591</v>
      </c>
      <c r="ED93" s="590">
        <f>+EA$28*EC93+EB93</f>
        <v>-30813.613667680445</v>
      </c>
      <c r="EE93" s="589">
        <f>+EG92</f>
        <v>6035416.3054545419</v>
      </c>
      <c r="EF93" s="564">
        <f>+EE$31</f>
        <v>192108.74181818182</v>
      </c>
      <c r="EG93" s="564">
        <f t="shared" si="72"/>
        <v>5843307.5636363598</v>
      </c>
      <c r="EH93" s="590">
        <f>+EE$28*EG93+EF93</f>
        <v>864524.53137139487</v>
      </c>
      <c r="EI93" s="589">
        <f>+EK92</f>
        <v>244158.60632575746</v>
      </c>
      <c r="EJ93" s="564">
        <f>+EI$31</f>
        <v>7669.903863636363</v>
      </c>
      <c r="EK93" s="564">
        <f t="shared" si="74"/>
        <v>236488.70246212109</v>
      </c>
      <c r="EL93" s="590">
        <f>+EI$28*EK93+EJ93</f>
        <v>34883.726831996901</v>
      </c>
      <c r="EM93" s="589">
        <f>+EO92</f>
        <v>8339441.3818181846</v>
      </c>
      <c r="EN93" s="564">
        <f>+EM$31</f>
        <v>260607.54318181818</v>
      </c>
      <c r="EO93" s="564">
        <f t="shared" si="76"/>
        <v>8078833.8386363667</v>
      </c>
      <c r="EP93" s="590">
        <f>+EM$28*EO93+EN93</f>
        <v>1190275.4367703733</v>
      </c>
      <c r="EQ93" s="678">
        <f t="shared" si="94"/>
        <v>31470780.336899556</v>
      </c>
      <c r="ER93" s="652"/>
      <c r="ES93" s="674">
        <f>+EQ93</f>
        <v>31470780.336899556</v>
      </c>
      <c r="EV93" s="589"/>
      <c r="EW93" s="564"/>
      <c r="EX93" s="564"/>
      <c r="EY93" s="590"/>
      <c r="EZ93" s="589"/>
      <c r="FA93" s="564"/>
      <c r="FB93" s="564"/>
      <c r="FC93" s="590"/>
      <c r="FD93" s="589"/>
      <c r="FE93" s="564"/>
      <c r="FF93" s="564"/>
      <c r="FG93" s="590"/>
      <c r="FH93" s="589"/>
      <c r="FI93" s="564"/>
      <c r="FJ93" s="564"/>
      <c r="FK93" s="590"/>
      <c r="FL93" s="589"/>
      <c r="FM93" s="564"/>
      <c r="FN93" s="564"/>
      <c r="FO93" s="590"/>
      <c r="FP93" s="589"/>
      <c r="FQ93" s="564"/>
      <c r="FR93" s="564"/>
      <c r="FS93" s="590"/>
      <c r="FT93" s="589"/>
      <c r="FU93" s="564"/>
      <c r="FV93" s="564"/>
      <c r="FW93" s="590"/>
      <c r="FX93" s="589"/>
      <c r="FY93" s="564"/>
      <c r="FZ93" s="564"/>
      <c r="GA93" s="590"/>
      <c r="GB93" s="589"/>
      <c r="GC93" s="564"/>
      <c r="GD93" s="564"/>
      <c r="GE93" s="590"/>
      <c r="GF93" s="589"/>
      <c r="GG93" s="564"/>
      <c r="GH93" s="564"/>
      <c r="GI93" s="590"/>
      <c r="GJ93" s="589"/>
      <c r="GK93" s="564"/>
      <c r="GL93" s="564"/>
      <c r="GM93" s="590"/>
      <c r="GN93" s="589"/>
      <c r="GO93" s="564"/>
      <c r="GP93" s="564"/>
      <c r="GQ93" s="590"/>
      <c r="GR93" s="589"/>
      <c r="GS93" s="564"/>
      <c r="GT93" s="564"/>
      <c r="GU93" s="590"/>
      <c r="GV93" s="672"/>
      <c r="GW93" s="676"/>
      <c r="GX93" s="676"/>
      <c r="GY93" s="1366"/>
      <c r="GZ93" s="1367"/>
      <c r="HA93" s="1373"/>
      <c r="HB93" s="1373"/>
      <c r="HC93" s="1366"/>
      <c r="HD93" s="1367"/>
      <c r="HE93" s="1373"/>
      <c r="HF93" s="1373"/>
      <c r="HG93" s="1366"/>
      <c r="HI93" s="589"/>
      <c r="HJ93" s="564"/>
      <c r="HK93" s="564"/>
      <c r="HL93" s="590"/>
      <c r="HM93" s="589"/>
      <c r="HN93" s="564"/>
      <c r="HO93" s="564"/>
      <c r="HP93" s="590"/>
      <c r="HQ93" s="589"/>
      <c r="HR93" s="564"/>
      <c r="HS93" s="564"/>
      <c r="HT93" s="590"/>
    </row>
    <row r="94" spans="1:228">
      <c r="A94" s="649" t="s">
        <v>23</v>
      </c>
      <c r="B94" s="670">
        <v>2033</v>
      </c>
      <c r="C94" s="671">
        <f>+C93</f>
        <v>8804391.6857954487</v>
      </c>
      <c r="D94" s="671">
        <f>+D93</f>
        <v>445791.98409090913</v>
      </c>
      <c r="E94" s="671">
        <f t="shared" si="6"/>
        <v>8358599.7017045394</v>
      </c>
      <c r="F94" s="653">
        <f>+C$29*E94+D94</f>
        <v>1458667.2142390553</v>
      </c>
      <c r="G94" s="671">
        <f>+G93</f>
        <v>2258894.6161363614</v>
      </c>
      <c r="H94" s="671">
        <f>+H93</f>
        <v>115840.74954545456</v>
      </c>
      <c r="I94" s="671">
        <f t="shared" si="7"/>
        <v>2143053.8665909069</v>
      </c>
      <c r="J94" s="653">
        <f>+G$29*I94+H94</f>
        <v>375530.91964661237</v>
      </c>
      <c r="K94" s="672">
        <f>+K93</f>
        <v>5726620.5213068137</v>
      </c>
      <c r="L94" s="671">
        <f>+L93</f>
        <v>305419.76113636367</v>
      </c>
      <c r="M94" s="671">
        <f t="shared" si="8"/>
        <v>5421200.7601704504</v>
      </c>
      <c r="N94" s="653">
        <f>+K$29*M94+L94</f>
        <v>962347.97442515055</v>
      </c>
      <c r="O94" s="672">
        <f>+O93</f>
        <v>2485756.6287878752</v>
      </c>
      <c r="P94" s="671">
        <f>+P93</f>
        <v>119316.31818181818</v>
      </c>
      <c r="Q94" s="671">
        <f t="shared" si="11"/>
        <v>2366440.3106060568</v>
      </c>
      <c r="R94" s="653">
        <f>+O$29*Q94+P94</f>
        <v>406075.92622336216</v>
      </c>
      <c r="S94" s="589">
        <f>+S93</f>
        <v>1117717.6878787847</v>
      </c>
      <c r="T94" s="564">
        <f>+T93</f>
        <v>58315.705454545445</v>
      </c>
      <c r="U94" s="564">
        <f t="shared" si="12"/>
        <v>1059401.9824242392</v>
      </c>
      <c r="V94" s="590">
        <f>+S$29*U94+T94</f>
        <v>186691.51779887051</v>
      </c>
      <c r="W94" s="589">
        <f>+W93</f>
        <v>14443616.950757582</v>
      </c>
      <c r="X94" s="564">
        <f>+X93</f>
        <v>693293.61363636365</v>
      </c>
      <c r="Y94" s="564">
        <f t="shared" si="13"/>
        <v>13750323.337121218</v>
      </c>
      <c r="Z94" s="590">
        <f>+W$29*Y94+X94</f>
        <v>2359525.0892097089</v>
      </c>
      <c r="AA94" s="589">
        <f>+AA93</f>
        <v>9429929.7632575762</v>
      </c>
      <c r="AB94" s="564">
        <f>+AB93</f>
        <v>450833.29545454547</v>
      </c>
      <c r="AC94" s="564">
        <f t="shared" si="14"/>
        <v>8979096.4678030312</v>
      </c>
      <c r="AD94" s="590">
        <f>+AA$29*AC94+AB94</f>
        <v>1538898.8478094153</v>
      </c>
      <c r="AE94" s="589">
        <f>+AE93</f>
        <v>94256.670454545572</v>
      </c>
      <c r="AF94" s="564">
        <f>+AF93</f>
        <v>4597.886363636364</v>
      </c>
      <c r="AG94" s="564">
        <f t="shared" si="15"/>
        <v>89658.784090909205</v>
      </c>
      <c r="AH94" s="590">
        <f>+AE$29*AG94+AF94</f>
        <v>15462.524558041508</v>
      </c>
      <c r="AI94" s="589">
        <f>+AI93</f>
        <v>6452785.5946969725</v>
      </c>
      <c r="AJ94" s="564">
        <f>+AJ93</f>
        <v>295547.43181818182</v>
      </c>
      <c r="AK94" s="564">
        <f t="shared" si="19"/>
        <v>6157238.1628787909</v>
      </c>
      <c r="AL94" s="590">
        <f>+AI$29*AK94+AJ94</f>
        <v>1041666.9068339567</v>
      </c>
      <c r="AM94" s="589">
        <f>+AM93</f>
        <v>2383638.6871590917</v>
      </c>
      <c r="AN94" s="564">
        <f>+AN93</f>
        <v>110866.91568181818</v>
      </c>
      <c r="AO94" s="564">
        <f t="shared" si="16"/>
        <v>2272771.7714772737</v>
      </c>
      <c r="AP94" s="590">
        <f>+AM$29*AO94+AN94</f>
        <v>386275.99295104155</v>
      </c>
      <c r="AQ94" s="589">
        <f>+AQ93</f>
        <v>19682276.160681814</v>
      </c>
      <c r="AR94" s="564">
        <f>+AR93</f>
        <v>904932.23727272719</v>
      </c>
      <c r="AS94" s="564">
        <f t="shared" si="17"/>
        <v>18777343.923409086</v>
      </c>
      <c r="AT94" s="590">
        <f>+AQ$29*AS94+AR94</f>
        <v>3180326.1102578603</v>
      </c>
      <c r="AU94" s="671"/>
      <c r="AV94" s="671"/>
      <c r="AW94" s="671"/>
      <c r="AX94" s="653"/>
      <c r="AY94" s="671"/>
      <c r="AZ94" s="671"/>
      <c r="BA94" s="671"/>
      <c r="BB94" s="653"/>
      <c r="BC94" s="671"/>
      <c r="BD94" s="671"/>
      <c r="BE94" s="671"/>
      <c r="BF94" s="653"/>
      <c r="BG94" s="671"/>
      <c r="BH94" s="671"/>
      <c r="BI94" s="671"/>
      <c r="BJ94" s="653"/>
      <c r="BK94" s="671"/>
      <c r="BL94" s="671"/>
      <c r="BM94" s="671"/>
      <c r="BN94" s="653"/>
      <c r="BO94" s="671"/>
      <c r="BP94" s="671"/>
      <c r="BQ94" s="671"/>
      <c r="BR94" s="653"/>
      <c r="BS94" s="589">
        <f>+BS93</f>
        <v>182839.50000000023</v>
      </c>
      <c r="BT94" s="564">
        <f>+BT93</f>
        <v>8310.886363636364</v>
      </c>
      <c r="BU94" s="564">
        <f t="shared" si="18"/>
        <v>174528.61363636388</v>
      </c>
      <c r="BV94" s="590">
        <f>+BS$29*BU94+BT94</f>
        <v>29459.8486316009</v>
      </c>
      <c r="BW94" s="589">
        <f>+BW93</f>
        <v>12834717.306818195</v>
      </c>
      <c r="BX94" s="564">
        <f>+BX93</f>
        <v>576841.22727272729</v>
      </c>
      <c r="BY94" s="564">
        <f t="shared" si="20"/>
        <v>12257876.079545468</v>
      </c>
      <c r="BZ94" s="590">
        <f>+BW$29*BY94+BX94</f>
        <v>1987410.3839548843</v>
      </c>
      <c r="CA94" s="589">
        <f>+CA93</f>
        <v>1211154.7200000016</v>
      </c>
      <c r="CB94" s="564">
        <f>+CB93</f>
        <v>54433.919999999998</v>
      </c>
      <c r="CC94" s="564">
        <f t="shared" si="21"/>
        <v>1156720.8000000017</v>
      </c>
      <c r="CD94" s="590">
        <f>+CA$29*CC94+CB94</f>
        <v>194602.59517632483</v>
      </c>
      <c r="CE94" s="589">
        <f>+CE93</f>
        <v>105131.89727272742</v>
      </c>
      <c r="CF94" s="564">
        <f>+CF93</f>
        <v>4725.0290909090909</v>
      </c>
      <c r="CG94" s="564">
        <f t="shared" si="22"/>
        <v>100406.86818181834</v>
      </c>
      <c r="CH94" s="590">
        <f>+CE$29*CG94+CF94</f>
        <v>16892.094550136018</v>
      </c>
      <c r="CI94" s="589">
        <f>+CI93</f>
        <v>287433.40909090871</v>
      </c>
      <c r="CJ94" s="564">
        <f>+CJ93</f>
        <v>12362.727272727272</v>
      </c>
      <c r="CK94" s="564">
        <f t="shared" si="24"/>
        <v>275070.68181818142</v>
      </c>
      <c r="CL94" s="590">
        <f>+CI$29*CK94+CJ94</f>
        <v>44016.35284067686</v>
      </c>
      <c r="CM94" s="589">
        <f>+CM93</f>
        <v>13422443.255965915</v>
      </c>
      <c r="CN94" s="564">
        <f>+CN93</f>
        <v>483691.64886363636</v>
      </c>
      <c r="CO94" s="564">
        <f t="shared" si="34"/>
        <v>12938751.607102279</v>
      </c>
      <c r="CP94" s="590">
        <f>+CM$29*CO94+CN94</f>
        <v>1972612.2273156685</v>
      </c>
      <c r="CQ94" s="589">
        <f>+CQ93</f>
        <v>55992173.009829521</v>
      </c>
      <c r="CR94" s="564">
        <f>+CR93</f>
        <v>2017735.9643181816</v>
      </c>
      <c r="CS94" s="564">
        <f t="shared" si="40"/>
        <v>53974437.045511343</v>
      </c>
      <c r="CT94" s="590">
        <f>+CQ$29*CS94+CR94</f>
        <v>8228818.1821198352</v>
      </c>
      <c r="CU94" s="589">
        <f>+CU93</f>
        <v>18933470.430000022</v>
      </c>
      <c r="CV94" s="564">
        <f>+CV93</f>
        <v>676195.37250000006</v>
      </c>
      <c r="CW94" s="564">
        <f t="shared" si="41"/>
        <v>18257275.057500023</v>
      </c>
      <c r="CX94" s="590">
        <f>+CU$29*CW94+CV94</f>
        <v>2777142.4626852139</v>
      </c>
      <c r="CY94" s="589">
        <f>+CY93</f>
        <v>20911.130113636395</v>
      </c>
      <c r="CZ94" s="564">
        <f>+CZ93</f>
        <v>733.72386363636497</v>
      </c>
      <c r="DA94" s="564">
        <f t="shared" si="42"/>
        <v>20177.406250000029</v>
      </c>
      <c r="DB94" s="590">
        <f>+CY$29*DA94+CZ94</f>
        <v>3055.6291213987033</v>
      </c>
      <c r="DC94" s="589">
        <f>+DC93</f>
        <v>1257991.504545456</v>
      </c>
      <c r="DD94" s="564">
        <f>+DD93</f>
        <v>44530.672727272722</v>
      </c>
      <c r="DE94" s="564">
        <f t="shared" si="43"/>
        <v>1213460.8318181834</v>
      </c>
      <c r="DF94" s="590">
        <f>+DC$29*DE94+DD94</f>
        <v>184169.09059811759</v>
      </c>
      <c r="DG94" s="589">
        <f>+DG93</f>
        <v>702225.01806818112</v>
      </c>
      <c r="DH94" s="564">
        <f>+DH93</f>
        <v>24639.474318181816</v>
      </c>
      <c r="DI94" s="564">
        <f t="shared" si="44"/>
        <v>677585.54374999925</v>
      </c>
      <c r="DJ94" s="590">
        <f>+DG$29*DI94+DH94</f>
        <v>102612.30279393667</v>
      </c>
      <c r="DK94" s="589">
        <f>+DK93</f>
        <v>15482056.449659094</v>
      </c>
      <c r="DL94" s="564">
        <f>+DL93</f>
        <v>549658.80886363634</v>
      </c>
      <c r="DM94" s="564">
        <f t="shared" si="45"/>
        <v>14932397.640795458</v>
      </c>
      <c r="DN94" s="590">
        <f>+DK$29*DM94+DL94</f>
        <v>2267997.2396597583</v>
      </c>
      <c r="DO94" s="589">
        <f>+DO93</f>
        <v>571453.86268939357</v>
      </c>
      <c r="DP94" s="564">
        <f>+DP93</f>
        <v>19592.703863636354</v>
      </c>
      <c r="DQ94" s="564">
        <f t="shared" si="134"/>
        <v>551861.15882575721</v>
      </c>
      <c r="DR94" s="590">
        <f>+DO$29*DQ94+DP94</f>
        <v>83097.859598523777</v>
      </c>
      <c r="DS94" s="589">
        <f>+DS93</f>
        <v>244724.70545454469</v>
      </c>
      <c r="DT94" s="564">
        <f>+DT93</f>
        <v>8295.7527272726966</v>
      </c>
      <c r="DU94" s="564">
        <f t="shared" si="61"/>
        <v>236428.952727272</v>
      </c>
      <c r="DV94" s="590">
        <f>+DS$29*DU94+DT94</f>
        <v>35502.700023816098</v>
      </c>
      <c r="DW94" s="589">
        <f>+DW93</f>
        <v>35736.579715909043</v>
      </c>
      <c r="DX94" s="564">
        <f>+DX93</f>
        <v>1221.7634090909089</v>
      </c>
      <c r="DY94" s="564">
        <f t="shared" si="62"/>
        <v>34514.816306818131</v>
      </c>
      <c r="DZ94" s="590">
        <f>+DW$29*DY94+DX94</f>
        <v>5193.5391894146169</v>
      </c>
      <c r="EA94" s="589">
        <f>+EA93</f>
        <v>-213015.68926136504</v>
      </c>
      <c r="EB94" s="564">
        <f>+EB93</f>
        <v>-7120.3015909091364</v>
      </c>
      <c r="EC94" s="564">
        <f t="shared" si="63"/>
        <v>-205895.38767045591</v>
      </c>
      <c r="ED94" s="590">
        <f>+EA$29*EC94+EB94</f>
        <v>-30813.613667680445</v>
      </c>
      <c r="EE94" s="589">
        <f>+EE93</f>
        <v>6035416.3054545419</v>
      </c>
      <c r="EF94" s="564">
        <f>+EF93</f>
        <v>192108.74181818182</v>
      </c>
      <c r="EG94" s="564">
        <f t="shared" si="72"/>
        <v>5843307.5636363598</v>
      </c>
      <c r="EH94" s="590">
        <f>+EE$29*EG94+EF94</f>
        <v>864524.53137139487</v>
      </c>
      <c r="EI94" s="589">
        <f>+EI93</f>
        <v>244158.60632575746</v>
      </c>
      <c r="EJ94" s="564">
        <f>+EJ93</f>
        <v>7669.903863636363</v>
      </c>
      <c r="EK94" s="564">
        <f t="shared" si="74"/>
        <v>236488.70246212109</v>
      </c>
      <c r="EL94" s="590">
        <f>+EI$29*EK94+EJ94</f>
        <v>34883.726831996901</v>
      </c>
      <c r="EM94" s="589">
        <f>+EM93</f>
        <v>8339441.3818181846</v>
      </c>
      <c r="EN94" s="564">
        <f>+EN93</f>
        <v>260607.54318181818</v>
      </c>
      <c r="EO94" s="564">
        <f t="shared" si="76"/>
        <v>8078833.8386363667</v>
      </c>
      <c r="EP94" s="590">
        <f>+EM$29*EO94+EN94</f>
        <v>1190275.4367703733</v>
      </c>
      <c r="EQ94" s="678">
        <f t="shared" si="94"/>
        <v>31902921.613518462</v>
      </c>
      <c r="ER94" s="675">
        <f>+EQ94</f>
        <v>31902921.613518462</v>
      </c>
      <c r="ES94" s="648"/>
      <c r="EV94" s="589"/>
      <c r="EW94" s="564"/>
      <c r="EX94" s="564"/>
      <c r="EY94" s="590"/>
      <c r="EZ94" s="589"/>
      <c r="FA94" s="564"/>
      <c r="FB94" s="564"/>
      <c r="FC94" s="590"/>
      <c r="FD94" s="589"/>
      <c r="FE94" s="564"/>
      <c r="FF94" s="564"/>
      <c r="FG94" s="590"/>
      <c r="FH94" s="589"/>
      <c r="FI94" s="564"/>
      <c r="FJ94" s="564"/>
      <c r="FK94" s="590"/>
      <c r="FL94" s="589"/>
      <c r="FM94" s="564"/>
      <c r="FN94" s="564"/>
      <c r="FO94" s="590"/>
      <c r="FP94" s="589"/>
      <c r="FQ94" s="564"/>
      <c r="FR94" s="564"/>
      <c r="FS94" s="590"/>
      <c r="FT94" s="589"/>
      <c r="FU94" s="564"/>
      <c r="FV94" s="564"/>
      <c r="FW94" s="590"/>
      <c r="FX94" s="589"/>
      <c r="FY94" s="564"/>
      <c r="FZ94" s="564"/>
      <c r="GA94" s="590"/>
      <c r="GB94" s="589"/>
      <c r="GC94" s="564"/>
      <c r="GD94" s="564"/>
      <c r="GE94" s="590"/>
      <c r="GF94" s="589"/>
      <c r="GG94" s="564"/>
      <c r="GH94" s="564"/>
      <c r="GI94" s="590"/>
      <c r="GJ94" s="589"/>
      <c r="GK94" s="564"/>
      <c r="GL94" s="564"/>
      <c r="GM94" s="590"/>
      <c r="GN94" s="589"/>
      <c r="GO94" s="564"/>
      <c r="GP94" s="564"/>
      <c r="GQ94" s="590"/>
      <c r="GR94" s="589"/>
      <c r="GS94" s="564"/>
      <c r="GT94" s="564"/>
      <c r="GU94" s="590"/>
      <c r="GV94" s="672"/>
      <c r="GW94" s="676"/>
      <c r="GX94" s="676"/>
      <c r="GY94" s="1366"/>
      <c r="GZ94" s="1367"/>
      <c r="HA94" s="1373"/>
      <c r="HB94" s="1373"/>
      <c r="HC94" s="1366"/>
      <c r="HD94" s="1367"/>
      <c r="HE94" s="1373"/>
      <c r="HF94" s="1373"/>
      <c r="HG94" s="1366"/>
      <c r="HI94" s="589"/>
      <c r="HJ94" s="564"/>
      <c r="HK94" s="564"/>
      <c r="HL94" s="590"/>
      <c r="HM94" s="589"/>
      <c r="HN94" s="564"/>
      <c r="HO94" s="564"/>
      <c r="HP94" s="590"/>
      <c r="HQ94" s="589"/>
      <c r="HR94" s="564"/>
      <c r="HS94" s="564"/>
      <c r="HT94" s="590"/>
    </row>
    <row r="95" spans="1:228">
      <c r="A95" s="649" t="s">
        <v>24</v>
      </c>
      <c r="B95" s="670">
        <v>2034</v>
      </c>
      <c r="C95" s="671">
        <f>+E94</f>
        <v>8358599.7017045394</v>
      </c>
      <c r="D95" s="671">
        <f>+C$31</f>
        <v>445791.98409090913</v>
      </c>
      <c r="E95" s="671">
        <f t="shared" si="6"/>
        <v>7912807.71761363</v>
      </c>
      <c r="F95" s="653">
        <f>+C$28*E95+D95</f>
        <v>1356354.5021642849</v>
      </c>
      <c r="G95" s="671">
        <f>+I94</f>
        <v>2143053.8665909069</v>
      </c>
      <c r="H95" s="671">
        <f>+G$31</f>
        <v>115840.74954545456</v>
      </c>
      <c r="I95" s="671">
        <f t="shared" si="7"/>
        <v>2027213.1170454524</v>
      </c>
      <c r="J95" s="653">
        <f>+G$28*I95+H95</f>
        <v>349121.31775885454</v>
      </c>
      <c r="K95" s="672">
        <f>+M94</f>
        <v>5421200.7601704504</v>
      </c>
      <c r="L95" s="671">
        <f>+K$31</f>
        <v>305419.76113636367</v>
      </c>
      <c r="M95" s="671">
        <f t="shared" si="8"/>
        <v>5115780.9990340872</v>
      </c>
      <c r="N95" s="653">
        <f>+K$28*M95+L95</f>
        <v>894115.78341216524</v>
      </c>
      <c r="O95" s="672">
        <f>+Q94</f>
        <v>2366440.3106060568</v>
      </c>
      <c r="P95" s="671">
        <f>+O$31</f>
        <v>119316.31818181818</v>
      </c>
      <c r="Q95" s="671">
        <f t="shared" si="11"/>
        <v>2247123.9924242385</v>
      </c>
      <c r="R95" s="653">
        <f>+O$28*Q95+P95</f>
        <v>377903.02393611846</v>
      </c>
      <c r="S95" s="589">
        <f>+U94</f>
        <v>1059401.9824242392</v>
      </c>
      <c r="T95" s="564">
        <f>+S$31</f>
        <v>58315.705454545445</v>
      </c>
      <c r="U95" s="564">
        <f t="shared" si="12"/>
        <v>1001086.2769696937</v>
      </c>
      <c r="V95" s="590">
        <f>+S$28*U95+T95</f>
        <v>173515.22422171372</v>
      </c>
      <c r="W95" s="589">
        <f>+Y94</f>
        <v>13750323.337121218</v>
      </c>
      <c r="X95" s="564">
        <f>+W$31</f>
        <v>693293.61363636365</v>
      </c>
      <c r="Y95" s="564">
        <f t="shared" si="13"/>
        <v>13057029.723484855</v>
      </c>
      <c r="Z95" s="590">
        <f>+W$28*Y95+X95</f>
        <v>2195824.9890810433</v>
      </c>
      <c r="AA95" s="589">
        <f>+AC94</f>
        <v>8979096.4678030312</v>
      </c>
      <c r="AB95" s="564">
        <f>+AA$31</f>
        <v>450833.29545454547</v>
      </c>
      <c r="AC95" s="564">
        <f t="shared" si="14"/>
        <v>8528263.1723484863</v>
      </c>
      <c r="AD95" s="590">
        <f>+AA$28*AC95+AB95</f>
        <v>1432219.0520830438</v>
      </c>
      <c r="AE95" s="589">
        <f>+AG94</f>
        <v>89658.784090909205</v>
      </c>
      <c r="AF95" s="564">
        <f>+AE$31</f>
        <v>4597.886363636364</v>
      </c>
      <c r="AG95" s="564">
        <f t="shared" si="15"/>
        <v>85060.897727272837</v>
      </c>
      <c r="AH95" s="590">
        <f>+AE$28*AG95+AF95</f>
        <v>14386.227997633006</v>
      </c>
      <c r="AI95" s="589">
        <f>+AK94</f>
        <v>6157238.1628787909</v>
      </c>
      <c r="AJ95" s="564">
        <f>+AI$31</f>
        <v>295547.43181818182</v>
      </c>
      <c r="AK95" s="564">
        <f t="shared" si="19"/>
        <v>5861690.7310606092</v>
      </c>
      <c r="AL95" s="590">
        <f>+AI$28*AK95+AJ95</f>
        <v>970078.65546474815</v>
      </c>
      <c r="AM95" s="589">
        <f>+AO94</f>
        <v>2272771.7714772737</v>
      </c>
      <c r="AN95" s="564">
        <f>+AM$31</f>
        <v>110866.91568181818</v>
      </c>
      <c r="AO95" s="564">
        <f t="shared" si="16"/>
        <v>2161904.8557954556</v>
      </c>
      <c r="AP95" s="590">
        <f>+AM$28*AO95+AN95</f>
        <v>359647.07053712278</v>
      </c>
      <c r="AQ95" s="589">
        <f>+AS94</f>
        <v>18777343.923409086</v>
      </c>
      <c r="AR95" s="564">
        <f>+AQ$31</f>
        <v>904932.23727272719</v>
      </c>
      <c r="AS95" s="564">
        <f t="shared" si="17"/>
        <v>17872411.686136357</v>
      </c>
      <c r="AT95" s="590">
        <f>+AQ$28*AS95+AR95</f>
        <v>2961591.3612834266</v>
      </c>
      <c r="AU95" s="671"/>
      <c r="AV95" s="671"/>
      <c r="AW95" s="671"/>
      <c r="AX95" s="653"/>
      <c r="AY95" s="671"/>
      <c r="AZ95" s="671"/>
      <c r="BA95" s="671"/>
      <c r="BB95" s="653"/>
      <c r="BC95" s="671"/>
      <c r="BD95" s="671"/>
      <c r="BE95" s="671"/>
      <c r="BF95" s="653"/>
      <c r="BG95" s="671"/>
      <c r="BH95" s="671"/>
      <c r="BI95" s="671"/>
      <c r="BJ95" s="653"/>
      <c r="BK95" s="671"/>
      <c r="BL95" s="671"/>
      <c r="BM95" s="671"/>
      <c r="BN95" s="653"/>
      <c r="BO95" s="671"/>
      <c r="BP95" s="671"/>
      <c r="BQ95" s="671"/>
      <c r="BR95" s="653"/>
      <c r="BS95" s="589">
        <f>+BU94</f>
        <v>174528.61363636388</v>
      </c>
      <c r="BT95" s="564">
        <f>+BS$31</f>
        <v>8310.886363636364</v>
      </c>
      <c r="BU95" s="564">
        <f t="shared" si="18"/>
        <v>166217.72727272753</v>
      </c>
      <c r="BV95" s="590">
        <f>+BS$28*BU95+BT95</f>
        <v>27438.31087529043</v>
      </c>
      <c r="BW95" s="589">
        <f>+BY94</f>
        <v>12257876.079545468</v>
      </c>
      <c r="BX95" s="564">
        <f>+BW$31</f>
        <v>576841.22727272729</v>
      </c>
      <c r="BY95" s="564">
        <f t="shared" si="20"/>
        <v>11681034.852272741</v>
      </c>
      <c r="BZ95" s="590">
        <f>+BW$28*BY95+BX95</f>
        <v>1921030.6589345476</v>
      </c>
      <c r="CA95" s="589">
        <f>+CC94</f>
        <v>1156720.8000000017</v>
      </c>
      <c r="CB95" s="564">
        <f>+CA$31</f>
        <v>54433.919999999998</v>
      </c>
      <c r="CC95" s="564">
        <f t="shared" si="21"/>
        <v>1102286.8800000018</v>
      </c>
      <c r="CD95" s="590">
        <f>+CA$28*CC95+CB95</f>
        <v>181279.04917682096</v>
      </c>
      <c r="CE95" s="589">
        <f>+CG94</f>
        <v>100406.86818181834</v>
      </c>
      <c r="CF95" s="564">
        <f>+CE$31</f>
        <v>4725.0290909090909</v>
      </c>
      <c r="CG95" s="564">
        <f t="shared" si="22"/>
        <v>95681.839090909256</v>
      </c>
      <c r="CH95" s="590">
        <f>+CE$28*CG95+CF95</f>
        <v>15735.57041147907</v>
      </c>
      <c r="CI95" s="589">
        <f>+CK94</f>
        <v>275070.68181818142</v>
      </c>
      <c r="CJ95" s="564">
        <f>+CI$31</f>
        <v>12362.727272727272</v>
      </c>
      <c r="CK95" s="564">
        <f t="shared" si="24"/>
        <v>262707.95454545412</v>
      </c>
      <c r="CL95" s="590">
        <f>+CI$28*CK95+CJ95</f>
        <v>42593.717983690352</v>
      </c>
      <c r="CM95" s="589">
        <f>+CO94</f>
        <v>12938751.607102279</v>
      </c>
      <c r="CN95" s="564">
        <f>+CM$31</f>
        <v>483691.64886363636</v>
      </c>
      <c r="CO95" s="564">
        <f t="shared" si="34"/>
        <v>12455059.958238643</v>
      </c>
      <c r="CP95" s="590">
        <f>+CM$28*CO95+CN95</f>
        <v>1916951.6449436299</v>
      </c>
      <c r="CQ95" s="589">
        <f>+CS94</f>
        <v>53974437.045511343</v>
      </c>
      <c r="CR95" s="564">
        <f>+CQ$31</f>
        <v>2017735.9643181816</v>
      </c>
      <c r="CS95" s="564">
        <f t="shared" si="40"/>
        <v>51956701.081193164</v>
      </c>
      <c r="CT95" s="590">
        <f>+CQ$28*CS95+CR95</f>
        <v>7996628.192669306</v>
      </c>
      <c r="CU95" s="589">
        <f>+CW94</f>
        <v>18257275.057500023</v>
      </c>
      <c r="CV95" s="564">
        <f>+CU$31</f>
        <v>676195.37250000006</v>
      </c>
      <c r="CW95" s="564">
        <f t="shared" si="41"/>
        <v>17581079.685000025</v>
      </c>
      <c r="CX95" s="590">
        <f>+CU$28*CW95+CV95</f>
        <v>2699329.6074931691</v>
      </c>
      <c r="CY95" s="589">
        <f>+DA94</f>
        <v>20177.406250000029</v>
      </c>
      <c r="CZ95" s="564">
        <f>+CY$31</f>
        <v>733.72386363636497</v>
      </c>
      <c r="DA95" s="564">
        <f t="shared" si="42"/>
        <v>19443.682386363664</v>
      </c>
      <c r="DB95" s="590">
        <f>+CY$28*DA95+CZ95</f>
        <v>2971.1962029346182</v>
      </c>
      <c r="DC95" s="589">
        <f>+DE94</f>
        <v>1213460.8318181834</v>
      </c>
      <c r="DD95" s="564">
        <f>+DC$31</f>
        <v>44530.672727272722</v>
      </c>
      <c r="DE95" s="564">
        <f t="shared" si="43"/>
        <v>1168930.1590909108</v>
      </c>
      <c r="DF95" s="590">
        <f>+DC$28*DE95+DD95</f>
        <v>179044.74498817834</v>
      </c>
      <c r="DG95" s="589">
        <f>+DI94</f>
        <v>677585.54374999925</v>
      </c>
      <c r="DH95" s="564">
        <f>+DG$31</f>
        <v>24639.474318181816</v>
      </c>
      <c r="DI95" s="564">
        <f t="shared" si="44"/>
        <v>652946.06943181739</v>
      </c>
      <c r="DJ95" s="590">
        <f>+DG$28*DI95+DH95</f>
        <v>99776.927213000134</v>
      </c>
      <c r="DK95" s="589">
        <f>+DM94</f>
        <v>14932397.640795458</v>
      </c>
      <c r="DL95" s="564">
        <f>+DK$31</f>
        <v>549658.80886363634</v>
      </c>
      <c r="DM95" s="564">
        <f t="shared" si="45"/>
        <v>14382738.831931822</v>
      </c>
      <c r="DN95" s="590">
        <f>+DK$28*DM95+DL95</f>
        <v>2204745.5182807599</v>
      </c>
      <c r="DO95" s="589">
        <f>+DQ94</f>
        <v>551861.15882575721</v>
      </c>
      <c r="DP95" s="564">
        <f>+DO$31</f>
        <v>19592.703863636354</v>
      </c>
      <c r="DQ95" s="564">
        <f t="shared" si="134"/>
        <v>532268.45496212086</v>
      </c>
      <c r="DR95" s="590">
        <f>+DO$28*DQ95+DP95</f>
        <v>80843.238684859127</v>
      </c>
      <c r="DS95" s="589">
        <f>+DU94</f>
        <v>236428.952727272</v>
      </c>
      <c r="DT95" s="564">
        <f>+DS$31</f>
        <v>8295.7527272726966</v>
      </c>
      <c r="DU95" s="564">
        <f t="shared" si="61"/>
        <v>228133.19999999931</v>
      </c>
      <c r="DV95" s="590">
        <f>+DS$28*DU95+DT95</f>
        <v>34548.070294112826</v>
      </c>
      <c r="DW95" s="589">
        <f>+DY94</f>
        <v>34514.816306818131</v>
      </c>
      <c r="DX95" s="564">
        <f>+DW$31</f>
        <v>1221.7634090909089</v>
      </c>
      <c r="DY95" s="564">
        <f t="shared" si="62"/>
        <v>33293.052897727219</v>
      </c>
      <c r="DZ95" s="590">
        <f>+DW$28*DY95+DX95</f>
        <v>5052.9453564828036</v>
      </c>
      <c r="EA95" s="589">
        <f>+EC94</f>
        <v>-205895.38767045591</v>
      </c>
      <c r="EB95" s="564">
        <f>+EA$31</f>
        <v>-7120.3015909091364</v>
      </c>
      <c r="EC95" s="564">
        <f t="shared" si="63"/>
        <v>-198775.08607954677</v>
      </c>
      <c r="ED95" s="590">
        <f>+EA$28*EC95+EB95</f>
        <v>-29994.248408541382</v>
      </c>
      <c r="EE95" s="589">
        <f>+EG94</f>
        <v>5843307.5636363598</v>
      </c>
      <c r="EF95" s="564">
        <f>+EE$31</f>
        <v>192108.74181818182</v>
      </c>
      <c r="EG95" s="564">
        <f t="shared" si="72"/>
        <v>5651198.8218181776</v>
      </c>
      <c r="EH95" s="590">
        <f>+EE$28*EG95+EF95</f>
        <v>842417.71089293296</v>
      </c>
      <c r="EI95" s="589">
        <f>+EK94</f>
        <v>236488.70246212109</v>
      </c>
      <c r="EJ95" s="564">
        <f>+EI$31</f>
        <v>7669.903863636363</v>
      </c>
      <c r="EK95" s="564">
        <f t="shared" si="74"/>
        <v>228818.79859848472</v>
      </c>
      <c r="EL95" s="590">
        <f>+EI$28*EK95+EJ95</f>
        <v>34001.116357347368</v>
      </c>
      <c r="EM95" s="589">
        <f>+EO94</f>
        <v>8078833.8386363667</v>
      </c>
      <c r="EN95" s="564">
        <f>+EM$31</f>
        <v>260607.54318181818</v>
      </c>
      <c r="EO95" s="564">
        <f t="shared" si="76"/>
        <v>7818226.2954545487</v>
      </c>
      <c r="EP95" s="590">
        <f>+EM$28*EO95+EN95</f>
        <v>1160286.14988042</v>
      </c>
      <c r="EQ95" s="678">
        <f t="shared" si="94"/>
        <v>30499437.330170579</v>
      </c>
      <c r="ER95" s="652"/>
      <c r="ES95" s="674">
        <f>+EQ95</f>
        <v>30499437.330170579</v>
      </c>
      <c r="EV95" s="589"/>
      <c r="EW95" s="564"/>
      <c r="EX95" s="564"/>
      <c r="EY95" s="590"/>
      <c r="EZ95" s="589"/>
      <c r="FA95" s="564"/>
      <c r="FB95" s="564"/>
      <c r="FC95" s="590"/>
      <c r="FD95" s="589"/>
      <c r="FE95" s="564"/>
      <c r="FF95" s="564"/>
      <c r="FG95" s="590"/>
      <c r="FH95" s="589"/>
      <c r="FI95" s="564"/>
      <c r="FJ95" s="564"/>
      <c r="FK95" s="590"/>
      <c r="FL95" s="589"/>
      <c r="FM95" s="564"/>
      <c r="FN95" s="564"/>
      <c r="FO95" s="590"/>
      <c r="FP95" s="589"/>
      <c r="FQ95" s="564"/>
      <c r="FR95" s="564"/>
      <c r="FS95" s="590"/>
      <c r="FT95" s="589"/>
      <c r="FU95" s="564"/>
      <c r="FV95" s="564"/>
      <c r="FW95" s="590"/>
      <c r="FX95" s="589"/>
      <c r="FY95" s="564"/>
      <c r="FZ95" s="564"/>
      <c r="GA95" s="590"/>
      <c r="GB95" s="589"/>
      <c r="GC95" s="564"/>
      <c r="GD95" s="564"/>
      <c r="GE95" s="590"/>
      <c r="GF95" s="589"/>
      <c r="GG95" s="564"/>
      <c r="GH95" s="564"/>
      <c r="GI95" s="590"/>
      <c r="GJ95" s="589"/>
      <c r="GK95" s="564"/>
      <c r="GL95" s="564"/>
      <c r="GM95" s="590"/>
      <c r="GN95" s="589"/>
      <c r="GO95" s="564"/>
      <c r="GP95" s="564"/>
      <c r="GQ95" s="590"/>
      <c r="GR95" s="589"/>
      <c r="GS95" s="564"/>
      <c r="GT95" s="564"/>
      <c r="GU95" s="590"/>
      <c r="GV95" s="672"/>
      <c r="GW95" s="676"/>
      <c r="GX95" s="676"/>
      <c r="GY95" s="1366"/>
      <c r="GZ95" s="1367"/>
      <c r="HA95" s="1373"/>
      <c r="HB95" s="1373"/>
      <c r="HC95" s="1366"/>
      <c r="HD95" s="1367"/>
      <c r="HE95" s="1373"/>
      <c r="HF95" s="1373"/>
      <c r="HG95" s="1366"/>
      <c r="HI95" s="589"/>
      <c r="HJ95" s="564"/>
      <c r="HK95" s="564"/>
      <c r="HL95" s="590"/>
      <c r="HM95" s="589"/>
      <c r="HN95" s="564"/>
      <c r="HO95" s="564"/>
      <c r="HP95" s="590"/>
      <c r="HQ95" s="589"/>
      <c r="HR95" s="564"/>
      <c r="HS95" s="564"/>
      <c r="HT95" s="590"/>
    </row>
    <row r="96" spans="1:228">
      <c r="A96" s="649" t="s">
        <v>23</v>
      </c>
      <c r="B96" s="670">
        <v>2034</v>
      </c>
      <c r="C96" s="671">
        <f>+C95</f>
        <v>8358599.7017045394</v>
      </c>
      <c r="D96" s="671">
        <f>+D95</f>
        <v>445791.98409090913</v>
      </c>
      <c r="E96" s="671">
        <f t="shared" si="6"/>
        <v>7912807.71761363</v>
      </c>
      <c r="F96" s="653">
        <f>+C$29*E96+D96</f>
        <v>1404647.2019644873</v>
      </c>
      <c r="G96" s="671">
        <f>+G95</f>
        <v>2143053.8665909069</v>
      </c>
      <c r="H96" s="671">
        <f>+H95</f>
        <v>115840.74954545456</v>
      </c>
      <c r="I96" s="671">
        <f t="shared" si="7"/>
        <v>2027213.1170454524</v>
      </c>
      <c r="J96" s="653">
        <f>+G$29*I96+H96</f>
        <v>361493.61315465788</v>
      </c>
      <c r="K96" s="672">
        <f>+K95</f>
        <v>5421200.7601704504</v>
      </c>
      <c r="L96" s="671">
        <f>+L95</f>
        <v>305419.76113636367</v>
      </c>
      <c r="M96" s="671">
        <f t="shared" si="8"/>
        <v>5115780.9990340872</v>
      </c>
      <c r="N96" s="653">
        <f>+K$29*M96+L96</f>
        <v>925337.93423986668</v>
      </c>
      <c r="O96" s="672">
        <f>+O95</f>
        <v>2366440.3106060568</v>
      </c>
      <c r="P96" s="671">
        <f>+P95</f>
        <v>119316.31818181818</v>
      </c>
      <c r="Q96" s="671">
        <f t="shared" si="11"/>
        <v>2247123.9924242385</v>
      </c>
      <c r="R96" s="653">
        <f>+O$29*Q96+P96</f>
        <v>391617.45859101531</v>
      </c>
      <c r="S96" s="589">
        <f>+S95</f>
        <v>1059401.9824242392</v>
      </c>
      <c r="T96" s="564">
        <f>+T95</f>
        <v>58315.705454545445</v>
      </c>
      <c r="U96" s="564">
        <f t="shared" si="12"/>
        <v>1001086.2769696937</v>
      </c>
      <c r="V96" s="590">
        <f>+S$29*U96+T96</f>
        <v>179624.9593212012</v>
      </c>
      <c r="W96" s="589">
        <f>+W95</f>
        <v>13750323.337121218</v>
      </c>
      <c r="X96" s="564">
        <f>+X95</f>
        <v>693293.61363636365</v>
      </c>
      <c r="Y96" s="564">
        <f t="shared" si="13"/>
        <v>13057029.723484855</v>
      </c>
      <c r="Z96" s="590">
        <f>+W$29*Y96+X96</f>
        <v>2275513.4181723972</v>
      </c>
      <c r="AA96" s="589">
        <f>+AA95</f>
        <v>8979096.4678030312</v>
      </c>
      <c r="AB96" s="564">
        <f>+AB95</f>
        <v>450833.29545454547</v>
      </c>
      <c r="AC96" s="564">
        <f t="shared" si="14"/>
        <v>8528263.1723484863</v>
      </c>
      <c r="AD96" s="590">
        <f>+AA$29*AC96+AB96</f>
        <v>1484267.9414150286</v>
      </c>
      <c r="AE96" s="589">
        <f>+AE95</f>
        <v>89658.784090909205</v>
      </c>
      <c r="AF96" s="564">
        <f>+AF95</f>
        <v>4597.886363636364</v>
      </c>
      <c r="AG96" s="564">
        <f t="shared" si="15"/>
        <v>85060.897727272837</v>
      </c>
      <c r="AH96" s="590">
        <f>+AE$29*AG96+AF96</f>
        <v>14905.363624995092</v>
      </c>
      <c r="AI96" s="589">
        <f>+AI95</f>
        <v>6157238.1628787909</v>
      </c>
      <c r="AJ96" s="564">
        <f>+AJ95</f>
        <v>295547.43181818182</v>
      </c>
      <c r="AK96" s="564">
        <f t="shared" si="19"/>
        <v>5861690.7310606092</v>
      </c>
      <c r="AL96" s="590">
        <f>+AI$29*AK96+AJ96</f>
        <v>1005853.1720331996</v>
      </c>
      <c r="AM96" s="589">
        <f>+AM95</f>
        <v>2272771.7714772737</v>
      </c>
      <c r="AN96" s="564">
        <f>+AN95</f>
        <v>110866.91568181818</v>
      </c>
      <c r="AO96" s="564">
        <f t="shared" si="16"/>
        <v>2161904.8557954556</v>
      </c>
      <c r="AP96" s="590">
        <f>+AM$29*AO96+AN96</f>
        <v>372841.40381595748</v>
      </c>
      <c r="AQ96" s="589">
        <f>+AQ95</f>
        <v>18777343.923409086</v>
      </c>
      <c r="AR96" s="564">
        <f>+AR95</f>
        <v>904932.23727272719</v>
      </c>
      <c r="AS96" s="564">
        <f t="shared" si="17"/>
        <v>17872411.686136357</v>
      </c>
      <c r="AT96" s="590">
        <f>+AQ$29*AS96+AR96</f>
        <v>3070668.5742103839</v>
      </c>
      <c r="AU96" s="671"/>
      <c r="AV96" s="671"/>
      <c r="AW96" s="671"/>
      <c r="AX96" s="653"/>
      <c r="AY96" s="671"/>
      <c r="AZ96" s="671"/>
      <c r="BA96" s="671"/>
      <c r="BB96" s="653"/>
      <c r="BC96" s="671"/>
      <c r="BD96" s="671"/>
      <c r="BE96" s="671"/>
      <c r="BF96" s="653"/>
      <c r="BG96" s="671"/>
      <c r="BH96" s="671"/>
      <c r="BI96" s="671"/>
      <c r="BJ96" s="653"/>
      <c r="BK96" s="671"/>
      <c r="BL96" s="671"/>
      <c r="BM96" s="671"/>
      <c r="BN96" s="653"/>
      <c r="BO96" s="671"/>
      <c r="BP96" s="671"/>
      <c r="BQ96" s="671"/>
      <c r="BR96" s="653"/>
      <c r="BS96" s="589">
        <f>+BS95</f>
        <v>174528.61363636388</v>
      </c>
      <c r="BT96" s="564">
        <f>+BT95</f>
        <v>8310.886363636364</v>
      </c>
      <c r="BU96" s="564">
        <f t="shared" si="18"/>
        <v>166217.72727272753</v>
      </c>
      <c r="BV96" s="590">
        <f>+BS$29*BU96+BT96</f>
        <v>28452.755190269258</v>
      </c>
      <c r="BW96" s="589">
        <f>+BW95</f>
        <v>12257876.079545468</v>
      </c>
      <c r="BX96" s="564">
        <f>+BX95</f>
        <v>576841.22727272729</v>
      </c>
      <c r="BY96" s="564">
        <f t="shared" si="20"/>
        <v>11681034.852272741</v>
      </c>
      <c r="BZ96" s="590">
        <f>+BW$29*BY96+BX96</f>
        <v>1921030.6589345476</v>
      </c>
      <c r="CA96" s="589">
        <f>+CA95</f>
        <v>1156720.8000000017</v>
      </c>
      <c r="CB96" s="564">
        <f>+CB95</f>
        <v>54433.919999999998</v>
      </c>
      <c r="CC96" s="564">
        <f t="shared" si="21"/>
        <v>1102286.8800000018</v>
      </c>
      <c r="CD96" s="590">
        <f>+CA$29*CC96+CB96</f>
        <v>188006.42222685076</v>
      </c>
      <c r="CE96" s="589">
        <f>+CE95</f>
        <v>100406.86818181834</v>
      </c>
      <c r="CF96" s="564">
        <f>+CF95</f>
        <v>4725.0290909090909</v>
      </c>
      <c r="CG96" s="564">
        <f t="shared" si="22"/>
        <v>95681.839090909256</v>
      </c>
      <c r="CH96" s="590">
        <f>+CE$29*CG96+CF96</f>
        <v>16319.52676381946</v>
      </c>
      <c r="CI96" s="589">
        <f>+CI95</f>
        <v>275070.68181818142</v>
      </c>
      <c r="CJ96" s="564">
        <f>+CJ95</f>
        <v>12362.727272727272</v>
      </c>
      <c r="CK96" s="564">
        <f t="shared" si="24"/>
        <v>262707.95454545412</v>
      </c>
      <c r="CL96" s="590">
        <f>+CI$29*CK96+CJ96</f>
        <v>42593.717983690352</v>
      </c>
      <c r="CM96" s="589">
        <f>+CM95</f>
        <v>12938751.607102279</v>
      </c>
      <c r="CN96" s="564">
        <f>+CN95</f>
        <v>483691.64886363636</v>
      </c>
      <c r="CO96" s="564">
        <f t="shared" si="34"/>
        <v>12455059.958238643</v>
      </c>
      <c r="CP96" s="590">
        <f>+CM$29*CO96+CN96</f>
        <v>1916951.6449436299</v>
      </c>
      <c r="CQ96" s="589">
        <f>+CQ95</f>
        <v>53974437.045511343</v>
      </c>
      <c r="CR96" s="564">
        <f>+CR95</f>
        <v>2017735.9643181816</v>
      </c>
      <c r="CS96" s="564">
        <f t="shared" si="40"/>
        <v>51956701.081193164</v>
      </c>
      <c r="CT96" s="590">
        <f>+CQ$29*CS96+CR96</f>
        <v>7996628.192669306</v>
      </c>
      <c r="CU96" s="589">
        <f>+CU95</f>
        <v>18257275.057500023</v>
      </c>
      <c r="CV96" s="564">
        <f>+CV95</f>
        <v>676195.37250000006</v>
      </c>
      <c r="CW96" s="564">
        <f t="shared" si="41"/>
        <v>17581079.685000025</v>
      </c>
      <c r="CX96" s="590">
        <f>+CU$29*CW96+CV96</f>
        <v>2699329.6074931691</v>
      </c>
      <c r="CY96" s="589">
        <f>+CY95</f>
        <v>20177.406250000029</v>
      </c>
      <c r="CZ96" s="564">
        <f>+CZ95</f>
        <v>733.72386363636497</v>
      </c>
      <c r="DA96" s="564">
        <f t="shared" si="42"/>
        <v>19443.682386363664</v>
      </c>
      <c r="DB96" s="590">
        <f>+CY$29*DA96+CZ96</f>
        <v>2971.1962029346182</v>
      </c>
      <c r="DC96" s="589">
        <f>+DC95</f>
        <v>1213460.8318181834</v>
      </c>
      <c r="DD96" s="564">
        <f>+DD95</f>
        <v>44530.672727272722</v>
      </c>
      <c r="DE96" s="564">
        <f t="shared" si="43"/>
        <v>1168930.1590909108</v>
      </c>
      <c r="DF96" s="590">
        <f>+DC$29*DE96+DD96</f>
        <v>179044.74498817834</v>
      </c>
      <c r="DG96" s="589">
        <f>+DG95</f>
        <v>677585.54374999925</v>
      </c>
      <c r="DH96" s="564">
        <f>+DH95</f>
        <v>24639.474318181816</v>
      </c>
      <c r="DI96" s="564">
        <f t="shared" si="44"/>
        <v>652946.06943181739</v>
      </c>
      <c r="DJ96" s="590">
        <f>+DG$29*DI96+DH96</f>
        <v>99776.927213000134</v>
      </c>
      <c r="DK96" s="589">
        <f>+DK95</f>
        <v>14932397.640795458</v>
      </c>
      <c r="DL96" s="564">
        <f>+DL95</f>
        <v>549658.80886363634</v>
      </c>
      <c r="DM96" s="564">
        <f t="shared" si="45"/>
        <v>14382738.831931822</v>
      </c>
      <c r="DN96" s="590">
        <f>+DK$29*DM96+DL96</f>
        <v>2204745.5182807599</v>
      </c>
      <c r="DO96" s="589">
        <f>+DO95</f>
        <v>551861.15882575721</v>
      </c>
      <c r="DP96" s="564">
        <f>+DP95</f>
        <v>19592.703863636354</v>
      </c>
      <c r="DQ96" s="564">
        <f t="shared" si="134"/>
        <v>532268.45496212086</v>
      </c>
      <c r="DR96" s="590">
        <f>+DO$29*DQ96+DP96</f>
        <v>80843.238684859127</v>
      </c>
      <c r="DS96" s="589">
        <f>+DS95</f>
        <v>236428.952727272</v>
      </c>
      <c r="DT96" s="564">
        <f>+DT95</f>
        <v>8295.7527272726966</v>
      </c>
      <c r="DU96" s="564">
        <f t="shared" si="61"/>
        <v>228133.19999999931</v>
      </c>
      <c r="DV96" s="590">
        <f>+DS$29*DU96+DT96</f>
        <v>34548.070294112826</v>
      </c>
      <c r="DW96" s="589">
        <f>+DW95</f>
        <v>34514.816306818131</v>
      </c>
      <c r="DX96" s="564">
        <f>+DX95</f>
        <v>1221.7634090909089</v>
      </c>
      <c r="DY96" s="564">
        <f t="shared" si="62"/>
        <v>33293.052897727219</v>
      </c>
      <c r="DZ96" s="590">
        <f>+DW$29*DY96+DX96</f>
        <v>5052.9453564828036</v>
      </c>
      <c r="EA96" s="589">
        <f>+EA95</f>
        <v>-205895.38767045591</v>
      </c>
      <c r="EB96" s="564">
        <f>+EB95</f>
        <v>-7120.3015909091364</v>
      </c>
      <c r="EC96" s="564">
        <f t="shared" si="63"/>
        <v>-198775.08607954677</v>
      </c>
      <c r="ED96" s="590">
        <f>+EA$29*EC96+EB96</f>
        <v>-29994.248408541382</v>
      </c>
      <c r="EE96" s="589">
        <f>+EE95</f>
        <v>5843307.5636363598</v>
      </c>
      <c r="EF96" s="564">
        <f>+EF95</f>
        <v>192108.74181818182</v>
      </c>
      <c r="EG96" s="564">
        <f t="shared" si="72"/>
        <v>5651198.8218181776</v>
      </c>
      <c r="EH96" s="590">
        <f>+EE$29*EG96+EF96</f>
        <v>842417.71089293296</v>
      </c>
      <c r="EI96" s="589">
        <f>+EI95</f>
        <v>236488.70246212109</v>
      </c>
      <c r="EJ96" s="564">
        <f>+EJ95</f>
        <v>7669.903863636363</v>
      </c>
      <c r="EK96" s="564">
        <f t="shared" si="74"/>
        <v>228818.79859848472</v>
      </c>
      <c r="EL96" s="590">
        <f>+EI$29*EK96+EJ96</f>
        <v>34001.116357347368</v>
      </c>
      <c r="EM96" s="589">
        <f>+EM95</f>
        <v>8078833.8386363667</v>
      </c>
      <c r="EN96" s="564">
        <f>+EN95</f>
        <v>260607.54318181818</v>
      </c>
      <c r="EO96" s="564">
        <f t="shared" si="76"/>
        <v>7818226.2954545487</v>
      </c>
      <c r="EP96" s="590">
        <f>+EM$29*EO96+EN96</f>
        <v>1160286.14988042</v>
      </c>
      <c r="EQ96" s="678">
        <f t="shared" si="94"/>
        <v>30909776.93649096</v>
      </c>
      <c r="ER96" s="675">
        <f>+EQ96</f>
        <v>30909776.93649096</v>
      </c>
      <c r="ES96" s="648"/>
      <c r="EV96" s="589"/>
      <c r="EW96" s="564"/>
      <c r="EX96" s="564"/>
      <c r="EY96" s="590"/>
      <c r="EZ96" s="589"/>
      <c r="FA96" s="564"/>
      <c r="FB96" s="564"/>
      <c r="FC96" s="590"/>
      <c r="FD96" s="589"/>
      <c r="FE96" s="564"/>
      <c r="FF96" s="564"/>
      <c r="FG96" s="590"/>
      <c r="FH96" s="589"/>
      <c r="FI96" s="564"/>
      <c r="FJ96" s="564"/>
      <c r="FK96" s="590"/>
      <c r="FL96" s="589"/>
      <c r="FM96" s="564"/>
      <c r="FN96" s="564"/>
      <c r="FO96" s="590"/>
      <c r="FP96" s="589"/>
      <c r="FQ96" s="564"/>
      <c r="FR96" s="564"/>
      <c r="FS96" s="590"/>
      <c r="FT96" s="589"/>
      <c r="FU96" s="564"/>
      <c r="FV96" s="564"/>
      <c r="FW96" s="590"/>
      <c r="FX96" s="589"/>
      <c r="FY96" s="564"/>
      <c r="FZ96" s="564"/>
      <c r="GA96" s="590"/>
      <c r="GB96" s="589"/>
      <c r="GC96" s="564"/>
      <c r="GD96" s="564"/>
      <c r="GE96" s="590"/>
      <c r="GF96" s="589"/>
      <c r="GG96" s="564"/>
      <c r="GH96" s="564"/>
      <c r="GI96" s="590"/>
      <c r="GJ96" s="589"/>
      <c r="GK96" s="564"/>
      <c r="GL96" s="564"/>
      <c r="GM96" s="590"/>
      <c r="GN96" s="589"/>
      <c r="GO96" s="564"/>
      <c r="GP96" s="564"/>
      <c r="GQ96" s="590"/>
      <c r="GR96" s="589"/>
      <c r="GS96" s="564"/>
      <c r="GT96" s="564"/>
      <c r="GU96" s="590"/>
      <c r="GV96" s="672"/>
      <c r="GW96" s="676"/>
      <c r="GX96" s="676"/>
      <c r="GY96" s="1366"/>
      <c r="GZ96" s="1367"/>
      <c r="HA96" s="1373"/>
      <c r="HB96" s="1373"/>
      <c r="HC96" s="1366"/>
      <c r="HD96" s="1367"/>
      <c r="HE96" s="1373"/>
      <c r="HF96" s="1373"/>
      <c r="HG96" s="1366"/>
      <c r="HI96" s="589"/>
      <c r="HJ96" s="564"/>
      <c r="HK96" s="564"/>
      <c r="HL96" s="590"/>
      <c r="HM96" s="589"/>
      <c r="HN96" s="564"/>
      <c r="HO96" s="564"/>
      <c r="HP96" s="590"/>
      <c r="HQ96" s="589"/>
      <c r="HR96" s="564"/>
      <c r="HS96" s="564"/>
      <c r="HT96" s="590"/>
    </row>
    <row r="97" spans="1:228">
      <c r="A97" s="649" t="s">
        <v>24</v>
      </c>
      <c r="B97" s="670">
        <v>2035</v>
      </c>
      <c r="C97" s="671">
        <f>+E96</f>
        <v>7912807.71761363</v>
      </c>
      <c r="D97" s="671">
        <f>+C$31</f>
        <v>445791.98409090913</v>
      </c>
      <c r="E97" s="671">
        <f t="shared" si="6"/>
        <v>7467015.7335227206</v>
      </c>
      <c r="F97" s="653">
        <f>+C$28*E97+D97</f>
        <v>1305055.2053714185</v>
      </c>
      <c r="G97" s="671">
        <f>+I96</f>
        <v>2027213.1170454524</v>
      </c>
      <c r="H97" s="671">
        <f>+G$31</f>
        <v>115840.74954545456</v>
      </c>
      <c r="I97" s="671">
        <f t="shared" si="7"/>
        <v>1911372.3674999978</v>
      </c>
      <c r="J97" s="653">
        <f>+G$28*I97+H97</f>
        <v>335790.99957523169</v>
      </c>
      <c r="K97" s="672">
        <f>+M96</f>
        <v>5115780.9990340872</v>
      </c>
      <c r="L97" s="671">
        <f>+K$31</f>
        <v>305419.76113636367</v>
      </c>
      <c r="M97" s="671">
        <f t="shared" si="8"/>
        <v>4810361.2378977239</v>
      </c>
      <c r="N97" s="653">
        <f>+K$28*M97+L97</f>
        <v>858969.75223152037</v>
      </c>
      <c r="O97" s="672">
        <f>+Q96</f>
        <v>2247123.9924242385</v>
      </c>
      <c r="P97" s="671">
        <f>+O$31</f>
        <v>119316.31818181818</v>
      </c>
      <c r="Q97" s="671">
        <f t="shared" si="11"/>
        <v>2127807.6742424201</v>
      </c>
      <c r="R97" s="653">
        <f>+O$28*Q97+P97</f>
        <v>364172.75637394318</v>
      </c>
      <c r="S97" s="589">
        <f>+U96</f>
        <v>1001086.2769696937</v>
      </c>
      <c r="T97" s="564">
        <f>+S$31</f>
        <v>58315.705454545445</v>
      </c>
      <c r="U97" s="564">
        <f t="shared" si="12"/>
        <v>942770.57151514827</v>
      </c>
      <c r="V97" s="590">
        <f>+S$28*U97+T97</f>
        <v>166804.57264304371</v>
      </c>
      <c r="W97" s="589">
        <f>+Y96</f>
        <v>13057029.723484855</v>
      </c>
      <c r="X97" s="564">
        <f>+W$31</f>
        <v>693293.61363636365</v>
      </c>
      <c r="Y97" s="564">
        <f t="shared" si="13"/>
        <v>12363736.109848492</v>
      </c>
      <c r="Z97" s="590">
        <f>+W$28*Y97+X97</f>
        <v>2116044.5620662817</v>
      </c>
      <c r="AA97" s="589">
        <f>+AC96</f>
        <v>8528263.1723484863</v>
      </c>
      <c r="AB97" s="564">
        <f>+AA$31</f>
        <v>450833.29545454547</v>
      </c>
      <c r="AC97" s="564">
        <f t="shared" si="14"/>
        <v>8077429.8768939404</v>
      </c>
      <c r="AD97" s="590">
        <f>+AA$28*AC97+AB97</f>
        <v>1380339.6288251497</v>
      </c>
      <c r="AE97" s="589">
        <f>+AG96</f>
        <v>85060.897727272837</v>
      </c>
      <c r="AF97" s="564">
        <f>+AE$31</f>
        <v>4597.886363636364</v>
      </c>
      <c r="AG97" s="564">
        <f t="shared" si="15"/>
        <v>80463.011363636469</v>
      </c>
      <c r="AH97" s="590">
        <f>+AE$28*AG97+AF97</f>
        <v>13857.128449849404</v>
      </c>
      <c r="AI97" s="589">
        <f>+AK96</f>
        <v>5861690.7310606092</v>
      </c>
      <c r="AJ97" s="564">
        <f>+AI$31</f>
        <v>295547.43181818182</v>
      </c>
      <c r="AK97" s="564">
        <f t="shared" si="19"/>
        <v>5566143.2992424276</v>
      </c>
      <c r="AL97" s="590">
        <f>+AI$28*AK97+AJ97</f>
        <v>936068.67780189612</v>
      </c>
      <c r="AM97" s="589">
        <f>+AO96</f>
        <v>2161904.8557954556</v>
      </c>
      <c r="AN97" s="564">
        <f>+AM$31</f>
        <v>110866.91568181818</v>
      </c>
      <c r="AO97" s="564">
        <f t="shared" si="16"/>
        <v>2051037.9401136374</v>
      </c>
      <c r="AP97" s="590">
        <f>+AM$28*AO97+AN97</f>
        <v>346889.11387787643</v>
      </c>
      <c r="AQ97" s="589">
        <f>+AS96</f>
        <v>17872411.686136357</v>
      </c>
      <c r="AR97" s="564">
        <f>+AQ$31</f>
        <v>904932.23727272719</v>
      </c>
      <c r="AS97" s="564">
        <f t="shared" si="17"/>
        <v>16967479.448863629</v>
      </c>
      <c r="AT97" s="590">
        <f>+AQ$28*AS97+AR97</f>
        <v>2857456.7220930113</v>
      </c>
      <c r="AU97" s="671"/>
      <c r="AV97" s="671"/>
      <c r="AW97" s="671"/>
      <c r="AX97" s="653"/>
      <c r="AY97" s="671"/>
      <c r="AZ97" s="671"/>
      <c r="BA97" s="671"/>
      <c r="BB97" s="653"/>
      <c r="BC97" s="671"/>
      <c r="BD97" s="671"/>
      <c r="BE97" s="671"/>
      <c r="BF97" s="653"/>
      <c r="BG97" s="671"/>
      <c r="BH97" s="671"/>
      <c r="BI97" s="671"/>
      <c r="BJ97" s="653"/>
      <c r="BK97" s="671"/>
      <c r="BL97" s="671"/>
      <c r="BM97" s="671"/>
      <c r="BN97" s="653"/>
      <c r="BO97" s="671"/>
      <c r="BP97" s="671"/>
      <c r="BQ97" s="671"/>
      <c r="BR97" s="653"/>
      <c r="BS97" s="589">
        <f>+BU96</f>
        <v>166217.72727272753</v>
      </c>
      <c r="BT97" s="564">
        <f>+BS$31</f>
        <v>8310.886363636364</v>
      </c>
      <c r="BU97" s="564">
        <f t="shared" si="18"/>
        <v>157906.84090909117</v>
      </c>
      <c r="BV97" s="590">
        <f>+BS$28*BU97+BT97</f>
        <v>26481.939649707729</v>
      </c>
      <c r="BW97" s="589">
        <f>+BY96</f>
        <v>11681034.852272741</v>
      </c>
      <c r="BX97" s="564">
        <f>+BW$31</f>
        <v>576841.22727272729</v>
      </c>
      <c r="BY97" s="564">
        <f t="shared" si="20"/>
        <v>11104193.625000015</v>
      </c>
      <c r="BZ97" s="590">
        <f>+BW$28*BY97+BX97</f>
        <v>1854650.9339142109</v>
      </c>
      <c r="CA97" s="589">
        <f>+CC96</f>
        <v>1102286.8800000018</v>
      </c>
      <c r="CB97" s="564">
        <f>+CA$31</f>
        <v>54433.919999999998</v>
      </c>
      <c r="CC97" s="564">
        <f t="shared" si="21"/>
        <v>1047852.9600000017</v>
      </c>
      <c r="CD97" s="590">
        <f>+CA$28*CC97+CB97</f>
        <v>175015.09218043473</v>
      </c>
      <c r="CE97" s="589">
        <f>+CG96</f>
        <v>95681.839090909256</v>
      </c>
      <c r="CF97" s="564">
        <f>+CE$31</f>
        <v>4725.0290909090909</v>
      </c>
      <c r="CG97" s="564">
        <f t="shared" si="22"/>
        <v>90956.810000000172</v>
      </c>
      <c r="CH97" s="590">
        <f>+CE$28*CG97+CF97</f>
        <v>15191.839975895369</v>
      </c>
      <c r="CI97" s="589">
        <f>+CK96</f>
        <v>262707.95454545412</v>
      </c>
      <c r="CJ97" s="564">
        <f>+CI$31</f>
        <v>12362.727272727272</v>
      </c>
      <c r="CK97" s="564">
        <f t="shared" si="24"/>
        <v>250345.22727272686</v>
      </c>
      <c r="CL97" s="590">
        <f>+CI$28*CK97+CJ97</f>
        <v>41171.083126703859</v>
      </c>
      <c r="CM97" s="589">
        <f>+CO96</f>
        <v>12455059.958238643</v>
      </c>
      <c r="CN97" s="564">
        <f>+CM$31</f>
        <v>483691.64886363636</v>
      </c>
      <c r="CO97" s="564">
        <f t="shared" si="34"/>
        <v>11971368.309375007</v>
      </c>
      <c r="CP97" s="590">
        <f>+CM$28*CO97+CN97</f>
        <v>1861291.0625715915</v>
      </c>
      <c r="CQ97" s="589">
        <f>+CS96</f>
        <v>51956701.081193164</v>
      </c>
      <c r="CR97" s="564">
        <f>+CQ$31</f>
        <v>2017735.9643181816</v>
      </c>
      <c r="CS97" s="564">
        <f t="shared" si="40"/>
        <v>49938965.116874985</v>
      </c>
      <c r="CT97" s="590">
        <f>+CQ$28*CS97+CR97</f>
        <v>7764438.2032187777</v>
      </c>
      <c r="CU97" s="589">
        <f>+CW96</f>
        <v>17581079.685000025</v>
      </c>
      <c r="CV97" s="564">
        <f>+CU$31</f>
        <v>676195.37250000006</v>
      </c>
      <c r="CW97" s="564">
        <f t="shared" si="41"/>
        <v>16904884.312500026</v>
      </c>
      <c r="CX97" s="590">
        <f>+CU$28*CW97+CV97</f>
        <v>2621516.7523011244</v>
      </c>
      <c r="CY97" s="589">
        <f>+DA96</f>
        <v>19443.682386363664</v>
      </c>
      <c r="CZ97" s="564">
        <f>+CY$31</f>
        <v>733.72386363636497</v>
      </c>
      <c r="DA97" s="564">
        <f t="shared" si="42"/>
        <v>18709.958522727298</v>
      </c>
      <c r="DB97" s="590">
        <f>+CY$28*DA97+CZ97</f>
        <v>2886.7632844705331</v>
      </c>
      <c r="DC97" s="589">
        <f>+DE96</f>
        <v>1168930.1590909108</v>
      </c>
      <c r="DD97" s="564">
        <f>+DC$31</f>
        <v>44530.672727272722</v>
      </c>
      <c r="DE97" s="564">
        <f t="shared" si="43"/>
        <v>1124399.4863636382</v>
      </c>
      <c r="DF97" s="590">
        <f>+DC$28*DE97+DD97</f>
        <v>173920.39937823912</v>
      </c>
      <c r="DG97" s="589">
        <f>+DI96</f>
        <v>652946.06943181739</v>
      </c>
      <c r="DH97" s="564">
        <f>+DG$31</f>
        <v>24639.474318181816</v>
      </c>
      <c r="DI97" s="564">
        <f t="shared" si="44"/>
        <v>628306.59511363553</v>
      </c>
      <c r="DJ97" s="590">
        <f>+DG$28*DI97+DH97</f>
        <v>96941.55163206358</v>
      </c>
      <c r="DK97" s="589">
        <f>+DM96</f>
        <v>14382738.831931822</v>
      </c>
      <c r="DL97" s="564">
        <f>+DK$31</f>
        <v>549658.80886363634</v>
      </c>
      <c r="DM97" s="564">
        <f t="shared" si="45"/>
        <v>13833080.023068186</v>
      </c>
      <c r="DN97" s="590">
        <f>+DK$28*DM97+DL97</f>
        <v>2141493.7969017616</v>
      </c>
      <c r="DO97" s="589">
        <f>+DQ96</f>
        <v>532268.45496212086</v>
      </c>
      <c r="DP97" s="564">
        <f>+DO$31</f>
        <v>19592.703863636354</v>
      </c>
      <c r="DQ97" s="564">
        <f t="shared" si="134"/>
        <v>512675.7510984845</v>
      </c>
      <c r="DR97" s="590">
        <f>+DO$28*DQ97+DP97</f>
        <v>78588.617771194491</v>
      </c>
      <c r="DS97" s="589">
        <f>+DU96</f>
        <v>228133.19999999931</v>
      </c>
      <c r="DT97" s="564">
        <f>+DS$31</f>
        <v>8295.7527272726966</v>
      </c>
      <c r="DU97" s="564">
        <f t="shared" si="61"/>
        <v>219837.44727272663</v>
      </c>
      <c r="DV97" s="590">
        <f>+DS$28*DU97+DT97</f>
        <v>33593.440564409546</v>
      </c>
      <c r="DW97" s="589">
        <f>+DY96</f>
        <v>33293.052897727219</v>
      </c>
      <c r="DX97" s="564">
        <f>+DW$31</f>
        <v>1221.7634090909089</v>
      </c>
      <c r="DY97" s="564">
        <f t="shared" si="62"/>
        <v>32071.28948863631</v>
      </c>
      <c r="DZ97" s="590">
        <f>+DW$28*DY97+DX97</f>
        <v>4912.3515235509904</v>
      </c>
      <c r="EA97" s="589">
        <f>+EC96</f>
        <v>-198775.08607954677</v>
      </c>
      <c r="EB97" s="564">
        <f>+EA$31</f>
        <v>-7120.3015909091364</v>
      </c>
      <c r="EC97" s="564">
        <f t="shared" si="63"/>
        <v>-191654.78448863764</v>
      </c>
      <c r="ED97" s="590">
        <f>+EA$28*EC97+EB97</f>
        <v>-29174.883149402314</v>
      </c>
      <c r="EE97" s="589">
        <f>+EG96</f>
        <v>5651198.8218181776</v>
      </c>
      <c r="EF97" s="564">
        <f>+EE$31</f>
        <v>192108.74181818182</v>
      </c>
      <c r="EG97" s="564">
        <f t="shared" si="72"/>
        <v>5459090.0799999954</v>
      </c>
      <c r="EH97" s="590">
        <f>+EE$28*EG97+EF97</f>
        <v>820310.89041447116</v>
      </c>
      <c r="EI97" s="589">
        <f>+EK96</f>
        <v>228818.79859848472</v>
      </c>
      <c r="EJ97" s="564">
        <f>+EI$31</f>
        <v>7669.903863636363</v>
      </c>
      <c r="EK97" s="564">
        <f t="shared" si="74"/>
        <v>221148.89473484835</v>
      </c>
      <c r="EL97" s="590">
        <f>+EI$28*EK97+EJ97</f>
        <v>33118.505882697835</v>
      </c>
      <c r="EM97" s="589">
        <f>+EO96</f>
        <v>7818226.2954545487</v>
      </c>
      <c r="EN97" s="564">
        <f>+EM$31</f>
        <v>260607.54318181818</v>
      </c>
      <c r="EO97" s="564">
        <f t="shared" si="76"/>
        <v>7557618.7522727307</v>
      </c>
      <c r="EP97" s="590">
        <f>+EM$28*EO97+EN97</f>
        <v>1130296.8629904666</v>
      </c>
      <c r="EQ97" s="678">
        <f t="shared" si="94"/>
        <v>29528094.323441591</v>
      </c>
      <c r="ER97" s="652"/>
      <c r="ES97" s="674">
        <f>+EQ97</f>
        <v>29528094.323441591</v>
      </c>
      <c r="EV97" s="589"/>
      <c r="EW97" s="564"/>
      <c r="EX97" s="564"/>
      <c r="EY97" s="590"/>
      <c r="EZ97" s="589"/>
      <c r="FA97" s="564"/>
      <c r="FB97" s="564"/>
      <c r="FC97" s="590"/>
      <c r="FD97" s="589"/>
      <c r="FE97" s="564"/>
      <c r="FF97" s="564"/>
      <c r="FG97" s="590"/>
      <c r="FH97" s="589"/>
      <c r="FI97" s="564"/>
      <c r="FJ97" s="564"/>
      <c r="FK97" s="590"/>
      <c r="FL97" s="589"/>
      <c r="FM97" s="564"/>
      <c r="FN97" s="564"/>
      <c r="FO97" s="590"/>
      <c r="FP97" s="589"/>
      <c r="FQ97" s="564"/>
      <c r="FR97" s="564"/>
      <c r="FS97" s="590"/>
      <c r="FT97" s="589"/>
      <c r="FU97" s="564"/>
      <c r="FV97" s="564"/>
      <c r="FW97" s="590"/>
      <c r="FX97" s="589"/>
      <c r="FY97" s="564"/>
      <c r="FZ97" s="564"/>
      <c r="GA97" s="590"/>
      <c r="GB97" s="589"/>
      <c r="GC97" s="564"/>
      <c r="GD97" s="564"/>
      <c r="GE97" s="590"/>
      <c r="GF97" s="589"/>
      <c r="GG97" s="564"/>
      <c r="GH97" s="564"/>
      <c r="GI97" s="590"/>
      <c r="GJ97" s="589"/>
      <c r="GK97" s="564"/>
      <c r="GL97" s="564"/>
      <c r="GM97" s="590"/>
      <c r="GN97" s="589"/>
      <c r="GO97" s="564"/>
      <c r="GP97" s="564"/>
      <c r="GQ97" s="590"/>
      <c r="GR97" s="589"/>
      <c r="GS97" s="564"/>
      <c r="GT97" s="564"/>
      <c r="GU97" s="590"/>
      <c r="GV97" s="672"/>
      <c r="GW97" s="676"/>
      <c r="GX97" s="676"/>
      <c r="GY97" s="1366"/>
      <c r="GZ97" s="1367"/>
      <c r="HA97" s="1373"/>
      <c r="HB97" s="1373"/>
      <c r="HC97" s="1366"/>
      <c r="HD97" s="1367"/>
      <c r="HE97" s="1373"/>
      <c r="HF97" s="1373"/>
      <c r="HG97" s="1366"/>
      <c r="HI97" s="589"/>
      <c r="HJ97" s="564"/>
      <c r="HK97" s="564"/>
      <c r="HL97" s="590"/>
      <c r="HM97" s="589"/>
      <c r="HN97" s="564"/>
      <c r="HO97" s="564"/>
      <c r="HP97" s="590"/>
      <c r="HQ97" s="589"/>
      <c r="HR97" s="564"/>
      <c r="HS97" s="564"/>
      <c r="HT97" s="590"/>
    </row>
    <row r="98" spans="1:228">
      <c r="A98" s="649" t="s">
        <v>23</v>
      </c>
      <c r="B98" s="670">
        <v>2035</v>
      </c>
      <c r="C98" s="671">
        <f>+C97</f>
        <v>7912807.71761363</v>
      </c>
      <c r="D98" s="671">
        <f>+D97</f>
        <v>445791.98409090913</v>
      </c>
      <c r="E98" s="671">
        <f t="shared" si="6"/>
        <v>7467015.7335227206</v>
      </c>
      <c r="F98" s="653">
        <f>+C$29*E98+D98</f>
        <v>1350627.1896899194</v>
      </c>
      <c r="G98" s="671">
        <f>+G97</f>
        <v>2027213.1170454524</v>
      </c>
      <c r="H98" s="671">
        <f>+H97</f>
        <v>115840.74954545456</v>
      </c>
      <c r="I98" s="671">
        <f t="shared" si="7"/>
        <v>1911372.3674999978</v>
      </c>
      <c r="J98" s="653">
        <f>+G$29*I98+H98</f>
        <v>347456.3066627034</v>
      </c>
      <c r="K98" s="672">
        <f>+K97</f>
        <v>5115780.9990340872</v>
      </c>
      <c r="L98" s="671">
        <f>+L97</f>
        <v>305419.76113636367</v>
      </c>
      <c r="M98" s="671">
        <f t="shared" si="8"/>
        <v>4810361.2378977239</v>
      </c>
      <c r="N98" s="653">
        <f>+K$29*M98+L98</f>
        <v>888327.89405458304</v>
      </c>
      <c r="O98" s="672">
        <f>+O97</f>
        <v>2247123.9924242385</v>
      </c>
      <c r="P98" s="671">
        <f>+P97</f>
        <v>119316.31818181818</v>
      </c>
      <c r="Q98" s="671">
        <f t="shared" si="11"/>
        <v>2127807.6742424201</v>
      </c>
      <c r="R98" s="653">
        <f>+O$29*Q98+P98</f>
        <v>377158.99095866852</v>
      </c>
      <c r="S98" s="589">
        <f>+S97</f>
        <v>1001086.2769696937</v>
      </c>
      <c r="T98" s="564">
        <f>+T97</f>
        <v>58315.705454545445</v>
      </c>
      <c r="U98" s="564">
        <f t="shared" si="12"/>
        <v>942770.57151514827</v>
      </c>
      <c r="V98" s="590">
        <f>+S$29*U98+T98</f>
        <v>172558.40084353194</v>
      </c>
      <c r="W98" s="589">
        <f>+W97</f>
        <v>13057029.723484855</v>
      </c>
      <c r="X98" s="564">
        <f>+X97</f>
        <v>693293.61363636365</v>
      </c>
      <c r="Y98" s="564">
        <f t="shared" si="13"/>
        <v>12363736.109848492</v>
      </c>
      <c r="Z98" s="590">
        <f>+W$29*Y98+X98</f>
        <v>2191501.747135086</v>
      </c>
      <c r="AA98" s="589">
        <f>+AA97</f>
        <v>8528263.1723484863</v>
      </c>
      <c r="AB98" s="564">
        <f>+AB97</f>
        <v>450833.29545454547</v>
      </c>
      <c r="AC98" s="564">
        <f t="shared" si="14"/>
        <v>8077429.8768939404</v>
      </c>
      <c r="AD98" s="590">
        <f>+AA$29*AC98+AB98</f>
        <v>1429637.0350206417</v>
      </c>
      <c r="AE98" s="589">
        <f>+AE97</f>
        <v>85060.897727272837</v>
      </c>
      <c r="AF98" s="564">
        <f>+AF97</f>
        <v>4597.886363636364</v>
      </c>
      <c r="AG98" s="564">
        <f t="shared" si="15"/>
        <v>80463.011363636469</v>
      </c>
      <c r="AH98" s="590">
        <f>+AE$29*AG98+AF98</f>
        <v>14348.202691948674</v>
      </c>
      <c r="AI98" s="589">
        <f>+AI97</f>
        <v>5861690.7310606092</v>
      </c>
      <c r="AJ98" s="564">
        <f>+AJ97</f>
        <v>295547.43181818182</v>
      </c>
      <c r="AK98" s="564">
        <f t="shared" si="19"/>
        <v>5566143.2992424276</v>
      </c>
      <c r="AL98" s="590">
        <f>+AI$29*AK98+AJ98</f>
        <v>970039.43723244243</v>
      </c>
      <c r="AM98" s="589">
        <f>+AM97</f>
        <v>2161904.8557954556</v>
      </c>
      <c r="AN98" s="564">
        <f>+AN97</f>
        <v>110866.91568181818</v>
      </c>
      <c r="AO98" s="564">
        <f t="shared" si="16"/>
        <v>2051037.9401136374</v>
      </c>
      <c r="AP98" s="590">
        <f>+AM$29*AO98+AN98</f>
        <v>359406.81468087342</v>
      </c>
      <c r="AQ98" s="589">
        <f>+AQ97</f>
        <v>17872411.686136357</v>
      </c>
      <c r="AR98" s="564">
        <f>+AR97</f>
        <v>904932.23727272719</v>
      </c>
      <c r="AS98" s="564">
        <f t="shared" si="17"/>
        <v>16967479.448863629</v>
      </c>
      <c r="AT98" s="590">
        <f>+AQ$29*AS98+AR98</f>
        <v>2961011.0381629071</v>
      </c>
      <c r="AU98" s="671"/>
      <c r="AV98" s="671"/>
      <c r="AW98" s="671"/>
      <c r="AX98" s="653"/>
      <c r="AY98" s="671"/>
      <c r="AZ98" s="671"/>
      <c r="BA98" s="671"/>
      <c r="BB98" s="653"/>
      <c r="BC98" s="671"/>
      <c r="BD98" s="671"/>
      <c r="BE98" s="671"/>
      <c r="BF98" s="653"/>
      <c r="BG98" s="671"/>
      <c r="BH98" s="671"/>
      <c r="BI98" s="671"/>
      <c r="BJ98" s="653"/>
      <c r="BK98" s="671"/>
      <c r="BL98" s="671"/>
      <c r="BM98" s="671"/>
      <c r="BN98" s="653"/>
      <c r="BO98" s="671"/>
      <c r="BP98" s="671"/>
      <c r="BQ98" s="671"/>
      <c r="BR98" s="653"/>
      <c r="BS98" s="589">
        <f>+BS97</f>
        <v>166217.72727272753</v>
      </c>
      <c r="BT98" s="564">
        <f>+BT97</f>
        <v>8310.886363636364</v>
      </c>
      <c r="BU98" s="564">
        <f t="shared" si="18"/>
        <v>157906.84090909117</v>
      </c>
      <c r="BV98" s="590">
        <f>+BS$29*BU98+BT98</f>
        <v>27445.661748937615</v>
      </c>
      <c r="BW98" s="589">
        <f>+BW97</f>
        <v>11681034.852272741</v>
      </c>
      <c r="BX98" s="564">
        <f>+BX97</f>
        <v>576841.22727272729</v>
      </c>
      <c r="BY98" s="564">
        <f t="shared" si="20"/>
        <v>11104193.625000015</v>
      </c>
      <c r="BZ98" s="590">
        <f>+BW$29*BY98+BX98</f>
        <v>1854650.9339142109</v>
      </c>
      <c r="CA98" s="589">
        <f>+CA97</f>
        <v>1102286.8800000018</v>
      </c>
      <c r="CB98" s="564">
        <f>+CB97</f>
        <v>54433.919999999998</v>
      </c>
      <c r="CC98" s="564">
        <f t="shared" si="21"/>
        <v>1047852.9600000017</v>
      </c>
      <c r="CD98" s="590">
        <f>+CA$29*CC98+CB98</f>
        <v>181410.24927737663</v>
      </c>
      <c r="CE98" s="589">
        <f>+CE97</f>
        <v>95681.839090909256</v>
      </c>
      <c r="CF98" s="564">
        <f>+CF97</f>
        <v>4725.0290909090909</v>
      </c>
      <c r="CG98" s="564">
        <f t="shared" si="22"/>
        <v>90956.810000000172</v>
      </c>
      <c r="CH98" s="590">
        <f>+CE$29*CG98+CF98</f>
        <v>15746.9589775029</v>
      </c>
      <c r="CI98" s="589">
        <f>+CI97</f>
        <v>262707.95454545412</v>
      </c>
      <c r="CJ98" s="564">
        <f>+CJ97</f>
        <v>12362.727272727272</v>
      </c>
      <c r="CK98" s="564">
        <f t="shared" si="24"/>
        <v>250345.22727272686</v>
      </c>
      <c r="CL98" s="590">
        <f>+CI$29*CK98+CJ98</f>
        <v>41171.083126703859</v>
      </c>
      <c r="CM98" s="589">
        <f>+CM97</f>
        <v>12455059.958238643</v>
      </c>
      <c r="CN98" s="564">
        <f>+CN97</f>
        <v>483691.64886363636</v>
      </c>
      <c r="CO98" s="564">
        <f t="shared" si="34"/>
        <v>11971368.309375007</v>
      </c>
      <c r="CP98" s="590">
        <f>+CM$29*CO98+CN98</f>
        <v>1861291.0625715915</v>
      </c>
      <c r="CQ98" s="589">
        <f>+CQ97</f>
        <v>51956701.081193164</v>
      </c>
      <c r="CR98" s="564">
        <f>+CR97</f>
        <v>2017735.9643181816</v>
      </c>
      <c r="CS98" s="564">
        <f t="shared" si="40"/>
        <v>49938965.116874985</v>
      </c>
      <c r="CT98" s="590">
        <f>+CQ$29*CS98+CR98</f>
        <v>7764438.2032187777</v>
      </c>
      <c r="CU98" s="589">
        <f>+CU97</f>
        <v>17581079.685000025</v>
      </c>
      <c r="CV98" s="564">
        <f>+CV97</f>
        <v>676195.37250000006</v>
      </c>
      <c r="CW98" s="564">
        <f t="shared" si="41"/>
        <v>16904884.312500026</v>
      </c>
      <c r="CX98" s="590">
        <f>+CU$29*CW98+CV98</f>
        <v>2621516.7523011244</v>
      </c>
      <c r="CY98" s="589">
        <f>+CY97</f>
        <v>19443.682386363664</v>
      </c>
      <c r="CZ98" s="564">
        <f>+CZ97</f>
        <v>733.72386363636497</v>
      </c>
      <c r="DA98" s="564">
        <f t="shared" si="42"/>
        <v>18709.958522727298</v>
      </c>
      <c r="DB98" s="590">
        <f>+CY$29*DA98+CZ98</f>
        <v>2886.7632844705331</v>
      </c>
      <c r="DC98" s="589">
        <f>+DC97</f>
        <v>1168930.1590909108</v>
      </c>
      <c r="DD98" s="564">
        <f>+DD97</f>
        <v>44530.672727272722</v>
      </c>
      <c r="DE98" s="564">
        <f t="shared" si="43"/>
        <v>1124399.4863636382</v>
      </c>
      <c r="DF98" s="590">
        <f>+DC$29*DE98+DD98</f>
        <v>173920.39937823912</v>
      </c>
      <c r="DG98" s="589">
        <f>+DG97</f>
        <v>652946.06943181739</v>
      </c>
      <c r="DH98" s="564">
        <f>+DH97</f>
        <v>24639.474318181816</v>
      </c>
      <c r="DI98" s="564">
        <f t="shared" si="44"/>
        <v>628306.59511363553</v>
      </c>
      <c r="DJ98" s="590">
        <f>+DG$29*DI98+DH98</f>
        <v>96941.55163206358</v>
      </c>
      <c r="DK98" s="589">
        <f>+DK97</f>
        <v>14382738.831931822</v>
      </c>
      <c r="DL98" s="564">
        <f>+DL97</f>
        <v>549658.80886363634</v>
      </c>
      <c r="DM98" s="564">
        <f t="shared" si="45"/>
        <v>13833080.023068186</v>
      </c>
      <c r="DN98" s="590">
        <f>+DK$29*DM98+DL98</f>
        <v>2141493.7969017616</v>
      </c>
      <c r="DO98" s="589">
        <f>+DO97</f>
        <v>532268.45496212086</v>
      </c>
      <c r="DP98" s="564">
        <f>+DP97</f>
        <v>19592.703863636354</v>
      </c>
      <c r="DQ98" s="564">
        <f t="shared" si="134"/>
        <v>512675.7510984845</v>
      </c>
      <c r="DR98" s="590">
        <f>+DO$29*DQ98+DP98</f>
        <v>78588.617771194491</v>
      </c>
      <c r="DS98" s="589">
        <f>+DS97</f>
        <v>228133.19999999931</v>
      </c>
      <c r="DT98" s="564">
        <f>+DT97</f>
        <v>8295.7527272726966</v>
      </c>
      <c r="DU98" s="564">
        <f t="shared" si="61"/>
        <v>219837.44727272663</v>
      </c>
      <c r="DV98" s="590">
        <f>+DS$29*DU98+DT98</f>
        <v>33593.440564409546</v>
      </c>
      <c r="DW98" s="589">
        <f>+DW97</f>
        <v>33293.052897727219</v>
      </c>
      <c r="DX98" s="564">
        <f>+DX97</f>
        <v>1221.7634090909089</v>
      </c>
      <c r="DY98" s="564">
        <f t="shared" si="62"/>
        <v>32071.28948863631</v>
      </c>
      <c r="DZ98" s="590">
        <f>+DW$29*DY98+DX98</f>
        <v>4912.3515235509904</v>
      </c>
      <c r="EA98" s="589">
        <f>+EA97</f>
        <v>-198775.08607954677</v>
      </c>
      <c r="EB98" s="564">
        <f>+EB97</f>
        <v>-7120.3015909091364</v>
      </c>
      <c r="EC98" s="564">
        <f t="shared" si="63"/>
        <v>-191654.78448863764</v>
      </c>
      <c r="ED98" s="590">
        <f>+EA$29*EC98+EB98</f>
        <v>-29174.883149402314</v>
      </c>
      <c r="EE98" s="589">
        <f>+EE97</f>
        <v>5651198.8218181776</v>
      </c>
      <c r="EF98" s="564">
        <f>+EF97</f>
        <v>192108.74181818182</v>
      </c>
      <c r="EG98" s="564">
        <f t="shared" si="72"/>
        <v>5459090.0799999954</v>
      </c>
      <c r="EH98" s="590">
        <f>+EE$29*EG98+EF98</f>
        <v>820310.89041447116</v>
      </c>
      <c r="EI98" s="589">
        <f>+EI97</f>
        <v>228818.79859848472</v>
      </c>
      <c r="EJ98" s="564">
        <f>+EJ97</f>
        <v>7669.903863636363</v>
      </c>
      <c r="EK98" s="564">
        <f t="shared" si="74"/>
        <v>221148.89473484835</v>
      </c>
      <c r="EL98" s="590">
        <f>+EI$29*EK98+EJ98</f>
        <v>33118.505882697835</v>
      </c>
      <c r="EM98" s="589">
        <f>+EM97</f>
        <v>7818226.2954545487</v>
      </c>
      <c r="EN98" s="564">
        <f>+EN97</f>
        <v>260607.54318181818</v>
      </c>
      <c r="EO98" s="564">
        <f t="shared" si="76"/>
        <v>7557618.7522727307</v>
      </c>
      <c r="EP98" s="590">
        <f>+EM$29*EO98+EN98</f>
        <v>1130296.8629904666</v>
      </c>
      <c r="EQ98" s="678">
        <f t="shared" si="94"/>
        <v>29916632.259463456</v>
      </c>
      <c r="ER98" s="675">
        <f>+EQ98</f>
        <v>29916632.259463456</v>
      </c>
      <c r="ES98" s="648"/>
      <c r="EV98" s="589"/>
      <c r="EW98" s="564"/>
      <c r="EX98" s="564"/>
      <c r="EY98" s="590"/>
      <c r="EZ98" s="589"/>
      <c r="FA98" s="564"/>
      <c r="FB98" s="564"/>
      <c r="FC98" s="590"/>
      <c r="FD98" s="589"/>
      <c r="FE98" s="564"/>
      <c r="FF98" s="564"/>
      <c r="FG98" s="590"/>
      <c r="FH98" s="589"/>
      <c r="FI98" s="564"/>
      <c r="FJ98" s="564"/>
      <c r="FK98" s="590"/>
      <c r="FL98" s="589"/>
      <c r="FM98" s="564"/>
      <c r="FN98" s="564"/>
      <c r="FO98" s="590"/>
      <c r="FP98" s="589"/>
      <c r="FQ98" s="564"/>
      <c r="FR98" s="564"/>
      <c r="FS98" s="590"/>
      <c r="FT98" s="589"/>
      <c r="FU98" s="564"/>
      <c r="FV98" s="564"/>
      <c r="FW98" s="590"/>
      <c r="FX98" s="589"/>
      <c r="FY98" s="564"/>
      <c r="FZ98" s="564"/>
      <c r="GA98" s="590"/>
      <c r="GB98" s="589"/>
      <c r="GC98" s="564"/>
      <c r="GD98" s="564"/>
      <c r="GE98" s="590"/>
      <c r="GF98" s="589"/>
      <c r="GG98" s="564"/>
      <c r="GH98" s="564"/>
      <c r="GI98" s="590"/>
      <c r="GJ98" s="589"/>
      <c r="GK98" s="564"/>
      <c r="GL98" s="564"/>
      <c r="GM98" s="590"/>
      <c r="GN98" s="589"/>
      <c r="GO98" s="564"/>
      <c r="GP98" s="564"/>
      <c r="GQ98" s="590"/>
      <c r="GR98" s="589"/>
      <c r="GS98" s="564"/>
      <c r="GT98" s="564"/>
      <c r="GU98" s="590"/>
      <c r="GV98" s="672"/>
      <c r="GW98" s="676"/>
      <c r="GX98" s="676"/>
      <c r="GY98" s="1366"/>
      <c r="GZ98" s="1367"/>
      <c r="HA98" s="1373"/>
      <c r="HB98" s="1373"/>
      <c r="HC98" s="1366"/>
      <c r="HD98" s="1367"/>
      <c r="HE98" s="1373"/>
      <c r="HF98" s="1373"/>
      <c r="HG98" s="1366"/>
      <c r="HI98" s="589"/>
      <c r="HJ98" s="564"/>
      <c r="HK98" s="564"/>
      <c r="HL98" s="590"/>
      <c r="HM98" s="589"/>
      <c r="HN98" s="564"/>
      <c r="HO98" s="564"/>
      <c r="HP98" s="590"/>
      <c r="HQ98" s="589"/>
      <c r="HR98" s="564"/>
      <c r="HS98" s="564"/>
      <c r="HT98" s="590"/>
    </row>
    <row r="99" spans="1:228">
      <c r="A99" s="649" t="s">
        <v>24</v>
      </c>
      <c r="B99" s="670">
        <v>2036</v>
      </c>
      <c r="C99" s="671">
        <f>+E98</f>
        <v>7467015.7335227206</v>
      </c>
      <c r="D99" s="671">
        <f>+C$31</f>
        <v>445791.98409090913</v>
      </c>
      <c r="E99" s="671">
        <f t="shared" si="6"/>
        <v>7021223.7494318113</v>
      </c>
      <c r="F99" s="653">
        <f>+C$28*E99+D99</f>
        <v>1253755.9085785523</v>
      </c>
      <c r="G99" s="671">
        <f>+I98</f>
        <v>1911372.3674999978</v>
      </c>
      <c r="H99" s="671">
        <f>+G$31</f>
        <v>115840.74954545456</v>
      </c>
      <c r="I99" s="671">
        <f t="shared" si="7"/>
        <v>1795531.6179545433</v>
      </c>
      <c r="J99" s="653">
        <f>+G$28*I99+H99</f>
        <v>322460.68139160878</v>
      </c>
      <c r="K99" s="672">
        <f>+M98</f>
        <v>4810361.2378977239</v>
      </c>
      <c r="L99" s="671">
        <f>+K$31</f>
        <v>305419.76113636367</v>
      </c>
      <c r="M99" s="671">
        <f t="shared" si="8"/>
        <v>4504941.4767613607</v>
      </c>
      <c r="N99" s="653">
        <f>+K$28*M99+L99</f>
        <v>823823.72105087561</v>
      </c>
      <c r="O99" s="672">
        <f>+Q98</f>
        <v>2127807.6742424201</v>
      </c>
      <c r="P99" s="671">
        <f>+O$31</f>
        <v>119316.31818181818</v>
      </c>
      <c r="Q99" s="671">
        <f t="shared" si="11"/>
        <v>2008491.356060602</v>
      </c>
      <c r="R99" s="653">
        <f>+O$28*Q99+P99</f>
        <v>350442.48881176789</v>
      </c>
      <c r="S99" s="589">
        <f>+U98</f>
        <v>942770.57151514827</v>
      </c>
      <c r="T99" s="564">
        <f>+S$31</f>
        <v>58315.705454545445</v>
      </c>
      <c r="U99" s="564">
        <f t="shared" si="12"/>
        <v>884454.86606060283</v>
      </c>
      <c r="V99" s="590">
        <f>+S$28*U99+T99</f>
        <v>160093.92106437369</v>
      </c>
      <c r="W99" s="589">
        <f>+Y98</f>
        <v>12363736.109848492</v>
      </c>
      <c r="X99" s="564">
        <f>+W$31</f>
        <v>693293.61363636365</v>
      </c>
      <c r="Y99" s="564">
        <f t="shared" si="13"/>
        <v>11670442.496212129</v>
      </c>
      <c r="Z99" s="590">
        <f>+W$28*Y99+X99</f>
        <v>2036264.1350515201</v>
      </c>
      <c r="AA99" s="589">
        <f>+AC98</f>
        <v>8077429.8768939404</v>
      </c>
      <c r="AB99" s="564">
        <f>+AA$31</f>
        <v>450833.29545454547</v>
      </c>
      <c r="AC99" s="564">
        <f t="shared" si="14"/>
        <v>7626596.5814393945</v>
      </c>
      <c r="AD99" s="590">
        <f>+AA$28*AC99+AB99</f>
        <v>1328460.2055672554</v>
      </c>
      <c r="AE99" s="589">
        <f>+AG98</f>
        <v>80463.011363636469</v>
      </c>
      <c r="AF99" s="564">
        <f>+AE$31</f>
        <v>4597.886363636364</v>
      </c>
      <c r="AG99" s="564">
        <f t="shared" si="15"/>
        <v>75865.125000000102</v>
      </c>
      <c r="AH99" s="590">
        <f>+AE$28*AG99+AF99</f>
        <v>13328.028902065802</v>
      </c>
      <c r="AI99" s="589">
        <f>+AK98</f>
        <v>5566143.2992424276</v>
      </c>
      <c r="AJ99" s="564">
        <f>+AI$31</f>
        <v>295547.43181818182</v>
      </c>
      <c r="AK99" s="564">
        <f t="shared" si="19"/>
        <v>5270595.8674242459</v>
      </c>
      <c r="AL99" s="590">
        <f>+AI$28*AK99+AJ99</f>
        <v>902058.70013904409</v>
      </c>
      <c r="AM99" s="589">
        <f>+AO98</f>
        <v>2051037.9401136374</v>
      </c>
      <c r="AN99" s="564">
        <f>+AM$31</f>
        <v>110866.91568181818</v>
      </c>
      <c r="AO99" s="564">
        <f t="shared" si="16"/>
        <v>1940171.0244318191</v>
      </c>
      <c r="AP99" s="590">
        <f>+AM$28*AO99+AN99</f>
        <v>334131.15721863002</v>
      </c>
      <c r="AQ99" s="589">
        <f>+AS98</f>
        <v>16967479.448863629</v>
      </c>
      <c r="AR99" s="564">
        <f>+AQ$31</f>
        <v>904932.23727272719</v>
      </c>
      <c r="AS99" s="564">
        <f t="shared" si="17"/>
        <v>16062547.211590903</v>
      </c>
      <c r="AT99" s="590">
        <f>+AQ$28*AS99+AR99</f>
        <v>2753322.0829025963</v>
      </c>
      <c r="AU99" s="671"/>
      <c r="AV99" s="671"/>
      <c r="AW99" s="671"/>
      <c r="AX99" s="653"/>
      <c r="AY99" s="671"/>
      <c r="AZ99" s="671"/>
      <c r="BA99" s="671"/>
      <c r="BB99" s="653"/>
      <c r="BC99" s="671"/>
      <c r="BD99" s="671"/>
      <c r="BE99" s="671"/>
      <c r="BF99" s="653"/>
      <c r="BG99" s="671"/>
      <c r="BH99" s="671"/>
      <c r="BI99" s="671"/>
      <c r="BJ99" s="653"/>
      <c r="BK99" s="671"/>
      <c r="BL99" s="671"/>
      <c r="BM99" s="671"/>
      <c r="BN99" s="653"/>
      <c r="BO99" s="671"/>
      <c r="BP99" s="671"/>
      <c r="BQ99" s="671"/>
      <c r="BR99" s="653"/>
      <c r="BS99" s="589">
        <f>+BU98</f>
        <v>157906.84090909117</v>
      </c>
      <c r="BT99" s="564">
        <f>+BS$31</f>
        <v>8310.886363636364</v>
      </c>
      <c r="BU99" s="564">
        <f t="shared" si="18"/>
        <v>149595.95454545482</v>
      </c>
      <c r="BV99" s="590">
        <f>+BS$28*BU99+BT99</f>
        <v>25525.568424125027</v>
      </c>
      <c r="BW99" s="589">
        <f>+BY98</f>
        <v>11104193.625000015</v>
      </c>
      <c r="BX99" s="564">
        <f>+BW$31</f>
        <v>576841.22727272729</v>
      </c>
      <c r="BY99" s="564">
        <f t="shared" si="20"/>
        <v>10527352.397727288</v>
      </c>
      <c r="BZ99" s="590">
        <f>+BW$28*BY99+BX99</f>
        <v>1788271.2088938744</v>
      </c>
      <c r="CA99" s="589">
        <f>+CC98</f>
        <v>1047852.9600000017</v>
      </c>
      <c r="CB99" s="564">
        <f>+CA$31</f>
        <v>54433.919999999998</v>
      </c>
      <c r="CC99" s="564">
        <f t="shared" si="21"/>
        <v>993419.04000000167</v>
      </c>
      <c r="CD99" s="590">
        <f>+CA$28*CC99+CB99</f>
        <v>168751.1351840485</v>
      </c>
      <c r="CE99" s="589">
        <f>+CG98</f>
        <v>90956.810000000172</v>
      </c>
      <c r="CF99" s="564">
        <f>+CE$31</f>
        <v>4725.0290909090909</v>
      </c>
      <c r="CG99" s="564">
        <f t="shared" si="22"/>
        <v>86231.780909091089</v>
      </c>
      <c r="CH99" s="590">
        <f>+CE$28*CG99+CF99</f>
        <v>14648.109540311667</v>
      </c>
      <c r="CI99" s="589">
        <f>+CK98</f>
        <v>250345.22727272686</v>
      </c>
      <c r="CJ99" s="564">
        <f>+CI$31</f>
        <v>12362.727272727272</v>
      </c>
      <c r="CK99" s="564">
        <f t="shared" si="24"/>
        <v>237982.49999999959</v>
      </c>
      <c r="CL99" s="590">
        <f>+CI$28*CK99+CJ99</f>
        <v>39748.448269717359</v>
      </c>
      <c r="CM99" s="589">
        <f>+CO98</f>
        <v>11971368.309375007</v>
      </c>
      <c r="CN99" s="564">
        <f>+CM$31</f>
        <v>483691.64886363636</v>
      </c>
      <c r="CO99" s="564">
        <f t="shared" si="34"/>
        <v>11487676.660511371</v>
      </c>
      <c r="CP99" s="590">
        <f>+CM$28*CO99+CN99</f>
        <v>1805630.4801995528</v>
      </c>
      <c r="CQ99" s="589">
        <f>+CS98</f>
        <v>49938965.116874985</v>
      </c>
      <c r="CR99" s="564">
        <f>+CQ$31</f>
        <v>2017735.9643181816</v>
      </c>
      <c r="CS99" s="564">
        <f t="shared" si="40"/>
        <v>47921229.152556807</v>
      </c>
      <c r="CT99" s="590">
        <f>+CQ$28*CS99+CR99</f>
        <v>7532248.2137682484</v>
      </c>
      <c r="CU99" s="589">
        <f>+CW98</f>
        <v>16904884.312500026</v>
      </c>
      <c r="CV99" s="564">
        <f>+CU$31</f>
        <v>676195.37250000006</v>
      </c>
      <c r="CW99" s="564">
        <f t="shared" si="41"/>
        <v>16228688.940000026</v>
      </c>
      <c r="CX99" s="590">
        <f>+CU$28*CW99+CV99</f>
        <v>2543703.8971090792</v>
      </c>
      <c r="CY99" s="589">
        <f>+DA98</f>
        <v>18709.958522727298</v>
      </c>
      <c r="CZ99" s="564">
        <f>+CY$31</f>
        <v>733.72386363636497</v>
      </c>
      <c r="DA99" s="564">
        <f t="shared" si="42"/>
        <v>17976.234659090933</v>
      </c>
      <c r="DB99" s="590">
        <f>+CY$28*DA99+CZ99</f>
        <v>2802.330366006448</v>
      </c>
      <c r="DC99" s="589">
        <f>+DE98</f>
        <v>1124399.4863636382</v>
      </c>
      <c r="DD99" s="564">
        <f>+DC$31</f>
        <v>44530.672727272722</v>
      </c>
      <c r="DE99" s="564">
        <f t="shared" si="43"/>
        <v>1079868.8136363656</v>
      </c>
      <c r="DF99" s="590">
        <f>+DC$28*DE99+DD99</f>
        <v>168796.05376829987</v>
      </c>
      <c r="DG99" s="589">
        <f>+DI98</f>
        <v>628306.59511363553</v>
      </c>
      <c r="DH99" s="564">
        <f>+DG$31</f>
        <v>24639.474318181816</v>
      </c>
      <c r="DI99" s="564">
        <f t="shared" si="44"/>
        <v>603667.12079545367</v>
      </c>
      <c r="DJ99" s="590">
        <f>+DG$28*DI99+DH99</f>
        <v>94106.17605112704</v>
      </c>
      <c r="DK99" s="589">
        <f>+DM98</f>
        <v>13833080.023068186</v>
      </c>
      <c r="DL99" s="564">
        <f>+DK$31</f>
        <v>549658.80886363634</v>
      </c>
      <c r="DM99" s="564">
        <f t="shared" si="45"/>
        <v>13283421.21420455</v>
      </c>
      <c r="DN99" s="590">
        <f>+DK$28*DM99+DL99</f>
        <v>2078242.0755227634</v>
      </c>
      <c r="DO99" s="589">
        <f>+DQ98</f>
        <v>512675.7510984845</v>
      </c>
      <c r="DP99" s="564">
        <f>+DO$31</f>
        <v>19592.703863636354</v>
      </c>
      <c r="DQ99" s="564">
        <f t="shared" si="134"/>
        <v>493083.04723484814</v>
      </c>
      <c r="DR99" s="590">
        <f>+DO$28*DQ99+DP99</f>
        <v>76333.996857529841</v>
      </c>
      <c r="DS99" s="589">
        <f>+DU98</f>
        <v>219837.44727272663</v>
      </c>
      <c r="DT99" s="564">
        <f>+DS$31</f>
        <v>8295.7527272726966</v>
      </c>
      <c r="DU99" s="564">
        <f t="shared" si="61"/>
        <v>211541.69454545394</v>
      </c>
      <c r="DV99" s="590">
        <f>+DS$28*DU99+DT99</f>
        <v>32638.810834706273</v>
      </c>
      <c r="DW99" s="589">
        <f>+DY98</f>
        <v>32071.28948863631</v>
      </c>
      <c r="DX99" s="564">
        <f>+DW$31</f>
        <v>1221.7634090909089</v>
      </c>
      <c r="DY99" s="564">
        <f t="shared" si="62"/>
        <v>30849.526079545401</v>
      </c>
      <c r="DZ99" s="590">
        <f>+DW$28*DY99+DX99</f>
        <v>4771.757690619178</v>
      </c>
      <c r="EA99" s="589">
        <f>+EC98</f>
        <v>-191654.78448863764</v>
      </c>
      <c r="EB99" s="564">
        <f>+EA$31</f>
        <v>-7120.3015909091364</v>
      </c>
      <c r="EC99" s="564">
        <f t="shared" si="63"/>
        <v>-184534.48289772851</v>
      </c>
      <c r="ED99" s="590">
        <f>+EA$28*EC99+EB99</f>
        <v>-28355.517890263251</v>
      </c>
      <c r="EE99" s="589">
        <f>+EG98</f>
        <v>5459090.0799999954</v>
      </c>
      <c r="EF99" s="564">
        <f>+EE$31</f>
        <v>192108.74181818182</v>
      </c>
      <c r="EG99" s="564">
        <f t="shared" si="72"/>
        <v>5266981.3381818132</v>
      </c>
      <c r="EH99" s="590">
        <f>+EE$28*EG99+EF99</f>
        <v>798204.06993600924</v>
      </c>
      <c r="EI99" s="589">
        <f>+EK98</f>
        <v>221148.89473484835</v>
      </c>
      <c r="EJ99" s="564">
        <f>+EI$31</f>
        <v>7669.903863636363</v>
      </c>
      <c r="EK99" s="564">
        <f t="shared" si="74"/>
        <v>213478.99087121198</v>
      </c>
      <c r="EL99" s="590">
        <f>+EI$28*EK99+EJ99</f>
        <v>32235.895408048302</v>
      </c>
      <c r="EM99" s="589">
        <f>+EO98</f>
        <v>7557618.7522727307</v>
      </c>
      <c r="EN99" s="564">
        <f>+EM$31</f>
        <v>260607.54318181818</v>
      </c>
      <c r="EO99" s="564">
        <f t="shared" si="76"/>
        <v>7297011.2090909127</v>
      </c>
      <c r="EP99" s="590">
        <f>+EM$28*EO99+EN99</f>
        <v>1100307.5761005133</v>
      </c>
      <c r="EQ99" s="678">
        <f t="shared" si="94"/>
        <v>28556751.316712614</v>
      </c>
      <c r="ER99" s="652"/>
      <c r="ES99" s="674">
        <f>+EQ99</f>
        <v>28556751.316712614</v>
      </c>
      <c r="EV99" s="589"/>
      <c r="EW99" s="564"/>
      <c r="EX99" s="564"/>
      <c r="EY99" s="590"/>
      <c r="EZ99" s="589"/>
      <c r="FA99" s="564"/>
      <c r="FB99" s="564"/>
      <c r="FC99" s="590"/>
      <c r="FD99" s="589"/>
      <c r="FE99" s="564"/>
      <c r="FF99" s="564"/>
      <c r="FG99" s="590"/>
      <c r="FH99" s="589"/>
      <c r="FI99" s="564"/>
      <c r="FJ99" s="564"/>
      <c r="FK99" s="590"/>
      <c r="FL99" s="589"/>
      <c r="FM99" s="564"/>
      <c r="FN99" s="564"/>
      <c r="FO99" s="590"/>
      <c r="FP99" s="589"/>
      <c r="FQ99" s="564"/>
      <c r="FR99" s="564"/>
      <c r="FS99" s="590"/>
      <c r="FT99" s="589"/>
      <c r="FU99" s="564"/>
      <c r="FV99" s="564"/>
      <c r="FW99" s="590"/>
      <c r="FX99" s="589"/>
      <c r="FY99" s="564"/>
      <c r="FZ99" s="564"/>
      <c r="GA99" s="590"/>
      <c r="GB99" s="589"/>
      <c r="GC99" s="564"/>
      <c r="GD99" s="564"/>
      <c r="GE99" s="590"/>
      <c r="GF99" s="589"/>
      <c r="GG99" s="564"/>
      <c r="GH99" s="564"/>
      <c r="GI99" s="590"/>
      <c r="GJ99" s="589"/>
      <c r="GK99" s="564"/>
      <c r="GL99" s="564"/>
      <c r="GM99" s="590"/>
      <c r="GN99" s="589"/>
      <c r="GO99" s="564"/>
      <c r="GP99" s="564"/>
      <c r="GQ99" s="590"/>
      <c r="GR99" s="589"/>
      <c r="GS99" s="564"/>
      <c r="GT99" s="564"/>
      <c r="GU99" s="590"/>
      <c r="GV99" s="672"/>
      <c r="GW99" s="676"/>
      <c r="GX99" s="676"/>
      <c r="GY99" s="1366"/>
      <c r="GZ99" s="1367"/>
      <c r="HA99" s="1373"/>
      <c r="HB99" s="1373"/>
      <c r="HC99" s="1366"/>
      <c r="HD99" s="1367"/>
      <c r="HE99" s="1373"/>
      <c r="HF99" s="1373"/>
      <c r="HG99" s="1366"/>
      <c r="HI99" s="589"/>
      <c r="HJ99" s="564"/>
      <c r="HK99" s="564"/>
      <c r="HL99" s="590"/>
      <c r="HM99" s="589"/>
      <c r="HN99" s="564"/>
      <c r="HO99" s="564"/>
      <c r="HP99" s="590"/>
      <c r="HQ99" s="589"/>
      <c r="HR99" s="564"/>
      <c r="HS99" s="564"/>
      <c r="HT99" s="590"/>
    </row>
    <row r="100" spans="1:228">
      <c r="A100" s="649" t="s">
        <v>23</v>
      </c>
      <c r="B100" s="670">
        <v>2036</v>
      </c>
      <c r="C100" s="671">
        <f>+C99</f>
        <v>7467015.7335227206</v>
      </c>
      <c r="D100" s="671">
        <f>+D99</f>
        <v>445791.98409090913</v>
      </c>
      <c r="E100" s="671">
        <f t="shared" si="6"/>
        <v>7021223.7494318113</v>
      </c>
      <c r="F100" s="653">
        <f>+C$29*E100+D100</f>
        <v>1296607.1774153516</v>
      </c>
      <c r="G100" s="671">
        <f>+G99</f>
        <v>1911372.3674999978</v>
      </c>
      <c r="H100" s="671">
        <f>+H99</f>
        <v>115840.74954545456</v>
      </c>
      <c r="I100" s="671">
        <f t="shared" si="7"/>
        <v>1795531.6179545433</v>
      </c>
      <c r="J100" s="653">
        <f>+G$29*I100+H100</f>
        <v>333419.00017074891</v>
      </c>
      <c r="K100" s="672">
        <f>+K99</f>
        <v>4810361.2378977239</v>
      </c>
      <c r="L100" s="671">
        <f>+L99</f>
        <v>305419.76113636367</v>
      </c>
      <c r="M100" s="671">
        <f t="shared" si="8"/>
        <v>4504941.4767613607</v>
      </c>
      <c r="N100" s="653">
        <f>+K$29*M100+L100</f>
        <v>851317.85386929917</v>
      </c>
      <c r="O100" s="672">
        <f>+O99</f>
        <v>2127807.6742424201</v>
      </c>
      <c r="P100" s="671">
        <f>+P99</f>
        <v>119316.31818181818</v>
      </c>
      <c r="Q100" s="671">
        <f t="shared" si="11"/>
        <v>2008491.356060602</v>
      </c>
      <c r="R100" s="653">
        <f>+O$29*Q100+P100</f>
        <v>362700.52332632174</v>
      </c>
      <c r="S100" s="589">
        <f>+S99</f>
        <v>942770.57151514827</v>
      </c>
      <c r="T100" s="564">
        <f>+T99</f>
        <v>58315.705454545445</v>
      </c>
      <c r="U100" s="564">
        <f t="shared" si="12"/>
        <v>884454.86606060283</v>
      </c>
      <c r="V100" s="590">
        <f>+S$29*U100+T100</f>
        <v>165491.84236586263</v>
      </c>
      <c r="W100" s="589">
        <f>+W99</f>
        <v>12363736.109848492</v>
      </c>
      <c r="X100" s="564">
        <f>+X99</f>
        <v>693293.61363636365</v>
      </c>
      <c r="Y100" s="564">
        <f t="shared" si="13"/>
        <v>11670442.496212129</v>
      </c>
      <c r="Z100" s="590">
        <f>+W$29*Y100+X100</f>
        <v>2107490.0760977743</v>
      </c>
      <c r="AA100" s="589">
        <f>+AA99</f>
        <v>8077429.8768939404</v>
      </c>
      <c r="AB100" s="564">
        <f>+AB99</f>
        <v>450833.29545454547</v>
      </c>
      <c r="AC100" s="564">
        <f t="shared" si="14"/>
        <v>7626596.5814393945</v>
      </c>
      <c r="AD100" s="590">
        <f>+AA$29*AC100+AB100</f>
        <v>1375006.1286262551</v>
      </c>
      <c r="AE100" s="589">
        <f>+AE99</f>
        <v>80463.011363636469</v>
      </c>
      <c r="AF100" s="564">
        <f>+AF99</f>
        <v>4597.886363636364</v>
      </c>
      <c r="AG100" s="564">
        <f t="shared" si="15"/>
        <v>75865.125000000102</v>
      </c>
      <c r="AH100" s="590">
        <f>+AE$29*AG100+AF100</f>
        <v>13791.041758902256</v>
      </c>
      <c r="AI100" s="589">
        <f>+AI99</f>
        <v>5566143.2992424276</v>
      </c>
      <c r="AJ100" s="564">
        <f>+AJ99</f>
        <v>295547.43181818182</v>
      </c>
      <c r="AK100" s="564">
        <f t="shared" si="19"/>
        <v>5270595.8674242459</v>
      </c>
      <c r="AL100" s="590">
        <f>+AI$29*AK100+AJ100</f>
        <v>934225.70243168529</v>
      </c>
      <c r="AM100" s="589">
        <f>+AM99</f>
        <v>2051037.9401136374</v>
      </c>
      <c r="AN100" s="564">
        <f>+AN99</f>
        <v>110866.91568181818</v>
      </c>
      <c r="AO100" s="564">
        <f t="shared" si="16"/>
        <v>1940171.0244318191</v>
      </c>
      <c r="AP100" s="590">
        <f>+AM$29*AO100+AN100</f>
        <v>345972.22554578935</v>
      </c>
      <c r="AQ100" s="589">
        <f>+AQ99</f>
        <v>16967479.448863629</v>
      </c>
      <c r="AR100" s="564">
        <f>+AR99</f>
        <v>904932.23727272719</v>
      </c>
      <c r="AS100" s="564">
        <f t="shared" si="17"/>
        <v>16062547.211590903</v>
      </c>
      <c r="AT100" s="590">
        <f>+AQ$29*AS100+AR100</f>
        <v>2851353.5021154312</v>
      </c>
      <c r="AU100" s="671"/>
      <c r="AV100" s="671"/>
      <c r="AW100" s="671"/>
      <c r="AX100" s="653"/>
      <c r="AY100" s="671"/>
      <c r="AZ100" s="671"/>
      <c r="BA100" s="671"/>
      <c r="BB100" s="653"/>
      <c r="BC100" s="671"/>
      <c r="BD100" s="671"/>
      <c r="BE100" s="671"/>
      <c r="BF100" s="653"/>
      <c r="BG100" s="671"/>
      <c r="BH100" s="671"/>
      <c r="BI100" s="671"/>
      <c r="BJ100" s="653"/>
      <c r="BK100" s="671"/>
      <c r="BL100" s="671"/>
      <c r="BM100" s="671"/>
      <c r="BN100" s="653"/>
      <c r="BO100" s="671"/>
      <c r="BP100" s="671"/>
      <c r="BQ100" s="671"/>
      <c r="BR100" s="653"/>
      <c r="BS100" s="589">
        <f>+BS99</f>
        <v>157906.84090909117</v>
      </c>
      <c r="BT100" s="564">
        <f>+BT99</f>
        <v>8310.886363636364</v>
      </c>
      <c r="BU100" s="564">
        <f t="shared" si="18"/>
        <v>149595.95454545482</v>
      </c>
      <c r="BV100" s="590">
        <f>+BS$29*BU100+BT100</f>
        <v>26438.568307605972</v>
      </c>
      <c r="BW100" s="589">
        <f>+BW99</f>
        <v>11104193.625000015</v>
      </c>
      <c r="BX100" s="564">
        <f>+BX99</f>
        <v>576841.22727272729</v>
      </c>
      <c r="BY100" s="564">
        <f t="shared" si="20"/>
        <v>10527352.397727288</v>
      </c>
      <c r="BZ100" s="590">
        <f>+BW$29*BY100+BX100</f>
        <v>1788271.2088938744</v>
      </c>
      <c r="CA100" s="589">
        <f>+CA99</f>
        <v>1047852.9600000017</v>
      </c>
      <c r="CB100" s="564">
        <f>+CB99</f>
        <v>54433.919999999998</v>
      </c>
      <c r="CC100" s="564">
        <f t="shared" si="21"/>
        <v>993419.04000000167</v>
      </c>
      <c r="CD100" s="590">
        <f>+CA$29*CC100+CB100</f>
        <v>174814.07632790256</v>
      </c>
      <c r="CE100" s="589">
        <f>+CE99</f>
        <v>90956.810000000172</v>
      </c>
      <c r="CF100" s="564">
        <f>+CF99</f>
        <v>4725.0290909090909</v>
      </c>
      <c r="CG100" s="564">
        <f t="shared" si="22"/>
        <v>86231.780909091089</v>
      </c>
      <c r="CH100" s="590">
        <f>+CE$29*CG100+CF100</f>
        <v>15174.391191186342</v>
      </c>
      <c r="CI100" s="589">
        <f>+CI99</f>
        <v>250345.22727272686</v>
      </c>
      <c r="CJ100" s="564">
        <f>+CJ99</f>
        <v>12362.727272727272</v>
      </c>
      <c r="CK100" s="564">
        <f t="shared" si="24"/>
        <v>237982.49999999959</v>
      </c>
      <c r="CL100" s="590">
        <f>+CI$29*CK100+CJ100</f>
        <v>39748.448269717359</v>
      </c>
      <c r="CM100" s="589">
        <f>+CM99</f>
        <v>11971368.309375007</v>
      </c>
      <c r="CN100" s="564">
        <f>+CN99</f>
        <v>483691.64886363636</v>
      </c>
      <c r="CO100" s="564">
        <f t="shared" si="34"/>
        <v>11487676.660511371</v>
      </c>
      <c r="CP100" s="590">
        <f>+CM$29*CO100+CN100</f>
        <v>1805630.4801995528</v>
      </c>
      <c r="CQ100" s="589">
        <f>+CQ99</f>
        <v>49938965.116874985</v>
      </c>
      <c r="CR100" s="564">
        <f>+CR99</f>
        <v>2017735.9643181816</v>
      </c>
      <c r="CS100" s="564">
        <f t="shared" si="40"/>
        <v>47921229.152556807</v>
      </c>
      <c r="CT100" s="590">
        <f>+CQ$29*CS100+CR100</f>
        <v>7532248.2137682484</v>
      </c>
      <c r="CU100" s="589">
        <f>+CU99</f>
        <v>16904884.312500026</v>
      </c>
      <c r="CV100" s="564">
        <f>+CV99</f>
        <v>676195.37250000006</v>
      </c>
      <c r="CW100" s="564">
        <f t="shared" si="41"/>
        <v>16228688.940000026</v>
      </c>
      <c r="CX100" s="590">
        <f>+CU$29*CW100+CV100</f>
        <v>2543703.8971090792</v>
      </c>
      <c r="CY100" s="589">
        <f>+CY99</f>
        <v>18709.958522727298</v>
      </c>
      <c r="CZ100" s="564">
        <f>+CZ99</f>
        <v>733.72386363636497</v>
      </c>
      <c r="DA100" s="564">
        <f t="shared" si="42"/>
        <v>17976.234659090933</v>
      </c>
      <c r="DB100" s="590">
        <f>+CY$29*DA100+CZ100</f>
        <v>2802.330366006448</v>
      </c>
      <c r="DC100" s="589">
        <f>+DC99</f>
        <v>1124399.4863636382</v>
      </c>
      <c r="DD100" s="564">
        <f>+DD99</f>
        <v>44530.672727272722</v>
      </c>
      <c r="DE100" s="564">
        <f t="shared" si="43"/>
        <v>1079868.8136363656</v>
      </c>
      <c r="DF100" s="590">
        <f>+DC$29*DE100+DD100</f>
        <v>168796.05376829987</v>
      </c>
      <c r="DG100" s="589">
        <f>+DG99</f>
        <v>628306.59511363553</v>
      </c>
      <c r="DH100" s="564">
        <f>+DH99</f>
        <v>24639.474318181816</v>
      </c>
      <c r="DI100" s="564">
        <f t="shared" si="44"/>
        <v>603667.12079545367</v>
      </c>
      <c r="DJ100" s="590">
        <f>+DG$29*DI100+DH100</f>
        <v>94106.17605112704</v>
      </c>
      <c r="DK100" s="589">
        <f>+DK99</f>
        <v>13833080.023068186</v>
      </c>
      <c r="DL100" s="564">
        <f>+DL99</f>
        <v>549658.80886363634</v>
      </c>
      <c r="DM100" s="564">
        <f t="shared" si="45"/>
        <v>13283421.21420455</v>
      </c>
      <c r="DN100" s="590">
        <f>+DK$29*DM100+DL100</f>
        <v>2078242.0755227634</v>
      </c>
      <c r="DO100" s="589">
        <f>+DO99</f>
        <v>512675.7510984845</v>
      </c>
      <c r="DP100" s="564">
        <f>+DP99</f>
        <v>19592.703863636354</v>
      </c>
      <c r="DQ100" s="564">
        <f t="shared" si="134"/>
        <v>493083.04723484814</v>
      </c>
      <c r="DR100" s="590">
        <f>+DO$29*DQ100+DP100</f>
        <v>76333.996857529841</v>
      </c>
      <c r="DS100" s="589">
        <f>+DS99</f>
        <v>219837.44727272663</v>
      </c>
      <c r="DT100" s="564">
        <f>+DT99</f>
        <v>8295.7527272726966</v>
      </c>
      <c r="DU100" s="564">
        <f t="shared" si="61"/>
        <v>211541.69454545394</v>
      </c>
      <c r="DV100" s="590">
        <f>+DS$29*DU100+DT100</f>
        <v>32638.810834706273</v>
      </c>
      <c r="DW100" s="589">
        <f>+DW99</f>
        <v>32071.28948863631</v>
      </c>
      <c r="DX100" s="564">
        <f>+DX99</f>
        <v>1221.7634090909089</v>
      </c>
      <c r="DY100" s="564">
        <f t="shared" si="62"/>
        <v>30849.526079545401</v>
      </c>
      <c r="DZ100" s="590">
        <f>+DW$29*DY100+DX100</f>
        <v>4771.757690619178</v>
      </c>
      <c r="EA100" s="589">
        <f>+EA99</f>
        <v>-191654.78448863764</v>
      </c>
      <c r="EB100" s="564">
        <f>+EB99</f>
        <v>-7120.3015909091364</v>
      </c>
      <c r="EC100" s="564">
        <f t="shared" si="63"/>
        <v>-184534.48289772851</v>
      </c>
      <c r="ED100" s="590">
        <f>+EA$29*EC100+EB100</f>
        <v>-28355.517890263251</v>
      </c>
      <c r="EE100" s="589">
        <f>+EE99</f>
        <v>5459090.0799999954</v>
      </c>
      <c r="EF100" s="564">
        <f>+EF99</f>
        <v>192108.74181818182</v>
      </c>
      <c r="EG100" s="564">
        <f t="shared" si="72"/>
        <v>5266981.3381818132</v>
      </c>
      <c r="EH100" s="590">
        <f>+EE$29*EG100+EF100</f>
        <v>798204.06993600924</v>
      </c>
      <c r="EI100" s="589">
        <f>+EI99</f>
        <v>221148.89473484835</v>
      </c>
      <c r="EJ100" s="564">
        <f>+EJ99</f>
        <v>7669.903863636363</v>
      </c>
      <c r="EK100" s="564">
        <f t="shared" si="74"/>
        <v>213478.99087121198</v>
      </c>
      <c r="EL100" s="590">
        <f>+EI$29*EK100+EJ100</f>
        <v>32235.895408048302</v>
      </c>
      <c r="EM100" s="589">
        <f>+EM99</f>
        <v>7557618.7522727307</v>
      </c>
      <c r="EN100" s="564">
        <f>+EN99</f>
        <v>260607.54318181818</v>
      </c>
      <c r="EO100" s="564">
        <f t="shared" si="76"/>
        <v>7297011.2090909127</v>
      </c>
      <c r="EP100" s="590">
        <f>+EM$29*EO100+EN100</f>
        <v>1100307.5761005133</v>
      </c>
      <c r="EQ100" s="678">
        <f t="shared" si="94"/>
        <v>28923487.582435954</v>
      </c>
      <c r="ER100" s="675">
        <f>+EQ100</f>
        <v>28923487.582435954</v>
      </c>
      <c r="ES100" s="648"/>
      <c r="EV100" s="589"/>
      <c r="EW100" s="564"/>
      <c r="EX100" s="564"/>
      <c r="EY100" s="590"/>
      <c r="EZ100" s="589"/>
      <c r="FA100" s="564"/>
      <c r="FB100" s="564"/>
      <c r="FC100" s="590"/>
      <c r="FD100" s="589"/>
      <c r="FE100" s="564"/>
      <c r="FF100" s="564"/>
      <c r="FG100" s="590"/>
      <c r="FH100" s="589"/>
      <c r="FI100" s="564"/>
      <c r="FJ100" s="564"/>
      <c r="FK100" s="590"/>
      <c r="FL100" s="589"/>
      <c r="FM100" s="564"/>
      <c r="FN100" s="564"/>
      <c r="FO100" s="590"/>
      <c r="FP100" s="589"/>
      <c r="FQ100" s="564"/>
      <c r="FR100" s="564"/>
      <c r="FS100" s="590"/>
      <c r="FT100" s="589"/>
      <c r="FU100" s="564"/>
      <c r="FV100" s="564"/>
      <c r="FW100" s="590"/>
      <c r="FX100" s="589"/>
      <c r="FY100" s="564"/>
      <c r="FZ100" s="564"/>
      <c r="GA100" s="590"/>
      <c r="GB100" s="589"/>
      <c r="GC100" s="564"/>
      <c r="GD100" s="564"/>
      <c r="GE100" s="590"/>
      <c r="GF100" s="589"/>
      <c r="GG100" s="564"/>
      <c r="GH100" s="564"/>
      <c r="GI100" s="590"/>
      <c r="GJ100" s="589"/>
      <c r="GK100" s="564"/>
      <c r="GL100" s="564"/>
      <c r="GM100" s="590"/>
      <c r="GN100" s="589"/>
      <c r="GO100" s="564"/>
      <c r="GP100" s="564"/>
      <c r="GQ100" s="590"/>
      <c r="GR100" s="589"/>
      <c r="GS100" s="564"/>
      <c r="GT100" s="564"/>
      <c r="GU100" s="590"/>
      <c r="GV100" s="672"/>
      <c r="GW100" s="676"/>
      <c r="GX100" s="676"/>
      <c r="GY100" s="1366"/>
      <c r="GZ100" s="1367"/>
      <c r="HA100" s="1373"/>
      <c r="HB100" s="1373"/>
      <c r="HC100" s="1366"/>
      <c r="HD100" s="1367"/>
      <c r="HE100" s="1373"/>
      <c r="HF100" s="1373"/>
      <c r="HG100" s="1366"/>
      <c r="HI100" s="589"/>
      <c r="HJ100" s="564"/>
      <c r="HK100" s="564"/>
      <c r="HL100" s="590"/>
      <c r="HM100" s="589"/>
      <c r="HN100" s="564"/>
      <c r="HO100" s="564"/>
      <c r="HP100" s="590"/>
      <c r="HQ100" s="589"/>
      <c r="HR100" s="564"/>
      <c r="HS100" s="564"/>
      <c r="HT100" s="590"/>
    </row>
    <row r="101" spans="1:228">
      <c r="A101" s="649" t="s">
        <v>24</v>
      </c>
      <c r="B101" s="670">
        <v>2037</v>
      </c>
      <c r="C101" s="671">
        <f>+E100</f>
        <v>7021223.7494318113</v>
      </c>
      <c r="D101" s="671">
        <f>+C$31</f>
        <v>445791.98409090913</v>
      </c>
      <c r="E101" s="671">
        <f t="shared" si="6"/>
        <v>6575431.7653409019</v>
      </c>
      <c r="F101" s="653">
        <f>+C$28*E101+D101</f>
        <v>1202456.6117856861</v>
      </c>
      <c r="G101" s="671">
        <f>+I100</f>
        <v>1795531.6179545433</v>
      </c>
      <c r="H101" s="671">
        <f>+G$31</f>
        <v>115840.74954545456</v>
      </c>
      <c r="I101" s="671">
        <f t="shared" si="7"/>
        <v>1679690.8684090888</v>
      </c>
      <c r="J101" s="653">
        <f>+G$28*I101+H101</f>
        <v>309130.36320798594</v>
      </c>
      <c r="K101" s="672">
        <f>+M100</f>
        <v>4504941.4767613607</v>
      </c>
      <c r="L101" s="671">
        <f>+K$31</f>
        <v>305419.76113636367</v>
      </c>
      <c r="M101" s="671">
        <f t="shared" si="8"/>
        <v>4199521.7156249974</v>
      </c>
      <c r="N101" s="653">
        <f>+K$28*M101+L101</f>
        <v>788677.68987023074</v>
      </c>
      <c r="O101" s="672">
        <f>+Q100</f>
        <v>2008491.356060602</v>
      </c>
      <c r="P101" s="671">
        <f>+O$31</f>
        <v>119316.31818181818</v>
      </c>
      <c r="Q101" s="671">
        <f t="shared" si="11"/>
        <v>1889175.0378787839</v>
      </c>
      <c r="R101" s="653">
        <f>+O$28*Q101+P101</f>
        <v>336712.22124959267</v>
      </c>
      <c r="S101" s="589">
        <f>+U100</f>
        <v>884454.86606060283</v>
      </c>
      <c r="T101" s="564">
        <f>+S$31</f>
        <v>58315.705454545445</v>
      </c>
      <c r="U101" s="564">
        <f t="shared" si="12"/>
        <v>826139.16060605738</v>
      </c>
      <c r="V101" s="590">
        <f>+S$28*U101+T101</f>
        <v>153383.26948570367</v>
      </c>
      <c r="W101" s="589">
        <f>+Y100</f>
        <v>11670442.496212129</v>
      </c>
      <c r="X101" s="564">
        <f>+W$31</f>
        <v>693293.61363636365</v>
      </c>
      <c r="Y101" s="564">
        <f t="shared" si="13"/>
        <v>10977148.882575765</v>
      </c>
      <c r="Z101" s="590">
        <f>+W$28*Y101+X101</f>
        <v>1956483.7080367585</v>
      </c>
      <c r="AA101" s="589">
        <f>+AC100</f>
        <v>7626596.5814393945</v>
      </c>
      <c r="AB101" s="564">
        <f>+AA$31</f>
        <v>450833.29545454547</v>
      </c>
      <c r="AC101" s="564">
        <f t="shared" si="14"/>
        <v>7175763.2859848486</v>
      </c>
      <c r="AD101" s="590">
        <f>+AA$28*AC101+AB101</f>
        <v>1276580.7823093613</v>
      </c>
      <c r="AE101" s="589">
        <f>+AG100</f>
        <v>75865.125000000102</v>
      </c>
      <c r="AF101" s="564">
        <f>+AE$31</f>
        <v>4597.886363636364</v>
      </c>
      <c r="AG101" s="564">
        <f t="shared" si="15"/>
        <v>71267.238636363734</v>
      </c>
      <c r="AH101" s="590">
        <f>+AE$28*AG101+AF101</f>
        <v>12798.9293542822</v>
      </c>
      <c r="AI101" s="589">
        <f>+AK100</f>
        <v>5270595.8674242459</v>
      </c>
      <c r="AJ101" s="564">
        <f>+AI$31</f>
        <v>295547.43181818182</v>
      </c>
      <c r="AK101" s="564">
        <f t="shared" si="19"/>
        <v>4975048.4356060643</v>
      </c>
      <c r="AL101" s="590">
        <f>+AI$28*AK101+AJ101</f>
        <v>868048.72247619205</v>
      </c>
      <c r="AM101" s="589">
        <f>+AO100</f>
        <v>1940171.0244318191</v>
      </c>
      <c r="AN101" s="564">
        <f>+AM$31</f>
        <v>110866.91568181818</v>
      </c>
      <c r="AO101" s="564">
        <f t="shared" si="16"/>
        <v>1829304.1087500008</v>
      </c>
      <c r="AP101" s="590">
        <f>+AM$28*AO101+AN101</f>
        <v>321373.20055938361</v>
      </c>
      <c r="AQ101" s="589">
        <f>+AS100</f>
        <v>16062547.211590903</v>
      </c>
      <c r="AR101" s="564">
        <f>+AQ$31</f>
        <v>904932.23727272719</v>
      </c>
      <c r="AS101" s="564">
        <f t="shared" si="17"/>
        <v>15157614.974318177</v>
      </c>
      <c r="AT101" s="590">
        <f>+AQ$28*AS101+AR101</f>
        <v>2649187.4437121809</v>
      </c>
      <c r="AU101" s="671"/>
      <c r="AV101" s="671"/>
      <c r="AW101" s="671"/>
      <c r="AX101" s="653"/>
      <c r="AY101" s="671"/>
      <c r="AZ101" s="671"/>
      <c r="BA101" s="671"/>
      <c r="BB101" s="653"/>
      <c r="BC101" s="671"/>
      <c r="BD101" s="671"/>
      <c r="BE101" s="671"/>
      <c r="BF101" s="653"/>
      <c r="BG101" s="671"/>
      <c r="BH101" s="671"/>
      <c r="BI101" s="671"/>
      <c r="BJ101" s="653"/>
      <c r="BK101" s="671"/>
      <c r="BL101" s="671"/>
      <c r="BM101" s="671"/>
      <c r="BN101" s="653"/>
      <c r="BO101" s="671"/>
      <c r="BP101" s="671"/>
      <c r="BQ101" s="671"/>
      <c r="BR101" s="653"/>
      <c r="BS101" s="589">
        <f>+BU100</f>
        <v>149595.95454545482</v>
      </c>
      <c r="BT101" s="564">
        <f>+BS$31</f>
        <v>8310.886363636364</v>
      </c>
      <c r="BU101" s="564">
        <f t="shared" si="18"/>
        <v>141285.06818181847</v>
      </c>
      <c r="BV101" s="590">
        <f>+BS$28*BU101+BT101</f>
        <v>24569.19719854233</v>
      </c>
      <c r="BW101" s="589">
        <f>+BY100</f>
        <v>10527352.397727288</v>
      </c>
      <c r="BX101" s="564">
        <f>+BW$31</f>
        <v>576841.22727272729</v>
      </c>
      <c r="BY101" s="564">
        <f t="shared" si="20"/>
        <v>9950511.1704545617</v>
      </c>
      <c r="BZ101" s="590">
        <f>+BW$28*BY101+BX101</f>
        <v>1721891.4838735377</v>
      </c>
      <c r="CA101" s="589">
        <f>+CC100</f>
        <v>993419.04000000167</v>
      </c>
      <c r="CB101" s="564">
        <f>+CA$31</f>
        <v>54433.919999999998</v>
      </c>
      <c r="CC101" s="564">
        <f t="shared" si="21"/>
        <v>938985.12000000163</v>
      </c>
      <c r="CD101" s="590">
        <f>+CA$28*CC101+CB101</f>
        <v>162487.1781876623</v>
      </c>
      <c r="CE101" s="589">
        <f>+CG100</f>
        <v>86231.780909091089</v>
      </c>
      <c r="CF101" s="564">
        <f>+CE$31</f>
        <v>4725.0290909090909</v>
      </c>
      <c r="CG101" s="564">
        <f t="shared" si="22"/>
        <v>81506.751818182005</v>
      </c>
      <c r="CH101" s="590">
        <f>+CE$28*CG101+CF101</f>
        <v>14104.379104727966</v>
      </c>
      <c r="CI101" s="589">
        <f>+CK100</f>
        <v>237982.49999999959</v>
      </c>
      <c r="CJ101" s="564">
        <f>+CI$31</f>
        <v>12362.727272727272</v>
      </c>
      <c r="CK101" s="564">
        <f t="shared" si="24"/>
        <v>225619.77272727233</v>
      </c>
      <c r="CL101" s="590">
        <f>+CI$28*CK101+CJ101</f>
        <v>38325.813412730859</v>
      </c>
      <c r="CM101" s="589">
        <f>+CO100</f>
        <v>11487676.660511371</v>
      </c>
      <c r="CN101" s="564">
        <f>+CM$31</f>
        <v>483691.64886363636</v>
      </c>
      <c r="CO101" s="564">
        <f t="shared" si="34"/>
        <v>11003985.011647735</v>
      </c>
      <c r="CP101" s="590">
        <f>+CM$28*CO101+CN101</f>
        <v>1749969.8978275144</v>
      </c>
      <c r="CQ101" s="589">
        <f>+CS100</f>
        <v>47921229.152556807</v>
      </c>
      <c r="CR101" s="564">
        <f>+CQ$31</f>
        <v>2017735.9643181816</v>
      </c>
      <c r="CS101" s="564">
        <f t="shared" si="40"/>
        <v>45903493.188238628</v>
      </c>
      <c r="CT101" s="590">
        <f>+CQ$28*CS101+CR101</f>
        <v>7300058.2243177202</v>
      </c>
      <c r="CU101" s="589">
        <f>+CW100</f>
        <v>16228688.940000026</v>
      </c>
      <c r="CV101" s="564">
        <f>+CU$31</f>
        <v>676195.37250000006</v>
      </c>
      <c r="CW101" s="564">
        <f t="shared" si="41"/>
        <v>15552493.567500025</v>
      </c>
      <c r="CX101" s="590">
        <f>+CU$28*CW101+CV101</f>
        <v>2465891.0419170344</v>
      </c>
      <c r="CY101" s="589">
        <f>+DA100</f>
        <v>17976.234659090933</v>
      </c>
      <c r="CZ101" s="564">
        <f>+CY$31</f>
        <v>733.72386363636497</v>
      </c>
      <c r="DA101" s="564">
        <f t="shared" si="42"/>
        <v>17242.510795454567</v>
      </c>
      <c r="DB101" s="590">
        <f>+CY$28*DA101+CZ101</f>
        <v>2717.8974475423629</v>
      </c>
      <c r="DC101" s="589">
        <f>+DE100</f>
        <v>1079868.8136363656</v>
      </c>
      <c r="DD101" s="564">
        <f>+DC$31</f>
        <v>44530.672727272722</v>
      </c>
      <c r="DE101" s="564">
        <f t="shared" si="43"/>
        <v>1035338.1409090929</v>
      </c>
      <c r="DF101" s="590">
        <f>+DC$28*DE101+DD101</f>
        <v>163671.70815836062</v>
      </c>
      <c r="DG101" s="589">
        <f>+DI100</f>
        <v>603667.12079545367</v>
      </c>
      <c r="DH101" s="564">
        <f>+DG$31</f>
        <v>24639.474318181816</v>
      </c>
      <c r="DI101" s="564">
        <f t="shared" si="44"/>
        <v>579027.6464772718</v>
      </c>
      <c r="DJ101" s="590">
        <f>+DG$28*DI101+DH101</f>
        <v>91270.800470190487</v>
      </c>
      <c r="DK101" s="589">
        <f>+DM100</f>
        <v>13283421.21420455</v>
      </c>
      <c r="DL101" s="564">
        <f>+DK$31</f>
        <v>549658.80886363634</v>
      </c>
      <c r="DM101" s="564">
        <f t="shared" si="45"/>
        <v>12733762.405340914</v>
      </c>
      <c r="DN101" s="590">
        <f>+DK$28*DM101+DL101</f>
        <v>2014990.3541437651</v>
      </c>
      <c r="DO101" s="589">
        <f>+DQ100</f>
        <v>493083.04723484814</v>
      </c>
      <c r="DP101" s="564">
        <f>+DO$31</f>
        <v>19592.703863636354</v>
      </c>
      <c r="DQ101" s="564">
        <f t="shared" si="134"/>
        <v>473490.34337121178</v>
      </c>
      <c r="DR101" s="590">
        <f>+DO$28*DQ101+DP101</f>
        <v>74079.375943865205</v>
      </c>
      <c r="DS101" s="589">
        <f>+DU100</f>
        <v>211541.69454545394</v>
      </c>
      <c r="DT101" s="564">
        <f>+DS$31</f>
        <v>8295.7527272726966</v>
      </c>
      <c r="DU101" s="564">
        <f t="shared" si="61"/>
        <v>203245.94181818125</v>
      </c>
      <c r="DV101" s="590">
        <f>+DS$28*DU101+DT101</f>
        <v>31684.181105002994</v>
      </c>
      <c r="DW101" s="589">
        <f>+DY100</f>
        <v>30849.526079545401</v>
      </c>
      <c r="DX101" s="564">
        <f>+DW$31</f>
        <v>1221.7634090909089</v>
      </c>
      <c r="DY101" s="564">
        <f t="shared" si="62"/>
        <v>29627.762670454493</v>
      </c>
      <c r="DZ101" s="590">
        <f>+DW$28*DY101+DX101</f>
        <v>4631.1638576873647</v>
      </c>
      <c r="EA101" s="589">
        <f>+EC100</f>
        <v>-184534.48289772851</v>
      </c>
      <c r="EB101" s="564">
        <f>+EA$31</f>
        <v>-7120.3015909091364</v>
      </c>
      <c r="EC101" s="564">
        <f t="shared" si="63"/>
        <v>-177414.18130681937</v>
      </c>
      <c r="ED101" s="590">
        <f>+EA$28*EC101+EB101</f>
        <v>-27536.152631124187</v>
      </c>
      <c r="EE101" s="589">
        <f>+EG100</f>
        <v>5266981.3381818132</v>
      </c>
      <c r="EF101" s="564">
        <f>+EE$31</f>
        <v>192108.74181818182</v>
      </c>
      <c r="EG101" s="564">
        <f t="shared" si="72"/>
        <v>5074872.5963636311</v>
      </c>
      <c r="EH101" s="590">
        <f>+EE$28*EG101+EF101</f>
        <v>776097.24945754744</v>
      </c>
      <c r="EI101" s="589">
        <f>+EK100</f>
        <v>213478.99087121198</v>
      </c>
      <c r="EJ101" s="564">
        <f>+EI$31</f>
        <v>7669.903863636363</v>
      </c>
      <c r="EK101" s="564">
        <f t="shared" si="74"/>
        <v>205809.08700757561</v>
      </c>
      <c r="EL101" s="590">
        <f>+EI$28*EK101+EJ101</f>
        <v>31353.284933398772</v>
      </c>
      <c r="EM101" s="589">
        <f>+EO100</f>
        <v>7297011.2090909127</v>
      </c>
      <c r="EN101" s="564">
        <f>+EM$31</f>
        <v>260607.54318181818</v>
      </c>
      <c r="EO101" s="564">
        <f t="shared" si="76"/>
        <v>7036403.6659090947</v>
      </c>
      <c r="EP101" s="590">
        <f>+EM$28*EO101+EN101</f>
        <v>1070318.28921056</v>
      </c>
      <c r="EQ101" s="678">
        <f t="shared" si="94"/>
        <v>27585408.309983626</v>
      </c>
      <c r="ER101" s="652"/>
      <c r="ES101" s="674">
        <f>+EQ101</f>
        <v>27585408.309983626</v>
      </c>
      <c r="EV101" s="589"/>
      <c r="EW101" s="564"/>
      <c r="EX101" s="564"/>
      <c r="EY101" s="590"/>
      <c r="EZ101" s="589"/>
      <c r="FA101" s="564"/>
      <c r="FB101" s="564"/>
      <c r="FC101" s="590"/>
      <c r="FD101" s="589"/>
      <c r="FE101" s="564"/>
      <c r="FF101" s="564"/>
      <c r="FG101" s="590"/>
      <c r="FH101" s="589"/>
      <c r="FI101" s="564"/>
      <c r="FJ101" s="564"/>
      <c r="FK101" s="590"/>
      <c r="FL101" s="589"/>
      <c r="FM101" s="564"/>
      <c r="FN101" s="564"/>
      <c r="FO101" s="590"/>
      <c r="FP101" s="589"/>
      <c r="FQ101" s="564"/>
      <c r="FR101" s="564"/>
      <c r="FS101" s="590"/>
      <c r="FT101" s="589"/>
      <c r="FU101" s="564"/>
      <c r="FV101" s="564"/>
      <c r="FW101" s="590"/>
      <c r="FX101" s="589"/>
      <c r="FY101" s="564"/>
      <c r="FZ101" s="564"/>
      <c r="GA101" s="590"/>
      <c r="GB101" s="589"/>
      <c r="GC101" s="564"/>
      <c r="GD101" s="564"/>
      <c r="GE101" s="590"/>
      <c r="GF101" s="589"/>
      <c r="GG101" s="564"/>
      <c r="GH101" s="564"/>
      <c r="GI101" s="590"/>
      <c r="GJ101" s="589"/>
      <c r="GK101" s="564"/>
      <c r="GL101" s="564"/>
      <c r="GM101" s="590"/>
      <c r="GN101" s="589"/>
      <c r="GO101" s="564"/>
      <c r="GP101" s="564"/>
      <c r="GQ101" s="590"/>
      <c r="GR101" s="589"/>
      <c r="GS101" s="564"/>
      <c r="GT101" s="564"/>
      <c r="GU101" s="590"/>
      <c r="GV101" s="672"/>
      <c r="GW101" s="676"/>
      <c r="GX101" s="676"/>
      <c r="GY101" s="1366"/>
      <c r="GZ101" s="1367"/>
      <c r="HA101" s="1373"/>
      <c r="HB101" s="1373"/>
      <c r="HC101" s="1366"/>
      <c r="HD101" s="1367"/>
      <c r="HE101" s="1373"/>
      <c r="HF101" s="1373"/>
      <c r="HG101" s="1366"/>
      <c r="HI101" s="589"/>
      <c r="HJ101" s="564"/>
      <c r="HK101" s="564"/>
      <c r="HL101" s="590"/>
      <c r="HM101" s="589"/>
      <c r="HN101" s="564"/>
      <c r="HO101" s="564"/>
      <c r="HP101" s="590"/>
      <c r="HQ101" s="589"/>
      <c r="HR101" s="564"/>
      <c r="HS101" s="564"/>
      <c r="HT101" s="590"/>
    </row>
    <row r="102" spans="1:228">
      <c r="A102" s="649" t="s">
        <v>23</v>
      </c>
      <c r="B102" s="670">
        <v>2037</v>
      </c>
      <c r="C102" s="671">
        <f>+C101</f>
        <v>7021223.7494318113</v>
      </c>
      <c r="D102" s="671">
        <f>+D101</f>
        <v>445791.98409090913</v>
      </c>
      <c r="E102" s="671">
        <f t="shared" si="6"/>
        <v>6575431.7653409019</v>
      </c>
      <c r="F102" s="653">
        <f>+C$29*E102+D102</f>
        <v>1242587.1651407836</v>
      </c>
      <c r="G102" s="671">
        <f>+G101</f>
        <v>1795531.6179545433</v>
      </c>
      <c r="H102" s="671">
        <f>+H101</f>
        <v>115840.74954545456</v>
      </c>
      <c r="I102" s="671">
        <f t="shared" si="7"/>
        <v>1679690.8684090888</v>
      </c>
      <c r="J102" s="653">
        <f>+G$29*I102+H102</f>
        <v>319381.69367879443</v>
      </c>
      <c r="K102" s="672">
        <f>+K101</f>
        <v>4504941.4767613607</v>
      </c>
      <c r="L102" s="671">
        <f>+L101</f>
        <v>305419.76113636367</v>
      </c>
      <c r="M102" s="671">
        <f t="shared" si="8"/>
        <v>4199521.7156249974</v>
      </c>
      <c r="N102" s="653">
        <f>+K$29*M102+L102</f>
        <v>814307.81368401553</v>
      </c>
      <c r="O102" s="672">
        <f>+O101</f>
        <v>2008491.356060602</v>
      </c>
      <c r="P102" s="671">
        <f>+P101</f>
        <v>119316.31818181818</v>
      </c>
      <c r="Q102" s="671">
        <f t="shared" si="11"/>
        <v>1889175.0378787839</v>
      </c>
      <c r="R102" s="653">
        <f>+O$29*Q102+P102</f>
        <v>348242.05569397501</v>
      </c>
      <c r="S102" s="589">
        <f>+S101</f>
        <v>884454.86606060283</v>
      </c>
      <c r="T102" s="564">
        <f>+T101</f>
        <v>58315.705454545445</v>
      </c>
      <c r="U102" s="564">
        <f t="shared" si="12"/>
        <v>826139.16060605738</v>
      </c>
      <c r="V102" s="590">
        <f>+S$29*U102+T102</f>
        <v>158425.28388819334</v>
      </c>
      <c r="W102" s="589">
        <f>+W101</f>
        <v>11670442.496212129</v>
      </c>
      <c r="X102" s="564">
        <f>+X101</f>
        <v>693293.61363636365</v>
      </c>
      <c r="Y102" s="564">
        <f t="shared" si="13"/>
        <v>10977148.882575765</v>
      </c>
      <c r="Z102" s="590">
        <f>+W$29*Y102+X102</f>
        <v>2023478.4050604631</v>
      </c>
      <c r="AA102" s="589">
        <f>+AA101</f>
        <v>7626596.5814393945</v>
      </c>
      <c r="AB102" s="564">
        <f>+AB101</f>
        <v>450833.29545454547</v>
      </c>
      <c r="AC102" s="564">
        <f t="shared" si="14"/>
        <v>7175763.2859848486</v>
      </c>
      <c r="AD102" s="590">
        <f>+AA$29*AC102+AB102</f>
        <v>1320375.2222318682</v>
      </c>
      <c r="AE102" s="589">
        <f>+AE101</f>
        <v>75865.125000000102</v>
      </c>
      <c r="AF102" s="564">
        <f>+AF101</f>
        <v>4597.886363636364</v>
      </c>
      <c r="AG102" s="564">
        <f t="shared" si="15"/>
        <v>71267.238636363734</v>
      </c>
      <c r="AH102" s="590">
        <f>+AE$29*AG102+AF102</f>
        <v>13233.88082585584</v>
      </c>
      <c r="AI102" s="589">
        <f>+AI101</f>
        <v>5270595.8674242459</v>
      </c>
      <c r="AJ102" s="564">
        <f>+AJ101</f>
        <v>295547.43181818182</v>
      </c>
      <c r="AK102" s="564">
        <f t="shared" si="19"/>
        <v>4975048.4356060643</v>
      </c>
      <c r="AL102" s="590">
        <f>+AI$29*AK102+AJ102</f>
        <v>898411.96763092815</v>
      </c>
      <c r="AM102" s="589">
        <f>+AM101</f>
        <v>1940171.0244318191</v>
      </c>
      <c r="AN102" s="564">
        <f>+AN101</f>
        <v>110866.91568181818</v>
      </c>
      <c r="AO102" s="564">
        <f t="shared" si="16"/>
        <v>1829304.1087500008</v>
      </c>
      <c r="AP102" s="590">
        <f>+AM$29*AO102+AN102</f>
        <v>332537.63641070528</v>
      </c>
      <c r="AQ102" s="589">
        <f>+AQ101</f>
        <v>16062547.211590903</v>
      </c>
      <c r="AR102" s="564">
        <f>+AR101</f>
        <v>904932.23727272719</v>
      </c>
      <c r="AS102" s="564">
        <f t="shared" si="17"/>
        <v>15157614.974318177</v>
      </c>
      <c r="AT102" s="590">
        <f>+AQ$29*AS102+AR102</f>
        <v>2741695.9660679549</v>
      </c>
      <c r="AU102" s="671"/>
      <c r="AV102" s="671"/>
      <c r="AW102" s="671"/>
      <c r="AX102" s="653"/>
      <c r="AY102" s="671"/>
      <c r="AZ102" s="671"/>
      <c r="BA102" s="671"/>
      <c r="BB102" s="653"/>
      <c r="BC102" s="671"/>
      <c r="BD102" s="671"/>
      <c r="BE102" s="671"/>
      <c r="BF102" s="653"/>
      <c r="BG102" s="671"/>
      <c r="BH102" s="671"/>
      <c r="BI102" s="671"/>
      <c r="BJ102" s="653"/>
      <c r="BK102" s="671"/>
      <c r="BL102" s="671"/>
      <c r="BM102" s="671"/>
      <c r="BN102" s="653"/>
      <c r="BO102" s="671"/>
      <c r="BP102" s="671"/>
      <c r="BQ102" s="671"/>
      <c r="BR102" s="653"/>
      <c r="BS102" s="589">
        <f>+BS101</f>
        <v>149595.95454545482</v>
      </c>
      <c r="BT102" s="564">
        <f>+BT101</f>
        <v>8310.886363636364</v>
      </c>
      <c r="BU102" s="564">
        <f t="shared" si="18"/>
        <v>141285.06818181847</v>
      </c>
      <c r="BV102" s="590">
        <f>+BS$29*BU102+BT102</f>
        <v>25431.474866274333</v>
      </c>
      <c r="BW102" s="589">
        <f>+BW101</f>
        <v>10527352.397727288</v>
      </c>
      <c r="BX102" s="564">
        <f>+BX101</f>
        <v>576841.22727272729</v>
      </c>
      <c r="BY102" s="564">
        <f t="shared" si="20"/>
        <v>9950511.1704545617</v>
      </c>
      <c r="BZ102" s="590">
        <f>+BW$29*BY102+BX102</f>
        <v>1721891.4838735377</v>
      </c>
      <c r="CA102" s="589">
        <f>+CA101</f>
        <v>993419.04000000167</v>
      </c>
      <c r="CB102" s="564">
        <f>+CB101</f>
        <v>54433.919999999998</v>
      </c>
      <c r="CC102" s="564">
        <f t="shared" si="21"/>
        <v>938985.12000000163</v>
      </c>
      <c r="CD102" s="590">
        <f>+CA$29*CC102+CB102</f>
        <v>168217.90337842843</v>
      </c>
      <c r="CE102" s="589">
        <f>+CE101</f>
        <v>86231.780909091089</v>
      </c>
      <c r="CF102" s="564">
        <f>+CF101</f>
        <v>4725.0290909090909</v>
      </c>
      <c r="CG102" s="564">
        <f t="shared" si="22"/>
        <v>81506.751818182005</v>
      </c>
      <c r="CH102" s="590">
        <f>+CE$29*CG102+CF102</f>
        <v>14601.823404869781</v>
      </c>
      <c r="CI102" s="589">
        <f>+CI101</f>
        <v>237982.49999999959</v>
      </c>
      <c r="CJ102" s="564">
        <f>+CJ101</f>
        <v>12362.727272727272</v>
      </c>
      <c r="CK102" s="564">
        <f t="shared" si="24"/>
        <v>225619.77272727233</v>
      </c>
      <c r="CL102" s="590">
        <f>+CI$29*CK102+CJ102</f>
        <v>38325.813412730859</v>
      </c>
      <c r="CM102" s="589">
        <f>+CM101</f>
        <v>11487676.660511371</v>
      </c>
      <c r="CN102" s="564">
        <f>+CN101</f>
        <v>483691.64886363636</v>
      </c>
      <c r="CO102" s="564">
        <f t="shared" si="34"/>
        <v>11003985.011647735</v>
      </c>
      <c r="CP102" s="590">
        <f>+CM$29*CO102+CN102</f>
        <v>1749969.8978275144</v>
      </c>
      <c r="CQ102" s="589">
        <f>+CQ101</f>
        <v>47921229.152556807</v>
      </c>
      <c r="CR102" s="564">
        <f>+CR101</f>
        <v>2017735.9643181816</v>
      </c>
      <c r="CS102" s="564">
        <f t="shared" si="40"/>
        <v>45903493.188238628</v>
      </c>
      <c r="CT102" s="590">
        <f>+CQ$29*CS102+CR102</f>
        <v>7300058.2243177202</v>
      </c>
      <c r="CU102" s="589">
        <f>+CU101</f>
        <v>16228688.940000026</v>
      </c>
      <c r="CV102" s="564">
        <f>+CV101</f>
        <v>676195.37250000006</v>
      </c>
      <c r="CW102" s="564">
        <f t="shared" si="41"/>
        <v>15552493.567500025</v>
      </c>
      <c r="CX102" s="590">
        <f>+CU$29*CW102+CV102</f>
        <v>2465891.0419170344</v>
      </c>
      <c r="CY102" s="589">
        <f>+CY101</f>
        <v>17976.234659090933</v>
      </c>
      <c r="CZ102" s="564">
        <f>+CZ101</f>
        <v>733.72386363636497</v>
      </c>
      <c r="DA102" s="564">
        <f t="shared" si="42"/>
        <v>17242.510795454567</v>
      </c>
      <c r="DB102" s="590">
        <f>+CY$29*DA102+CZ102</f>
        <v>2717.8974475423629</v>
      </c>
      <c r="DC102" s="589">
        <f>+DC101</f>
        <v>1079868.8136363656</v>
      </c>
      <c r="DD102" s="564">
        <f>+DD101</f>
        <v>44530.672727272722</v>
      </c>
      <c r="DE102" s="564">
        <f t="shared" si="43"/>
        <v>1035338.1409090929</v>
      </c>
      <c r="DF102" s="590">
        <f>+DC$29*DE102+DD102</f>
        <v>163671.70815836062</v>
      </c>
      <c r="DG102" s="589">
        <f>+DG101</f>
        <v>603667.12079545367</v>
      </c>
      <c r="DH102" s="564">
        <f>+DH101</f>
        <v>24639.474318181816</v>
      </c>
      <c r="DI102" s="564">
        <f t="shared" si="44"/>
        <v>579027.6464772718</v>
      </c>
      <c r="DJ102" s="590">
        <f>+DG$29*DI102+DH102</f>
        <v>91270.800470190487</v>
      </c>
      <c r="DK102" s="589">
        <f>+DK101</f>
        <v>13283421.21420455</v>
      </c>
      <c r="DL102" s="564">
        <f>+DL101</f>
        <v>549658.80886363634</v>
      </c>
      <c r="DM102" s="564">
        <f t="shared" si="45"/>
        <v>12733762.405340914</v>
      </c>
      <c r="DN102" s="590">
        <f>+DK$29*DM102+DL102</f>
        <v>2014990.3541437651</v>
      </c>
      <c r="DO102" s="589">
        <f>+DO101</f>
        <v>493083.04723484814</v>
      </c>
      <c r="DP102" s="564">
        <f>+DP101</f>
        <v>19592.703863636354</v>
      </c>
      <c r="DQ102" s="564">
        <f t="shared" si="134"/>
        <v>473490.34337121178</v>
      </c>
      <c r="DR102" s="590">
        <f>+DO$29*DQ102+DP102</f>
        <v>74079.375943865205</v>
      </c>
      <c r="DS102" s="589">
        <f>+DS101</f>
        <v>211541.69454545394</v>
      </c>
      <c r="DT102" s="564">
        <f>+DT101</f>
        <v>8295.7527272726966</v>
      </c>
      <c r="DU102" s="564">
        <f t="shared" si="61"/>
        <v>203245.94181818125</v>
      </c>
      <c r="DV102" s="590">
        <f>+DS$29*DU102+DT102</f>
        <v>31684.181105002994</v>
      </c>
      <c r="DW102" s="589">
        <f>+DW101</f>
        <v>30849.526079545401</v>
      </c>
      <c r="DX102" s="564">
        <f>+DX101</f>
        <v>1221.7634090909089</v>
      </c>
      <c r="DY102" s="564">
        <f t="shared" si="62"/>
        <v>29627.762670454493</v>
      </c>
      <c r="DZ102" s="590">
        <f>+DW$29*DY102+DX102</f>
        <v>4631.1638576873647</v>
      </c>
      <c r="EA102" s="589">
        <f>+EA101</f>
        <v>-184534.48289772851</v>
      </c>
      <c r="EB102" s="564">
        <f>+EB101</f>
        <v>-7120.3015909091364</v>
      </c>
      <c r="EC102" s="564">
        <f t="shared" si="63"/>
        <v>-177414.18130681937</v>
      </c>
      <c r="ED102" s="590">
        <f>+EA$29*EC102+EB102</f>
        <v>-27536.152631124187</v>
      </c>
      <c r="EE102" s="589">
        <f>+EE101</f>
        <v>5266981.3381818132</v>
      </c>
      <c r="EF102" s="564">
        <f>+EF101</f>
        <v>192108.74181818182</v>
      </c>
      <c r="EG102" s="564">
        <f t="shared" si="72"/>
        <v>5074872.5963636311</v>
      </c>
      <c r="EH102" s="590">
        <f>+EE$29*EG102+EF102</f>
        <v>776097.24945754744</v>
      </c>
      <c r="EI102" s="589">
        <f>+EI101</f>
        <v>213478.99087121198</v>
      </c>
      <c r="EJ102" s="564">
        <f>+EJ101</f>
        <v>7669.903863636363</v>
      </c>
      <c r="EK102" s="564">
        <f t="shared" si="74"/>
        <v>205809.08700757561</v>
      </c>
      <c r="EL102" s="590">
        <f>+EI$29*EK102+EJ102</f>
        <v>31353.284933398772</v>
      </c>
      <c r="EM102" s="589">
        <f>+EM101</f>
        <v>7297011.2090909127</v>
      </c>
      <c r="EN102" s="564">
        <f>+EN101</f>
        <v>260607.54318181818</v>
      </c>
      <c r="EO102" s="564">
        <f t="shared" si="76"/>
        <v>7036403.6659090947</v>
      </c>
      <c r="EP102" s="590">
        <f>+EM$29*EO102+EN102</f>
        <v>1070318.28921056</v>
      </c>
      <c r="EQ102" s="678">
        <f t="shared" si="94"/>
        <v>27930342.905408449</v>
      </c>
      <c r="ER102" s="675">
        <f>+EQ102</f>
        <v>27930342.905408449</v>
      </c>
      <c r="ES102" s="648"/>
      <c r="EV102" s="589"/>
      <c r="EW102" s="564"/>
      <c r="EX102" s="564"/>
      <c r="EY102" s="590"/>
      <c r="EZ102" s="589"/>
      <c r="FA102" s="564"/>
      <c r="FB102" s="564"/>
      <c r="FC102" s="590"/>
      <c r="FD102" s="589"/>
      <c r="FE102" s="564"/>
      <c r="FF102" s="564"/>
      <c r="FG102" s="590"/>
      <c r="FH102" s="589"/>
      <c r="FI102" s="564"/>
      <c r="FJ102" s="564"/>
      <c r="FK102" s="590"/>
      <c r="FL102" s="589"/>
      <c r="FM102" s="564"/>
      <c r="FN102" s="564"/>
      <c r="FO102" s="590"/>
      <c r="FP102" s="589"/>
      <c r="FQ102" s="564"/>
      <c r="FR102" s="564"/>
      <c r="FS102" s="590"/>
      <c r="FT102" s="589"/>
      <c r="FU102" s="564"/>
      <c r="FV102" s="564"/>
      <c r="FW102" s="590"/>
      <c r="FX102" s="589"/>
      <c r="FY102" s="564"/>
      <c r="FZ102" s="564"/>
      <c r="GA102" s="590"/>
      <c r="GB102" s="589"/>
      <c r="GC102" s="564"/>
      <c r="GD102" s="564"/>
      <c r="GE102" s="590"/>
      <c r="GF102" s="589"/>
      <c r="GG102" s="564"/>
      <c r="GH102" s="564"/>
      <c r="GI102" s="590"/>
      <c r="GJ102" s="589"/>
      <c r="GK102" s="564"/>
      <c r="GL102" s="564"/>
      <c r="GM102" s="590"/>
      <c r="GN102" s="589"/>
      <c r="GO102" s="564"/>
      <c r="GP102" s="564"/>
      <c r="GQ102" s="590"/>
      <c r="GR102" s="589"/>
      <c r="GS102" s="564"/>
      <c r="GT102" s="564"/>
      <c r="GU102" s="590"/>
      <c r="GV102" s="672"/>
      <c r="GW102" s="676"/>
      <c r="GX102" s="676"/>
      <c r="GY102" s="1366"/>
      <c r="GZ102" s="1367"/>
      <c r="HA102" s="1373"/>
      <c r="HB102" s="1373"/>
      <c r="HC102" s="1366"/>
      <c r="HD102" s="1367"/>
      <c r="HE102" s="1373"/>
      <c r="HF102" s="1373"/>
      <c r="HG102" s="1366"/>
      <c r="HI102" s="589"/>
      <c r="HJ102" s="564"/>
      <c r="HK102" s="564"/>
      <c r="HL102" s="590"/>
      <c r="HM102" s="589"/>
      <c r="HN102" s="564"/>
      <c r="HO102" s="564"/>
      <c r="HP102" s="590"/>
      <c r="HQ102" s="589"/>
      <c r="HR102" s="564"/>
      <c r="HS102" s="564"/>
      <c r="HT102" s="590"/>
    </row>
    <row r="103" spans="1:228">
      <c r="A103" s="649" t="s">
        <v>24</v>
      </c>
      <c r="B103" s="670">
        <v>2038</v>
      </c>
      <c r="C103" s="671">
        <f>+E102</f>
        <v>6575431.7653409019</v>
      </c>
      <c r="D103" s="671">
        <f>+C$31</f>
        <v>445791.98409090913</v>
      </c>
      <c r="E103" s="671">
        <f t="shared" si="6"/>
        <v>6129639.7812499925</v>
      </c>
      <c r="F103" s="653">
        <f>+C$28*E103+D103</f>
        <v>1151157.3149928197</v>
      </c>
      <c r="G103" s="671">
        <f>+I102</f>
        <v>1679690.8684090888</v>
      </c>
      <c r="H103" s="671">
        <f>+G$31</f>
        <v>115840.74954545456</v>
      </c>
      <c r="I103" s="671">
        <f t="shared" si="7"/>
        <v>1563850.1188636343</v>
      </c>
      <c r="J103" s="653">
        <f>+G$28*I103+H103</f>
        <v>295800.04502436309</v>
      </c>
      <c r="K103" s="672">
        <f>+M102</f>
        <v>4199521.7156249974</v>
      </c>
      <c r="L103" s="671">
        <f>+K$31</f>
        <v>305419.76113636367</v>
      </c>
      <c r="M103" s="671">
        <f t="shared" si="8"/>
        <v>3894101.9544886337</v>
      </c>
      <c r="N103" s="653">
        <f>+K$28*M103+L103</f>
        <v>753531.65868958575</v>
      </c>
      <c r="O103" s="672">
        <f>+Q102</f>
        <v>1889175.0378787839</v>
      </c>
      <c r="P103" s="671">
        <f>+O$31</f>
        <v>119316.31818181818</v>
      </c>
      <c r="Q103" s="671">
        <f t="shared" si="11"/>
        <v>1769858.7196969658</v>
      </c>
      <c r="R103" s="653">
        <f>+O$28*Q103+P103</f>
        <v>322981.95368741744</v>
      </c>
      <c r="S103" s="589">
        <f>+U102</f>
        <v>826139.16060605738</v>
      </c>
      <c r="T103" s="564">
        <f>+S$31</f>
        <v>58315.705454545445</v>
      </c>
      <c r="U103" s="564">
        <f t="shared" si="12"/>
        <v>767823.45515151194</v>
      </c>
      <c r="V103" s="590">
        <f>+S$28*U103+T103</f>
        <v>146672.61790703365</v>
      </c>
      <c r="W103" s="589">
        <f>+Y102</f>
        <v>10977148.882575765</v>
      </c>
      <c r="X103" s="564">
        <f>+W$31</f>
        <v>693293.61363636365</v>
      </c>
      <c r="Y103" s="564">
        <f t="shared" si="13"/>
        <v>10283855.268939402</v>
      </c>
      <c r="Z103" s="590">
        <f>+W$28*Y103+X103</f>
        <v>1876703.2810219964</v>
      </c>
      <c r="AA103" s="589">
        <f>+AC102</f>
        <v>7175763.2859848486</v>
      </c>
      <c r="AB103" s="564">
        <f>+AA$31</f>
        <v>450833.29545454547</v>
      </c>
      <c r="AC103" s="564">
        <f t="shared" si="14"/>
        <v>6724929.9905303027</v>
      </c>
      <c r="AD103" s="590">
        <f>+AA$28*AC103+AB103</f>
        <v>1224701.3590514669</v>
      </c>
      <c r="AE103" s="589">
        <f>+AG102</f>
        <v>71267.238636363734</v>
      </c>
      <c r="AF103" s="564">
        <f>+AE$31</f>
        <v>4597.886363636364</v>
      </c>
      <c r="AG103" s="564">
        <f t="shared" si="15"/>
        <v>66669.352272727367</v>
      </c>
      <c r="AH103" s="590">
        <f>+AE$28*AG103+AF103</f>
        <v>12269.829806498597</v>
      </c>
      <c r="AI103" s="589">
        <f>+AK102</f>
        <v>4975048.4356060643</v>
      </c>
      <c r="AJ103" s="564">
        <f>+AI$31</f>
        <v>295547.43181818182</v>
      </c>
      <c r="AK103" s="564">
        <f t="shared" si="19"/>
        <v>4679501.0037878826</v>
      </c>
      <c r="AL103" s="590">
        <f>+AI$28*AK103+AJ103</f>
        <v>834038.74481334002</v>
      </c>
      <c r="AM103" s="589">
        <f>+AO102</f>
        <v>1829304.1087500008</v>
      </c>
      <c r="AN103" s="564">
        <f>+AM$31</f>
        <v>110866.91568181818</v>
      </c>
      <c r="AO103" s="564">
        <f t="shared" si="16"/>
        <v>1718437.1930681826</v>
      </c>
      <c r="AP103" s="590">
        <f>+AM$28*AO103+AN103</f>
        <v>308615.24390013725</v>
      </c>
      <c r="AQ103" s="589">
        <f>+AS102</f>
        <v>15157614.974318177</v>
      </c>
      <c r="AR103" s="564">
        <f>+AQ$31</f>
        <v>904932.23727272719</v>
      </c>
      <c r="AS103" s="564">
        <f t="shared" si="17"/>
        <v>14252682.73704545</v>
      </c>
      <c r="AT103" s="590">
        <f>+AQ$28*AS103+AR103</f>
        <v>2545052.804521766</v>
      </c>
      <c r="AU103" s="671"/>
      <c r="AV103" s="671"/>
      <c r="AW103" s="671"/>
      <c r="AX103" s="653"/>
      <c r="AY103" s="671"/>
      <c r="AZ103" s="671"/>
      <c r="BA103" s="671"/>
      <c r="BB103" s="653"/>
      <c r="BC103" s="671"/>
      <c r="BD103" s="671"/>
      <c r="BE103" s="671"/>
      <c r="BF103" s="653"/>
      <c r="BG103" s="671"/>
      <c r="BH103" s="671"/>
      <c r="BI103" s="671"/>
      <c r="BJ103" s="653"/>
      <c r="BK103" s="671"/>
      <c r="BL103" s="671"/>
      <c r="BM103" s="671"/>
      <c r="BN103" s="653"/>
      <c r="BO103" s="671"/>
      <c r="BP103" s="671"/>
      <c r="BQ103" s="671"/>
      <c r="BR103" s="653"/>
      <c r="BS103" s="589">
        <f>+BU102</f>
        <v>141285.06818181847</v>
      </c>
      <c r="BT103" s="564">
        <f>+BS$31</f>
        <v>8310.886363636364</v>
      </c>
      <c r="BU103" s="564">
        <f t="shared" si="18"/>
        <v>132974.18181818211</v>
      </c>
      <c r="BV103" s="590">
        <f>+BS$28*BU103+BT103</f>
        <v>23612.825972959625</v>
      </c>
      <c r="BW103" s="589">
        <f>+BY102</f>
        <v>9950511.1704545617</v>
      </c>
      <c r="BX103" s="564">
        <f>+BW$31</f>
        <v>576841.22727272729</v>
      </c>
      <c r="BY103" s="564">
        <f t="shared" si="20"/>
        <v>9373669.9431818351</v>
      </c>
      <c r="BZ103" s="590">
        <f>+BW$28*BY103+BX103</f>
        <v>1655511.7588532011</v>
      </c>
      <c r="CA103" s="589">
        <f>+CC102</f>
        <v>938985.12000000163</v>
      </c>
      <c r="CB103" s="564">
        <f>+CA$31</f>
        <v>54433.919999999998</v>
      </c>
      <c r="CC103" s="564">
        <f t="shared" si="21"/>
        <v>884551.20000000158</v>
      </c>
      <c r="CD103" s="590">
        <f>+CA$28*CC103+CB103</f>
        <v>156223.2211912761</v>
      </c>
      <c r="CE103" s="589">
        <f>+CG102</f>
        <v>81506.751818182005</v>
      </c>
      <c r="CF103" s="564">
        <f>+CE$31</f>
        <v>4725.0290909090909</v>
      </c>
      <c r="CG103" s="564">
        <f t="shared" si="22"/>
        <v>76781.722727272921</v>
      </c>
      <c r="CH103" s="590">
        <f>+CE$28*CG103+CF103</f>
        <v>13560.648669144266</v>
      </c>
      <c r="CI103" s="589">
        <f>+CK102</f>
        <v>225619.77272727233</v>
      </c>
      <c r="CJ103" s="564">
        <f>+CI$31</f>
        <v>12362.727272727272</v>
      </c>
      <c r="CK103" s="564">
        <f t="shared" si="24"/>
        <v>213257.04545454506</v>
      </c>
      <c r="CL103" s="590">
        <f>+CI$28*CK103+CJ103</f>
        <v>36903.178555744358</v>
      </c>
      <c r="CM103" s="589">
        <f>+CO102</f>
        <v>11003985.011647735</v>
      </c>
      <c r="CN103" s="564">
        <f>+CM$31</f>
        <v>483691.64886363636</v>
      </c>
      <c r="CO103" s="564">
        <f t="shared" si="34"/>
        <v>10520293.362784099</v>
      </c>
      <c r="CP103" s="590">
        <f>+CM$28*CO103+CN103</f>
        <v>1694309.3154554758</v>
      </c>
      <c r="CQ103" s="589">
        <f>+CS102</f>
        <v>45903493.188238628</v>
      </c>
      <c r="CR103" s="564">
        <f>+CQ$31</f>
        <v>2017735.9643181816</v>
      </c>
      <c r="CS103" s="564">
        <f t="shared" si="40"/>
        <v>43885757.22392045</v>
      </c>
      <c r="CT103" s="590">
        <f>+CQ$28*CS103+CR103</f>
        <v>7067868.2348671909</v>
      </c>
      <c r="CU103" s="589">
        <f>+CW102</f>
        <v>15552493.567500025</v>
      </c>
      <c r="CV103" s="564">
        <f>+CU$31</f>
        <v>676195.37250000006</v>
      </c>
      <c r="CW103" s="564">
        <f t="shared" si="41"/>
        <v>14876298.195000025</v>
      </c>
      <c r="CX103" s="590">
        <f>+CU$28*CW103+CV103</f>
        <v>2388078.1867249897</v>
      </c>
      <c r="CY103" s="589">
        <f>+DA102</f>
        <v>17242.510795454567</v>
      </c>
      <c r="CZ103" s="564">
        <f>+CY$31</f>
        <v>733.72386363636497</v>
      </c>
      <c r="DA103" s="564">
        <f t="shared" si="42"/>
        <v>16508.786931818202</v>
      </c>
      <c r="DB103" s="590">
        <f>+CY$28*DA103+CZ103</f>
        <v>2633.4645290782782</v>
      </c>
      <c r="DC103" s="589">
        <f>+DE102</f>
        <v>1035338.1409090929</v>
      </c>
      <c r="DD103" s="564">
        <f>+DC$31</f>
        <v>44530.672727272722</v>
      </c>
      <c r="DE103" s="564">
        <f t="shared" si="43"/>
        <v>990807.46818182012</v>
      </c>
      <c r="DF103" s="590">
        <f>+DC$28*DE103+DD103</f>
        <v>158547.36254842134</v>
      </c>
      <c r="DG103" s="589">
        <f>+DI102</f>
        <v>579027.6464772718</v>
      </c>
      <c r="DH103" s="564">
        <f>+DG$31</f>
        <v>24639.474318181816</v>
      </c>
      <c r="DI103" s="564">
        <f t="shared" si="44"/>
        <v>554388.17215908994</v>
      </c>
      <c r="DJ103" s="590">
        <f>+DG$28*DI103+DH103</f>
        <v>88435.424889253933</v>
      </c>
      <c r="DK103" s="589">
        <f>+DM102</f>
        <v>12733762.405340914</v>
      </c>
      <c r="DL103" s="564">
        <f>+DK$31</f>
        <v>549658.80886363634</v>
      </c>
      <c r="DM103" s="564">
        <f t="shared" si="45"/>
        <v>12184103.596477278</v>
      </c>
      <c r="DN103" s="590">
        <f>+DK$28*DM103+DL103</f>
        <v>1951738.6327647667</v>
      </c>
      <c r="DO103" s="589">
        <f>+DQ102</f>
        <v>473490.34337121178</v>
      </c>
      <c r="DP103" s="564">
        <f>+DO$31</f>
        <v>19592.703863636354</v>
      </c>
      <c r="DQ103" s="564">
        <f t="shared" si="134"/>
        <v>453897.63950757543</v>
      </c>
      <c r="DR103" s="590">
        <f>+DO$28*DQ103+DP103</f>
        <v>71824.755030200555</v>
      </c>
      <c r="DS103" s="589">
        <f>+DU102</f>
        <v>203245.94181818125</v>
      </c>
      <c r="DT103" s="564">
        <f>+DS$31</f>
        <v>8295.7527272726966</v>
      </c>
      <c r="DU103" s="564">
        <f t="shared" si="61"/>
        <v>194950.18909090856</v>
      </c>
      <c r="DV103" s="590">
        <f>+DS$28*DU103+DT103</f>
        <v>30729.551375299721</v>
      </c>
      <c r="DW103" s="589">
        <f>+DY102</f>
        <v>29627.762670454493</v>
      </c>
      <c r="DX103" s="564">
        <f>+DW$31</f>
        <v>1221.7634090909089</v>
      </c>
      <c r="DY103" s="564">
        <f t="shared" si="62"/>
        <v>28405.999261363584</v>
      </c>
      <c r="DZ103" s="590">
        <f>+DW$28*DY103+DX103</f>
        <v>4490.5700247555524</v>
      </c>
      <c r="EA103" s="589">
        <f>+EC102</f>
        <v>-177414.18130681937</v>
      </c>
      <c r="EB103" s="564">
        <f>+EA$31</f>
        <v>-7120.3015909091364</v>
      </c>
      <c r="EC103" s="564">
        <f t="shared" si="63"/>
        <v>-170293.87971591024</v>
      </c>
      <c r="ED103" s="590">
        <f>+EA$28*EC103+EB103</f>
        <v>-26716.78737198512</v>
      </c>
      <c r="EE103" s="589">
        <f>+EG102</f>
        <v>5074872.5963636311</v>
      </c>
      <c r="EF103" s="564">
        <f>+EE$31</f>
        <v>192108.74181818182</v>
      </c>
      <c r="EG103" s="564">
        <f t="shared" si="72"/>
        <v>4882763.8545454489</v>
      </c>
      <c r="EH103" s="590">
        <f>+EE$28*EG103+EF103</f>
        <v>753990.42897908553</v>
      </c>
      <c r="EI103" s="589">
        <f>+EK102</f>
        <v>205809.08700757561</v>
      </c>
      <c r="EJ103" s="564">
        <f>+EI$31</f>
        <v>7669.903863636363</v>
      </c>
      <c r="EK103" s="564">
        <f t="shared" si="74"/>
        <v>198139.18314393924</v>
      </c>
      <c r="EL103" s="590">
        <f>+EI$28*EK103+EJ103</f>
        <v>30470.674458749239</v>
      </c>
      <c r="EM103" s="589">
        <f>+EO102</f>
        <v>7036403.6659090947</v>
      </c>
      <c r="EN103" s="564">
        <f>+EM$31</f>
        <v>260607.54318181818</v>
      </c>
      <c r="EO103" s="564">
        <f t="shared" si="76"/>
        <v>6775796.1227272768</v>
      </c>
      <c r="EP103" s="590">
        <f>+EM$28*EO103+EN103</f>
        <v>1040329.0023206066</v>
      </c>
      <c r="EQ103" s="678">
        <f t="shared" si="94"/>
        <v>26614065.303254638</v>
      </c>
      <c r="ER103" s="652"/>
      <c r="ES103" s="674">
        <f>+EQ103</f>
        <v>26614065.303254638</v>
      </c>
      <c r="EV103" s="589"/>
      <c r="EW103" s="564"/>
      <c r="EX103" s="564"/>
      <c r="EY103" s="590"/>
      <c r="EZ103" s="589"/>
      <c r="FA103" s="564"/>
      <c r="FB103" s="564"/>
      <c r="FC103" s="590"/>
      <c r="FD103" s="589"/>
      <c r="FE103" s="564"/>
      <c r="FF103" s="564"/>
      <c r="FG103" s="590"/>
      <c r="FH103" s="589"/>
      <c r="FI103" s="564"/>
      <c r="FJ103" s="564"/>
      <c r="FK103" s="590"/>
      <c r="FL103" s="589"/>
      <c r="FM103" s="564"/>
      <c r="FN103" s="564"/>
      <c r="FO103" s="590"/>
      <c r="FP103" s="589"/>
      <c r="FQ103" s="564"/>
      <c r="FR103" s="564"/>
      <c r="FS103" s="590"/>
      <c r="FT103" s="589"/>
      <c r="FU103" s="564"/>
      <c r="FV103" s="564"/>
      <c r="FW103" s="590"/>
      <c r="FX103" s="589"/>
      <c r="FY103" s="564"/>
      <c r="FZ103" s="564"/>
      <c r="GA103" s="590"/>
      <c r="GB103" s="589"/>
      <c r="GC103" s="564"/>
      <c r="GD103" s="564"/>
      <c r="GE103" s="590"/>
      <c r="GF103" s="589"/>
      <c r="GG103" s="564"/>
      <c r="GH103" s="564"/>
      <c r="GI103" s="590"/>
      <c r="GJ103" s="589"/>
      <c r="GK103" s="564"/>
      <c r="GL103" s="564"/>
      <c r="GM103" s="590"/>
      <c r="GN103" s="589"/>
      <c r="GO103" s="564"/>
      <c r="GP103" s="564"/>
      <c r="GQ103" s="590"/>
      <c r="GR103" s="589"/>
      <c r="GS103" s="564"/>
      <c r="GT103" s="564"/>
      <c r="GU103" s="590"/>
      <c r="GV103" s="672"/>
      <c r="GW103" s="676"/>
      <c r="GX103" s="676"/>
      <c r="GY103" s="1366"/>
      <c r="GZ103" s="1367"/>
      <c r="HA103" s="1373"/>
      <c r="HB103" s="1373"/>
      <c r="HC103" s="1366"/>
      <c r="HD103" s="1367"/>
      <c r="HE103" s="1373"/>
      <c r="HF103" s="1373"/>
      <c r="HG103" s="1366"/>
      <c r="HI103" s="589"/>
      <c r="HJ103" s="564"/>
      <c r="HK103" s="564"/>
      <c r="HL103" s="590"/>
      <c r="HM103" s="589"/>
      <c r="HN103" s="564"/>
      <c r="HO103" s="564"/>
      <c r="HP103" s="590"/>
      <c r="HQ103" s="589"/>
      <c r="HR103" s="564"/>
      <c r="HS103" s="564"/>
      <c r="HT103" s="590"/>
    </row>
    <row r="104" spans="1:228">
      <c r="A104" s="649" t="s">
        <v>23</v>
      </c>
      <c r="B104" s="670">
        <v>2038</v>
      </c>
      <c r="C104" s="671">
        <f>+C103</f>
        <v>6575431.7653409019</v>
      </c>
      <c r="D104" s="671">
        <f>+D103</f>
        <v>445791.98409090913</v>
      </c>
      <c r="E104" s="671">
        <f t="shared" si="6"/>
        <v>6129639.7812499925</v>
      </c>
      <c r="F104" s="653">
        <f>+C$29*E104+D104</f>
        <v>1188567.1528662159</v>
      </c>
      <c r="G104" s="671">
        <f>+G103</f>
        <v>1679690.8684090888</v>
      </c>
      <c r="H104" s="671">
        <f>+H103</f>
        <v>115840.74954545456</v>
      </c>
      <c r="I104" s="671">
        <f t="shared" si="7"/>
        <v>1563850.1188636343</v>
      </c>
      <c r="J104" s="653">
        <f>+G$29*I104+H104</f>
        <v>305344.38718683994</v>
      </c>
      <c r="K104" s="672">
        <f>+K103</f>
        <v>4199521.7156249974</v>
      </c>
      <c r="L104" s="671">
        <f>+L103</f>
        <v>305419.76113636367</v>
      </c>
      <c r="M104" s="671">
        <f t="shared" si="8"/>
        <v>3894101.9544886337</v>
      </c>
      <c r="N104" s="653">
        <f>+K$29*M104+L104</f>
        <v>777297.77349873167</v>
      </c>
      <c r="O104" s="672">
        <f>+O103</f>
        <v>1889175.0378787839</v>
      </c>
      <c r="P104" s="671">
        <f>+P103</f>
        <v>119316.31818181818</v>
      </c>
      <c r="Q104" s="671">
        <f t="shared" si="11"/>
        <v>1769858.7196969658</v>
      </c>
      <c r="R104" s="653">
        <f>+O$29*Q104+P104</f>
        <v>333783.58806162822</v>
      </c>
      <c r="S104" s="589">
        <f>+S103</f>
        <v>826139.16060605738</v>
      </c>
      <c r="T104" s="564">
        <f>+T103</f>
        <v>58315.705454545445</v>
      </c>
      <c r="U104" s="564">
        <f t="shared" si="12"/>
        <v>767823.45515151194</v>
      </c>
      <c r="V104" s="590">
        <f>+S$29*U104+T104</f>
        <v>151358.72541052406</v>
      </c>
      <c r="W104" s="589">
        <f>+W103</f>
        <v>10977148.882575765</v>
      </c>
      <c r="X104" s="564">
        <f>+X103</f>
        <v>693293.61363636365</v>
      </c>
      <c r="Y104" s="564">
        <f t="shared" si="13"/>
        <v>10283855.268939402</v>
      </c>
      <c r="Z104" s="590">
        <f>+W$29*Y104+X104</f>
        <v>1939466.7340231515</v>
      </c>
      <c r="AA104" s="589">
        <f>+AA103</f>
        <v>7175763.2859848486</v>
      </c>
      <c r="AB104" s="564">
        <f>+AB103</f>
        <v>450833.29545454547</v>
      </c>
      <c r="AC104" s="564">
        <f t="shared" si="14"/>
        <v>6724929.9905303027</v>
      </c>
      <c r="AD104" s="590">
        <f>+AA$29*AC104+AB104</f>
        <v>1265744.3158374813</v>
      </c>
      <c r="AE104" s="589">
        <f>+AE103</f>
        <v>71267.238636363734</v>
      </c>
      <c r="AF104" s="564">
        <f>+AF103</f>
        <v>4597.886363636364</v>
      </c>
      <c r="AG104" s="564">
        <f t="shared" si="15"/>
        <v>66669.352272727367</v>
      </c>
      <c r="AH104" s="590">
        <f>+AE$29*AG104+AF104</f>
        <v>12676.719892809422</v>
      </c>
      <c r="AI104" s="589">
        <f>+AI103</f>
        <v>4975048.4356060643</v>
      </c>
      <c r="AJ104" s="564">
        <f>+AJ103</f>
        <v>295547.43181818182</v>
      </c>
      <c r="AK104" s="564">
        <f t="shared" si="19"/>
        <v>4679501.0037878826</v>
      </c>
      <c r="AL104" s="590">
        <f>+AI$29*AK104+AJ104</f>
        <v>862598.23283017077</v>
      </c>
      <c r="AM104" s="589">
        <f>+AM103</f>
        <v>1829304.1087500008</v>
      </c>
      <c r="AN104" s="564">
        <f>+AN103</f>
        <v>110866.91568181818</v>
      </c>
      <c r="AO104" s="564">
        <f t="shared" si="16"/>
        <v>1718437.1930681826</v>
      </c>
      <c r="AP104" s="590">
        <f>+AM$29*AO104+AN104</f>
        <v>319103.04727562121</v>
      </c>
      <c r="AQ104" s="589">
        <f>+AQ103</f>
        <v>15157614.974318177</v>
      </c>
      <c r="AR104" s="564">
        <f>+AR103</f>
        <v>904932.23727272719</v>
      </c>
      <c r="AS104" s="564">
        <f t="shared" si="17"/>
        <v>14252682.73704545</v>
      </c>
      <c r="AT104" s="590">
        <f>+AQ$29*AS104+AR104</f>
        <v>2632038.4300204786</v>
      </c>
      <c r="AU104" s="671"/>
      <c r="AV104" s="671"/>
      <c r="AW104" s="671"/>
      <c r="AX104" s="653"/>
      <c r="AY104" s="671"/>
      <c r="AZ104" s="671"/>
      <c r="BA104" s="671"/>
      <c r="BB104" s="653"/>
      <c r="BC104" s="671"/>
      <c r="BD104" s="671"/>
      <c r="BE104" s="671"/>
      <c r="BF104" s="653"/>
      <c r="BG104" s="671"/>
      <c r="BH104" s="671"/>
      <c r="BI104" s="671"/>
      <c r="BJ104" s="653"/>
      <c r="BK104" s="671"/>
      <c r="BL104" s="671"/>
      <c r="BM104" s="671"/>
      <c r="BN104" s="653"/>
      <c r="BO104" s="671"/>
      <c r="BP104" s="671"/>
      <c r="BQ104" s="671"/>
      <c r="BR104" s="653"/>
      <c r="BS104" s="589">
        <f>+BS103</f>
        <v>141285.06818181847</v>
      </c>
      <c r="BT104" s="564">
        <f>+BT103</f>
        <v>8310.886363636364</v>
      </c>
      <c r="BU104" s="564">
        <f t="shared" si="18"/>
        <v>132974.18181818211</v>
      </c>
      <c r="BV104" s="590">
        <f>+BS$29*BU104+BT104</f>
        <v>24424.381424942691</v>
      </c>
      <c r="BW104" s="589">
        <f>+BW103</f>
        <v>9950511.1704545617</v>
      </c>
      <c r="BX104" s="564">
        <f>+BX103</f>
        <v>576841.22727272729</v>
      </c>
      <c r="BY104" s="564">
        <f t="shared" si="20"/>
        <v>9373669.9431818351</v>
      </c>
      <c r="BZ104" s="590">
        <f>+BW$29*BY104+BX104</f>
        <v>1655511.7588532011</v>
      </c>
      <c r="CA104" s="589">
        <f>+CA103</f>
        <v>938985.12000000163</v>
      </c>
      <c r="CB104" s="564">
        <f>+CB103</f>
        <v>54433.919999999998</v>
      </c>
      <c r="CC104" s="564">
        <f t="shared" si="21"/>
        <v>884551.20000000158</v>
      </c>
      <c r="CD104" s="590">
        <f>+CA$29*CC104+CB104</f>
        <v>161621.73042895432</v>
      </c>
      <c r="CE104" s="589">
        <f>+CE103</f>
        <v>81506.751818182005</v>
      </c>
      <c r="CF104" s="564">
        <f>+CF103</f>
        <v>4725.0290909090909</v>
      </c>
      <c r="CG104" s="564">
        <f t="shared" si="22"/>
        <v>76781.722727272921</v>
      </c>
      <c r="CH104" s="590">
        <f>+CE$29*CG104+CF104</f>
        <v>14029.255618553221</v>
      </c>
      <c r="CI104" s="589">
        <f>+CI103</f>
        <v>225619.77272727233</v>
      </c>
      <c r="CJ104" s="564">
        <f>+CJ103</f>
        <v>12362.727272727272</v>
      </c>
      <c r="CK104" s="564">
        <f t="shared" si="24"/>
        <v>213257.04545454506</v>
      </c>
      <c r="CL104" s="590">
        <f>+CI$29*CK104+CJ104</f>
        <v>36903.178555744358</v>
      </c>
      <c r="CM104" s="589">
        <f>+CM103</f>
        <v>11003985.011647735</v>
      </c>
      <c r="CN104" s="564">
        <f>+CN103</f>
        <v>483691.64886363636</v>
      </c>
      <c r="CO104" s="564">
        <f t="shared" si="34"/>
        <v>10520293.362784099</v>
      </c>
      <c r="CP104" s="590">
        <f>+CM$29*CO104+CN104</f>
        <v>1694309.3154554758</v>
      </c>
      <c r="CQ104" s="589">
        <f>+CQ103</f>
        <v>45903493.188238628</v>
      </c>
      <c r="CR104" s="564">
        <f>+CR103</f>
        <v>2017735.9643181816</v>
      </c>
      <c r="CS104" s="564">
        <f t="shared" si="40"/>
        <v>43885757.22392045</v>
      </c>
      <c r="CT104" s="590">
        <f>+CQ$29*CS104+CR104</f>
        <v>7067868.2348671909</v>
      </c>
      <c r="CU104" s="589">
        <f>+CU103</f>
        <v>15552493.567500025</v>
      </c>
      <c r="CV104" s="564">
        <f>+CV103</f>
        <v>676195.37250000006</v>
      </c>
      <c r="CW104" s="564">
        <f t="shared" si="41"/>
        <v>14876298.195000025</v>
      </c>
      <c r="CX104" s="590">
        <f>+CU$29*CW104+CV104</f>
        <v>2388078.1867249897</v>
      </c>
      <c r="CY104" s="589">
        <f>+CY103</f>
        <v>17242.510795454567</v>
      </c>
      <c r="CZ104" s="564">
        <f>+CZ103</f>
        <v>733.72386363636497</v>
      </c>
      <c r="DA104" s="564">
        <f t="shared" si="42"/>
        <v>16508.786931818202</v>
      </c>
      <c r="DB104" s="590">
        <f>+CY$29*DA104+CZ104</f>
        <v>2633.4645290782782</v>
      </c>
      <c r="DC104" s="589">
        <f>+DC103</f>
        <v>1035338.1409090929</v>
      </c>
      <c r="DD104" s="564">
        <f>+DD103</f>
        <v>44530.672727272722</v>
      </c>
      <c r="DE104" s="564">
        <f t="shared" si="43"/>
        <v>990807.46818182012</v>
      </c>
      <c r="DF104" s="590">
        <f>+DC$29*DE104+DD104</f>
        <v>158547.36254842134</v>
      </c>
      <c r="DG104" s="589">
        <f>+DG103</f>
        <v>579027.6464772718</v>
      </c>
      <c r="DH104" s="564">
        <f>+DH103</f>
        <v>24639.474318181816</v>
      </c>
      <c r="DI104" s="564">
        <f t="shared" si="44"/>
        <v>554388.17215908994</v>
      </c>
      <c r="DJ104" s="590">
        <f>+DG$29*DI104+DH104</f>
        <v>88435.424889253933</v>
      </c>
      <c r="DK104" s="589">
        <f>+DK103</f>
        <v>12733762.405340914</v>
      </c>
      <c r="DL104" s="564">
        <f>+DL103</f>
        <v>549658.80886363634</v>
      </c>
      <c r="DM104" s="564">
        <f t="shared" si="45"/>
        <v>12184103.596477278</v>
      </c>
      <c r="DN104" s="590">
        <f>+DK$29*DM104+DL104</f>
        <v>1951738.6327647667</v>
      </c>
      <c r="DO104" s="589">
        <f>+DO103</f>
        <v>473490.34337121178</v>
      </c>
      <c r="DP104" s="564">
        <f>+DP103</f>
        <v>19592.703863636354</v>
      </c>
      <c r="DQ104" s="564">
        <f t="shared" si="134"/>
        <v>453897.63950757543</v>
      </c>
      <c r="DR104" s="590">
        <f>+DO$29*DQ104+DP104</f>
        <v>71824.755030200555</v>
      </c>
      <c r="DS104" s="589">
        <f>+DS103</f>
        <v>203245.94181818125</v>
      </c>
      <c r="DT104" s="564">
        <f>+DT103</f>
        <v>8295.7527272726966</v>
      </c>
      <c r="DU104" s="564">
        <f t="shared" si="61"/>
        <v>194950.18909090856</v>
      </c>
      <c r="DV104" s="590">
        <f>+DS$29*DU104+DT104</f>
        <v>30729.551375299721</v>
      </c>
      <c r="DW104" s="589">
        <f>+DW103</f>
        <v>29627.762670454493</v>
      </c>
      <c r="DX104" s="564">
        <f>+DX103</f>
        <v>1221.7634090909089</v>
      </c>
      <c r="DY104" s="564">
        <f t="shared" si="62"/>
        <v>28405.999261363584</v>
      </c>
      <c r="DZ104" s="590">
        <f>+DW$29*DY104+DX104</f>
        <v>4490.5700247555524</v>
      </c>
      <c r="EA104" s="589">
        <f>+EA103</f>
        <v>-177414.18130681937</v>
      </c>
      <c r="EB104" s="564">
        <f>+EB103</f>
        <v>-7120.3015909091364</v>
      </c>
      <c r="EC104" s="564">
        <f t="shared" si="63"/>
        <v>-170293.87971591024</v>
      </c>
      <c r="ED104" s="590">
        <f>+EA$29*EC104+EB104</f>
        <v>-26716.78737198512</v>
      </c>
      <c r="EE104" s="589">
        <f>+EE103</f>
        <v>5074872.5963636311</v>
      </c>
      <c r="EF104" s="564">
        <f>+EF103</f>
        <v>192108.74181818182</v>
      </c>
      <c r="EG104" s="564">
        <f t="shared" si="72"/>
        <v>4882763.8545454489</v>
      </c>
      <c r="EH104" s="590">
        <f>+EE$29*EG104+EF104</f>
        <v>753990.42897908553</v>
      </c>
      <c r="EI104" s="589">
        <f>+EI103</f>
        <v>205809.08700757561</v>
      </c>
      <c r="EJ104" s="564">
        <f>+EJ103</f>
        <v>7669.903863636363</v>
      </c>
      <c r="EK104" s="564">
        <f t="shared" si="74"/>
        <v>198139.18314393924</v>
      </c>
      <c r="EL104" s="590">
        <f>+EI$29*EK104+EJ104</f>
        <v>30470.674458749239</v>
      </c>
      <c r="EM104" s="589">
        <f>+EM103</f>
        <v>7036403.6659090947</v>
      </c>
      <c r="EN104" s="564">
        <f>+EN103</f>
        <v>260607.54318181818</v>
      </c>
      <c r="EO104" s="564">
        <f t="shared" si="76"/>
        <v>6775796.1227272768</v>
      </c>
      <c r="EP104" s="590">
        <f>+EM$29*EO104+EN104</f>
        <v>1040329.0023206066</v>
      </c>
      <c r="EQ104" s="678">
        <f t="shared" si="94"/>
        <v>26937198.228380937</v>
      </c>
      <c r="ER104" s="675">
        <f>+EQ104</f>
        <v>26937198.228380937</v>
      </c>
      <c r="ES104" s="648"/>
      <c r="EV104" s="589"/>
      <c r="EW104" s="564"/>
      <c r="EX104" s="564"/>
      <c r="EY104" s="590"/>
      <c r="EZ104" s="589"/>
      <c r="FA104" s="564"/>
      <c r="FB104" s="564"/>
      <c r="FC104" s="590"/>
      <c r="FD104" s="589"/>
      <c r="FE104" s="564"/>
      <c r="FF104" s="564"/>
      <c r="FG104" s="590"/>
      <c r="FH104" s="589"/>
      <c r="FI104" s="564"/>
      <c r="FJ104" s="564"/>
      <c r="FK104" s="590"/>
      <c r="FL104" s="589"/>
      <c r="FM104" s="564"/>
      <c r="FN104" s="564"/>
      <c r="FO104" s="590"/>
      <c r="FP104" s="589"/>
      <c r="FQ104" s="564"/>
      <c r="FR104" s="564"/>
      <c r="FS104" s="590"/>
      <c r="FT104" s="589"/>
      <c r="FU104" s="564"/>
      <c r="FV104" s="564"/>
      <c r="FW104" s="590"/>
      <c r="FX104" s="589"/>
      <c r="FY104" s="564"/>
      <c r="FZ104" s="564"/>
      <c r="GA104" s="590"/>
      <c r="GB104" s="589"/>
      <c r="GC104" s="564"/>
      <c r="GD104" s="564"/>
      <c r="GE104" s="590"/>
      <c r="GF104" s="589"/>
      <c r="GG104" s="564"/>
      <c r="GH104" s="564"/>
      <c r="GI104" s="590"/>
      <c r="GJ104" s="589"/>
      <c r="GK104" s="564"/>
      <c r="GL104" s="564"/>
      <c r="GM104" s="590"/>
      <c r="GN104" s="589"/>
      <c r="GO104" s="564"/>
      <c r="GP104" s="564"/>
      <c r="GQ104" s="590"/>
      <c r="GR104" s="589"/>
      <c r="GS104" s="564"/>
      <c r="GT104" s="564"/>
      <c r="GU104" s="590"/>
      <c r="GV104" s="672"/>
      <c r="GW104" s="676"/>
      <c r="GX104" s="676"/>
      <c r="GY104" s="1366"/>
      <c r="GZ104" s="1367"/>
      <c r="HA104" s="1373"/>
      <c r="HB104" s="1373"/>
      <c r="HC104" s="1366"/>
      <c r="HD104" s="1367"/>
      <c r="HE104" s="1373"/>
      <c r="HF104" s="1373"/>
      <c r="HG104" s="1366"/>
      <c r="HI104" s="589"/>
      <c r="HJ104" s="564"/>
      <c r="HK104" s="564"/>
      <c r="HL104" s="590"/>
      <c r="HM104" s="589"/>
      <c r="HN104" s="564"/>
      <c r="HO104" s="564"/>
      <c r="HP104" s="590"/>
      <c r="HQ104" s="589"/>
      <c r="HR104" s="564"/>
      <c r="HS104" s="564"/>
      <c r="HT104" s="590"/>
    </row>
    <row r="105" spans="1:228">
      <c r="A105" s="649" t="s">
        <v>24</v>
      </c>
      <c r="B105" s="670">
        <v>2039</v>
      </c>
      <c r="C105" s="671">
        <f>+E104</f>
        <v>6129639.7812499925</v>
      </c>
      <c r="D105" s="671">
        <f>+C$31</f>
        <v>445791.98409090913</v>
      </c>
      <c r="E105" s="671">
        <f t="shared" si="6"/>
        <v>5683847.7971590832</v>
      </c>
      <c r="F105" s="653">
        <f>+C$28*E105+D105</f>
        <v>1099858.0181999533</v>
      </c>
      <c r="G105" s="671">
        <f>+I104</f>
        <v>1563850.1188636343</v>
      </c>
      <c r="H105" s="671">
        <f>+G$31</f>
        <v>115840.74954545456</v>
      </c>
      <c r="I105" s="671">
        <f t="shared" si="7"/>
        <v>1448009.3693181798</v>
      </c>
      <c r="J105" s="653">
        <f>+G$28*I105+H105</f>
        <v>282469.72684074019</v>
      </c>
      <c r="K105" s="672">
        <f>+M104</f>
        <v>3894101.9544886337</v>
      </c>
      <c r="L105" s="671">
        <f>+K$31</f>
        <v>305419.76113636367</v>
      </c>
      <c r="M105" s="671">
        <f t="shared" si="8"/>
        <v>3588682.1933522699</v>
      </c>
      <c r="N105" s="653">
        <f>+K$28*M105+L105</f>
        <v>718385.62750894087</v>
      </c>
      <c r="O105" s="672">
        <f>+Q104</f>
        <v>1769858.7196969658</v>
      </c>
      <c r="P105" s="671">
        <f>+O$31</f>
        <v>119316.31818181818</v>
      </c>
      <c r="Q105" s="671">
        <f t="shared" si="11"/>
        <v>1650542.4015151476</v>
      </c>
      <c r="R105" s="653">
        <f>+O$28*Q105+P105</f>
        <v>309251.68612524215</v>
      </c>
      <c r="S105" s="589">
        <f>+U104</f>
        <v>767823.45515151194</v>
      </c>
      <c r="T105" s="564">
        <f>+S$31</f>
        <v>58315.705454545445</v>
      </c>
      <c r="U105" s="564">
        <f t="shared" si="12"/>
        <v>709507.74969696649</v>
      </c>
      <c r="V105" s="590">
        <f>+S$28*U105+T105</f>
        <v>139961.96632836363</v>
      </c>
      <c r="W105" s="589">
        <f>+Y104</f>
        <v>10283855.268939402</v>
      </c>
      <c r="X105" s="564">
        <f>+W$31</f>
        <v>693293.61363636365</v>
      </c>
      <c r="Y105" s="564">
        <f t="shared" si="13"/>
        <v>9590561.6553030387</v>
      </c>
      <c r="Z105" s="590">
        <f>+W$28*Y105+X105</f>
        <v>1796922.8540072348</v>
      </c>
      <c r="AA105" s="589">
        <f>+AC104</f>
        <v>6724929.9905303027</v>
      </c>
      <c r="AB105" s="564">
        <f>+AA$31</f>
        <v>450833.29545454547</v>
      </c>
      <c r="AC105" s="564">
        <f t="shared" si="14"/>
        <v>6274096.6950757569</v>
      </c>
      <c r="AD105" s="590">
        <f>+AA$28*AC105+AB105</f>
        <v>1172821.9357935728</v>
      </c>
      <c r="AE105" s="589">
        <f>+AG104</f>
        <v>66669.352272727367</v>
      </c>
      <c r="AF105" s="564">
        <f>+AE$31</f>
        <v>4597.886363636364</v>
      </c>
      <c r="AG105" s="564">
        <f t="shared" si="15"/>
        <v>62071.465909090999</v>
      </c>
      <c r="AH105" s="590">
        <f>+AE$28*AG105+AF105</f>
        <v>11740.730258714997</v>
      </c>
      <c r="AI105" s="589">
        <f>+AK104</f>
        <v>4679501.0037878826</v>
      </c>
      <c r="AJ105" s="564">
        <f>+AI$31</f>
        <v>295547.43181818182</v>
      </c>
      <c r="AK105" s="564">
        <f t="shared" si="19"/>
        <v>4383953.571969701</v>
      </c>
      <c r="AL105" s="590">
        <f>+AI$28*AK105+AJ105</f>
        <v>800028.76715048798</v>
      </c>
      <c r="AM105" s="589">
        <f>+AO104</f>
        <v>1718437.1930681826</v>
      </c>
      <c r="AN105" s="564">
        <f>+AM$31</f>
        <v>110866.91568181818</v>
      </c>
      <c r="AO105" s="564">
        <f t="shared" si="16"/>
        <v>1607570.2773863643</v>
      </c>
      <c r="AP105" s="590">
        <f>+AM$28*AO105+AN105</f>
        <v>295857.28724089084</v>
      </c>
      <c r="AQ105" s="589">
        <f>+AS104</f>
        <v>14252682.73704545</v>
      </c>
      <c r="AR105" s="564">
        <f>+AQ$31</f>
        <v>904932.23727272719</v>
      </c>
      <c r="AS105" s="564">
        <f t="shared" si="17"/>
        <v>13347750.499772724</v>
      </c>
      <c r="AT105" s="590">
        <f>+AQ$28*AS105+AR105</f>
        <v>2440918.1653313511</v>
      </c>
      <c r="AU105" s="671"/>
      <c r="AV105" s="671"/>
      <c r="AW105" s="671"/>
      <c r="AX105" s="653"/>
      <c r="AY105" s="671"/>
      <c r="AZ105" s="671"/>
      <c r="BA105" s="671"/>
      <c r="BB105" s="653"/>
      <c r="BC105" s="671"/>
      <c r="BD105" s="671"/>
      <c r="BE105" s="671"/>
      <c r="BF105" s="653"/>
      <c r="BG105" s="671"/>
      <c r="BH105" s="671"/>
      <c r="BI105" s="671"/>
      <c r="BJ105" s="653"/>
      <c r="BK105" s="671"/>
      <c r="BL105" s="671"/>
      <c r="BM105" s="671"/>
      <c r="BN105" s="653"/>
      <c r="BO105" s="671"/>
      <c r="BP105" s="671"/>
      <c r="BQ105" s="671"/>
      <c r="BR105" s="653"/>
      <c r="BS105" s="589">
        <f>+BU104</f>
        <v>132974.18181818211</v>
      </c>
      <c r="BT105" s="564">
        <f>+BS$31</f>
        <v>8310.886363636364</v>
      </c>
      <c r="BU105" s="564">
        <f t="shared" si="18"/>
        <v>124663.29545454575</v>
      </c>
      <c r="BV105" s="590">
        <f>+BS$28*BU105+BT105</f>
        <v>22656.454747376927</v>
      </c>
      <c r="BW105" s="589">
        <f>+BY104</f>
        <v>9373669.9431818351</v>
      </c>
      <c r="BX105" s="564">
        <f>+BW$31</f>
        <v>576841.22727272729</v>
      </c>
      <c r="BY105" s="564">
        <f t="shared" si="20"/>
        <v>8796828.7159091085</v>
      </c>
      <c r="BZ105" s="590">
        <f>+BW$28*BY105+BX105</f>
        <v>1589132.0338328644</v>
      </c>
      <c r="CA105" s="589">
        <f>+CC104</f>
        <v>884551.20000000158</v>
      </c>
      <c r="CB105" s="564">
        <f>+CA$31</f>
        <v>54433.919999999998</v>
      </c>
      <c r="CC105" s="564">
        <f t="shared" si="21"/>
        <v>830117.28000000154</v>
      </c>
      <c r="CD105" s="590">
        <f>+CA$28*CC105+CB105</f>
        <v>149959.26419488987</v>
      </c>
      <c r="CE105" s="589">
        <f>+CG104</f>
        <v>76781.722727272921</v>
      </c>
      <c r="CF105" s="564">
        <f>+CE$31</f>
        <v>4725.0290909090909</v>
      </c>
      <c r="CG105" s="564">
        <f t="shared" si="22"/>
        <v>72056.693636363838</v>
      </c>
      <c r="CH105" s="590">
        <f>+CE$28*CG105+CF105</f>
        <v>13016.918233560566</v>
      </c>
      <c r="CI105" s="589">
        <f>+CK104</f>
        <v>213257.04545454506</v>
      </c>
      <c r="CJ105" s="564">
        <f>+CI$31</f>
        <v>12362.727272727272</v>
      </c>
      <c r="CK105" s="564">
        <f t="shared" si="24"/>
        <v>200894.3181818178</v>
      </c>
      <c r="CL105" s="590">
        <f>+CI$28*CK105+CJ105</f>
        <v>35480.543698757858</v>
      </c>
      <c r="CM105" s="589">
        <f>+CO104</f>
        <v>10520293.362784099</v>
      </c>
      <c r="CN105" s="564">
        <f>+CM$31</f>
        <v>483691.64886363636</v>
      </c>
      <c r="CO105" s="564">
        <f t="shared" si="34"/>
        <v>10036601.713920463</v>
      </c>
      <c r="CP105" s="590">
        <f>+CM$28*CO105+CN105</f>
        <v>1638648.7330834374</v>
      </c>
      <c r="CQ105" s="589">
        <f>+CS104</f>
        <v>43885757.22392045</v>
      </c>
      <c r="CR105" s="564">
        <f>+CQ$31</f>
        <v>2017735.9643181816</v>
      </c>
      <c r="CS105" s="564">
        <f t="shared" si="40"/>
        <v>41868021.259602271</v>
      </c>
      <c r="CT105" s="590">
        <f>+CQ$28*CS105+CR105</f>
        <v>6835678.2454166617</v>
      </c>
      <c r="CU105" s="589">
        <f>+CW104</f>
        <v>14876298.195000025</v>
      </c>
      <c r="CV105" s="564">
        <f>+CU$31</f>
        <v>676195.37250000006</v>
      </c>
      <c r="CW105" s="564">
        <f t="shared" si="41"/>
        <v>14200102.822500024</v>
      </c>
      <c r="CX105" s="590">
        <f>+CU$28*CW105+CV105</f>
        <v>2310265.3315329449</v>
      </c>
      <c r="CY105" s="589">
        <f>+DA104</f>
        <v>16508.786931818202</v>
      </c>
      <c r="CZ105" s="564">
        <f>+CY$31</f>
        <v>733.72386363636497</v>
      </c>
      <c r="DA105" s="564">
        <f t="shared" si="42"/>
        <v>15775.063068181837</v>
      </c>
      <c r="DB105" s="590">
        <f>+CY$28*DA105+CZ105</f>
        <v>2549.0316106141927</v>
      </c>
      <c r="DC105" s="589">
        <f>+DE104</f>
        <v>990807.46818182012</v>
      </c>
      <c r="DD105" s="564">
        <f>+DC$31</f>
        <v>44530.672727272722</v>
      </c>
      <c r="DE105" s="564">
        <f t="shared" si="43"/>
        <v>946276.79545454739</v>
      </c>
      <c r="DF105" s="590">
        <f>+DC$28*DE105+DD105</f>
        <v>153423.01693848209</v>
      </c>
      <c r="DG105" s="589">
        <f>+DI104</f>
        <v>554388.17215908994</v>
      </c>
      <c r="DH105" s="564">
        <f>+DG$31</f>
        <v>24639.474318181816</v>
      </c>
      <c r="DI105" s="564">
        <f t="shared" si="44"/>
        <v>529748.69784090808</v>
      </c>
      <c r="DJ105" s="590">
        <f>+DG$28*DI105+DH105</f>
        <v>85600.049308317379</v>
      </c>
      <c r="DK105" s="589">
        <f>+DM104</f>
        <v>12184103.596477278</v>
      </c>
      <c r="DL105" s="564">
        <f>+DK$31</f>
        <v>549658.80886363634</v>
      </c>
      <c r="DM105" s="564">
        <f t="shared" si="45"/>
        <v>11634444.787613641</v>
      </c>
      <c r="DN105" s="590">
        <f>+DK$28*DM105+DL105</f>
        <v>1888486.9113857686</v>
      </c>
      <c r="DO105" s="589">
        <f>+DQ104</f>
        <v>453897.63950757543</v>
      </c>
      <c r="DP105" s="564">
        <f>+DO$31</f>
        <v>19592.703863636354</v>
      </c>
      <c r="DQ105" s="564">
        <f t="shared" si="134"/>
        <v>434304.93564393907</v>
      </c>
      <c r="DR105" s="590">
        <f>+DO$28*DQ105+DP105</f>
        <v>69570.134116535919</v>
      </c>
      <c r="DS105" s="589">
        <f>+DU104</f>
        <v>194950.18909090856</v>
      </c>
      <c r="DT105" s="564">
        <f>+DS$31</f>
        <v>8295.7527272726966</v>
      </c>
      <c r="DU105" s="564">
        <f t="shared" si="61"/>
        <v>186654.43636363588</v>
      </c>
      <c r="DV105" s="590">
        <f>+DS$28*DU105+DT105</f>
        <v>29774.921645596449</v>
      </c>
      <c r="DW105" s="589">
        <f>+DY104</f>
        <v>28405.999261363584</v>
      </c>
      <c r="DX105" s="564">
        <f>+DW$31</f>
        <v>1221.7634090909089</v>
      </c>
      <c r="DY105" s="564">
        <f t="shared" si="62"/>
        <v>27184.235852272675</v>
      </c>
      <c r="DZ105" s="590">
        <f>+DW$28*DY105+DX105</f>
        <v>4349.9761918237391</v>
      </c>
      <c r="EA105" s="589">
        <f>+EC104</f>
        <v>-170293.87971591024</v>
      </c>
      <c r="EB105" s="564">
        <f>+EA$31</f>
        <v>-7120.3015909091364</v>
      </c>
      <c r="EC105" s="564">
        <f t="shared" si="63"/>
        <v>-163173.57812500111</v>
      </c>
      <c r="ED105" s="590">
        <f>+EA$28*EC105+EB105</f>
        <v>-25897.422112846056</v>
      </c>
      <c r="EE105" s="589">
        <f>+EG104</f>
        <v>4882763.8545454489</v>
      </c>
      <c r="EF105" s="564">
        <f>+EE$31</f>
        <v>192108.74181818182</v>
      </c>
      <c r="EG105" s="564">
        <f t="shared" si="72"/>
        <v>4690655.1127272667</v>
      </c>
      <c r="EH105" s="590">
        <f>+EE$28*EG105+EF105</f>
        <v>731883.60850062373</v>
      </c>
      <c r="EI105" s="589">
        <f>+EK104</f>
        <v>198139.18314393924</v>
      </c>
      <c r="EJ105" s="564">
        <f>+EI$31</f>
        <v>7669.903863636363</v>
      </c>
      <c r="EK105" s="564">
        <f t="shared" si="74"/>
        <v>190469.27928030287</v>
      </c>
      <c r="EL105" s="590">
        <f>+EI$28*EK105+EJ105</f>
        <v>29588.063984099706</v>
      </c>
      <c r="EM105" s="589">
        <f>+EO104</f>
        <v>6775796.1227272768</v>
      </c>
      <c r="EN105" s="564">
        <f>+EM$31</f>
        <v>260607.54318181818</v>
      </c>
      <c r="EO105" s="564">
        <f t="shared" si="76"/>
        <v>6515188.5795454588</v>
      </c>
      <c r="EP105" s="590">
        <f>+EM$28*EO105+EN105</f>
        <v>1010339.7154306533</v>
      </c>
      <c r="EQ105" s="678">
        <f t="shared" si="94"/>
        <v>25642722.296525653</v>
      </c>
      <c r="ER105" s="652"/>
      <c r="ES105" s="674">
        <f>+EQ105</f>
        <v>25642722.296525653</v>
      </c>
      <c r="EV105" s="589"/>
      <c r="EW105" s="564"/>
      <c r="EX105" s="564"/>
      <c r="EY105" s="590"/>
      <c r="EZ105" s="589"/>
      <c r="FA105" s="564"/>
      <c r="FB105" s="564"/>
      <c r="FC105" s="590"/>
      <c r="FD105" s="589"/>
      <c r="FE105" s="564"/>
      <c r="FF105" s="564"/>
      <c r="FG105" s="590"/>
      <c r="FH105" s="589"/>
      <c r="FI105" s="564"/>
      <c r="FJ105" s="564"/>
      <c r="FK105" s="590"/>
      <c r="FL105" s="589"/>
      <c r="FM105" s="564"/>
      <c r="FN105" s="564"/>
      <c r="FO105" s="590"/>
      <c r="FP105" s="589"/>
      <c r="FQ105" s="564"/>
      <c r="FR105" s="564"/>
      <c r="FS105" s="590"/>
      <c r="FT105" s="589"/>
      <c r="FU105" s="564"/>
      <c r="FV105" s="564"/>
      <c r="FW105" s="590"/>
      <c r="FX105" s="589"/>
      <c r="FY105" s="564"/>
      <c r="FZ105" s="564"/>
      <c r="GA105" s="590"/>
      <c r="GB105" s="589"/>
      <c r="GC105" s="564"/>
      <c r="GD105" s="564"/>
      <c r="GE105" s="590"/>
      <c r="GF105" s="589"/>
      <c r="GG105" s="564"/>
      <c r="GH105" s="564"/>
      <c r="GI105" s="590"/>
      <c r="GJ105" s="589"/>
      <c r="GK105" s="564"/>
      <c r="GL105" s="564"/>
      <c r="GM105" s="590"/>
      <c r="GN105" s="589"/>
      <c r="GO105" s="564"/>
      <c r="GP105" s="564"/>
      <c r="GQ105" s="590"/>
      <c r="GR105" s="589"/>
      <c r="GS105" s="564"/>
      <c r="GT105" s="564"/>
      <c r="GU105" s="590"/>
      <c r="GV105" s="672"/>
      <c r="GW105" s="676"/>
      <c r="GX105" s="676"/>
      <c r="GY105" s="1366"/>
      <c r="GZ105" s="1367"/>
      <c r="HA105" s="1373"/>
      <c r="HB105" s="1373"/>
      <c r="HC105" s="1366"/>
      <c r="HD105" s="1367"/>
      <c r="HE105" s="1373"/>
      <c r="HF105" s="1373"/>
      <c r="HG105" s="1366"/>
      <c r="HI105" s="589"/>
      <c r="HJ105" s="564"/>
      <c r="HK105" s="564"/>
      <c r="HL105" s="590"/>
      <c r="HM105" s="589"/>
      <c r="HN105" s="564"/>
      <c r="HO105" s="564"/>
      <c r="HP105" s="590"/>
      <c r="HQ105" s="589"/>
      <c r="HR105" s="564"/>
      <c r="HS105" s="564"/>
      <c r="HT105" s="590"/>
    </row>
    <row r="106" spans="1:228">
      <c r="A106" s="649" t="s">
        <v>23</v>
      </c>
      <c r="B106" s="670">
        <v>2039</v>
      </c>
      <c r="C106" s="671">
        <f>+C105</f>
        <v>6129639.7812499925</v>
      </c>
      <c r="D106" s="671">
        <f>+D105</f>
        <v>445791.98409090913</v>
      </c>
      <c r="E106" s="671">
        <f t="shared" si="6"/>
        <v>5683847.7971590832</v>
      </c>
      <c r="F106" s="653">
        <f>+C$29*E106+D106</f>
        <v>1134547.1405916479</v>
      </c>
      <c r="G106" s="671">
        <f>+G105</f>
        <v>1563850.1188636343</v>
      </c>
      <c r="H106" s="671">
        <f>+H105</f>
        <v>115840.74954545456</v>
      </c>
      <c r="I106" s="671">
        <f t="shared" si="7"/>
        <v>1448009.3693181798</v>
      </c>
      <c r="J106" s="653">
        <f>+G$29*I106+H106</f>
        <v>291307.08069488546</v>
      </c>
      <c r="K106" s="672">
        <f>+K105</f>
        <v>3894101.9544886337</v>
      </c>
      <c r="L106" s="671">
        <f>+L105</f>
        <v>305419.76113636367</v>
      </c>
      <c r="M106" s="671">
        <f t="shared" si="8"/>
        <v>3588682.1933522699</v>
      </c>
      <c r="N106" s="653">
        <f>+K$29*M106+L106</f>
        <v>740287.7333134478</v>
      </c>
      <c r="O106" s="672">
        <f>+O105</f>
        <v>1769858.7196969658</v>
      </c>
      <c r="P106" s="671">
        <f>+P105</f>
        <v>119316.31818181818</v>
      </c>
      <c r="Q106" s="671">
        <f t="shared" si="11"/>
        <v>1650542.4015151476</v>
      </c>
      <c r="R106" s="653">
        <f>+O$29*Q106+P106</f>
        <v>319325.12042928149</v>
      </c>
      <c r="S106" s="589">
        <f>+S105</f>
        <v>767823.45515151194</v>
      </c>
      <c r="T106" s="564">
        <f>+T105</f>
        <v>58315.705454545445</v>
      </c>
      <c r="U106" s="564">
        <f t="shared" si="12"/>
        <v>709507.74969696649</v>
      </c>
      <c r="V106" s="590">
        <f>+S$29*U106+T106</f>
        <v>144292.16693285477</v>
      </c>
      <c r="W106" s="589">
        <f>+W105</f>
        <v>10283855.268939402</v>
      </c>
      <c r="X106" s="564">
        <f>+X105</f>
        <v>693293.61363636365</v>
      </c>
      <c r="Y106" s="564">
        <f t="shared" si="13"/>
        <v>9590561.6553030387</v>
      </c>
      <c r="Z106" s="590">
        <f>+W$29*Y106+X106</f>
        <v>1855455.0629858403</v>
      </c>
      <c r="AA106" s="589">
        <f>+AA105</f>
        <v>6724929.9905303027</v>
      </c>
      <c r="AB106" s="564">
        <f>+AB105</f>
        <v>450833.29545454547</v>
      </c>
      <c r="AC106" s="564">
        <f t="shared" si="14"/>
        <v>6274096.6950757569</v>
      </c>
      <c r="AD106" s="590">
        <f>+AA$29*AC106+AB106</f>
        <v>1211113.4094430946</v>
      </c>
      <c r="AE106" s="589">
        <f>+AE105</f>
        <v>66669.352272727367</v>
      </c>
      <c r="AF106" s="564">
        <f>+AF105</f>
        <v>4597.886363636364</v>
      </c>
      <c r="AG106" s="564">
        <f t="shared" si="15"/>
        <v>62071.465909090999</v>
      </c>
      <c r="AH106" s="590">
        <f>+AE$29*AG106+AF106</f>
        <v>12119.558959763004</v>
      </c>
      <c r="AI106" s="589">
        <f>+AI105</f>
        <v>4679501.0037878826</v>
      </c>
      <c r="AJ106" s="564">
        <f>+AJ105</f>
        <v>295547.43181818182</v>
      </c>
      <c r="AK106" s="564">
        <f t="shared" si="19"/>
        <v>4383953.571969701</v>
      </c>
      <c r="AL106" s="590">
        <f>+AI$29*AK106+AJ106</f>
        <v>826784.49802941363</v>
      </c>
      <c r="AM106" s="589">
        <f>+AM105</f>
        <v>1718437.1930681826</v>
      </c>
      <c r="AN106" s="564">
        <f>+AN105</f>
        <v>110866.91568181818</v>
      </c>
      <c r="AO106" s="564">
        <f t="shared" si="16"/>
        <v>1607570.2773863643</v>
      </c>
      <c r="AP106" s="590">
        <f>+AM$29*AO106+AN106</f>
        <v>305668.45814053714</v>
      </c>
      <c r="AQ106" s="589">
        <f>+AQ105</f>
        <v>14252682.73704545</v>
      </c>
      <c r="AR106" s="564">
        <f>+AR105</f>
        <v>904932.23727272719</v>
      </c>
      <c r="AS106" s="564">
        <f t="shared" si="17"/>
        <v>13347750.499772724</v>
      </c>
      <c r="AT106" s="590">
        <f>+AQ$29*AS106+AR106</f>
        <v>2522380.8939730022</v>
      </c>
      <c r="AU106" s="671"/>
      <c r="AV106" s="671"/>
      <c r="AW106" s="671"/>
      <c r="AX106" s="653"/>
      <c r="AY106" s="671"/>
      <c r="AZ106" s="671"/>
      <c r="BA106" s="671"/>
      <c r="BB106" s="653"/>
      <c r="BC106" s="671"/>
      <c r="BD106" s="671"/>
      <c r="BE106" s="671"/>
      <c r="BF106" s="653"/>
      <c r="BG106" s="671"/>
      <c r="BH106" s="671"/>
      <c r="BI106" s="671"/>
      <c r="BJ106" s="653"/>
      <c r="BK106" s="671"/>
      <c r="BL106" s="671"/>
      <c r="BM106" s="671"/>
      <c r="BN106" s="653"/>
      <c r="BO106" s="671"/>
      <c r="BP106" s="671"/>
      <c r="BQ106" s="671"/>
      <c r="BR106" s="653"/>
      <c r="BS106" s="589">
        <f>+BS105</f>
        <v>132974.18181818211</v>
      </c>
      <c r="BT106" s="564">
        <f>+BT105</f>
        <v>8310.886363636364</v>
      </c>
      <c r="BU106" s="564">
        <f t="shared" si="18"/>
        <v>124663.29545454575</v>
      </c>
      <c r="BV106" s="590">
        <f>+BS$29*BU106+BT106</f>
        <v>23417.287983611044</v>
      </c>
      <c r="BW106" s="589">
        <f>+BW105</f>
        <v>9373669.9431818351</v>
      </c>
      <c r="BX106" s="564">
        <f>+BX105</f>
        <v>576841.22727272729</v>
      </c>
      <c r="BY106" s="564">
        <f t="shared" si="20"/>
        <v>8796828.7159091085</v>
      </c>
      <c r="BZ106" s="590">
        <f>+BW$29*BY106+BX106</f>
        <v>1589132.0338328644</v>
      </c>
      <c r="CA106" s="589">
        <f>+CA105</f>
        <v>884551.20000000158</v>
      </c>
      <c r="CB106" s="564">
        <f>+CB105</f>
        <v>54433.919999999998</v>
      </c>
      <c r="CC106" s="564">
        <f t="shared" si="21"/>
        <v>830117.28000000154</v>
      </c>
      <c r="CD106" s="590">
        <f>+CA$29*CC106+CB106</f>
        <v>155025.55747948022</v>
      </c>
      <c r="CE106" s="589">
        <f>+CE105</f>
        <v>76781.722727272921</v>
      </c>
      <c r="CF106" s="564">
        <f>+CF105</f>
        <v>4725.0290909090909</v>
      </c>
      <c r="CG106" s="564">
        <f t="shared" si="22"/>
        <v>72056.693636363838</v>
      </c>
      <c r="CH106" s="590">
        <f>+CE$29*CG106+CF106</f>
        <v>13456.687832236663</v>
      </c>
      <c r="CI106" s="589">
        <f>+CI105</f>
        <v>213257.04545454506</v>
      </c>
      <c r="CJ106" s="564">
        <f>+CJ105</f>
        <v>12362.727272727272</v>
      </c>
      <c r="CK106" s="564">
        <f t="shared" si="24"/>
        <v>200894.3181818178</v>
      </c>
      <c r="CL106" s="590">
        <f>+CI$29*CK106+CJ106</f>
        <v>35480.543698757858</v>
      </c>
      <c r="CM106" s="589">
        <f>+CM105</f>
        <v>10520293.362784099</v>
      </c>
      <c r="CN106" s="564">
        <f>+CN105</f>
        <v>483691.64886363636</v>
      </c>
      <c r="CO106" s="564">
        <f t="shared" si="34"/>
        <v>10036601.713920463</v>
      </c>
      <c r="CP106" s="590">
        <f>+CM$29*CO106+CN106</f>
        <v>1638648.7330834374</v>
      </c>
      <c r="CQ106" s="589">
        <f>+CQ105</f>
        <v>43885757.22392045</v>
      </c>
      <c r="CR106" s="564">
        <f>+CR105</f>
        <v>2017735.9643181816</v>
      </c>
      <c r="CS106" s="564">
        <f t="shared" si="40"/>
        <v>41868021.259602271</v>
      </c>
      <c r="CT106" s="590">
        <f>+CQ$29*CS106+CR106</f>
        <v>6835678.2454166617</v>
      </c>
      <c r="CU106" s="589">
        <f>+CU105</f>
        <v>14876298.195000025</v>
      </c>
      <c r="CV106" s="564">
        <f>+CV105</f>
        <v>676195.37250000006</v>
      </c>
      <c r="CW106" s="564">
        <f t="shared" si="41"/>
        <v>14200102.822500024</v>
      </c>
      <c r="CX106" s="590">
        <f>+CU$29*CW106+CV106</f>
        <v>2310265.3315329449</v>
      </c>
      <c r="CY106" s="589">
        <f>+CY105</f>
        <v>16508.786931818202</v>
      </c>
      <c r="CZ106" s="564">
        <f>+CZ105</f>
        <v>733.72386363636497</v>
      </c>
      <c r="DA106" s="564">
        <f t="shared" si="42"/>
        <v>15775.063068181837</v>
      </c>
      <c r="DB106" s="590">
        <f>+CY$29*DA106+CZ106</f>
        <v>2549.0316106141927</v>
      </c>
      <c r="DC106" s="589">
        <f>+DC105</f>
        <v>990807.46818182012</v>
      </c>
      <c r="DD106" s="564">
        <f>+DD105</f>
        <v>44530.672727272722</v>
      </c>
      <c r="DE106" s="564">
        <f t="shared" si="43"/>
        <v>946276.79545454739</v>
      </c>
      <c r="DF106" s="590">
        <f>+DC$29*DE106+DD106</f>
        <v>153423.01693848209</v>
      </c>
      <c r="DG106" s="589">
        <f>+DG105</f>
        <v>554388.17215908994</v>
      </c>
      <c r="DH106" s="564">
        <f>+DH105</f>
        <v>24639.474318181816</v>
      </c>
      <c r="DI106" s="564">
        <f t="shared" si="44"/>
        <v>529748.69784090808</v>
      </c>
      <c r="DJ106" s="590">
        <f>+DG$29*DI106+DH106</f>
        <v>85600.049308317379</v>
      </c>
      <c r="DK106" s="589">
        <f>+DK105</f>
        <v>12184103.596477278</v>
      </c>
      <c r="DL106" s="564">
        <f>+DL105</f>
        <v>549658.80886363634</v>
      </c>
      <c r="DM106" s="564">
        <f t="shared" si="45"/>
        <v>11634444.787613641</v>
      </c>
      <c r="DN106" s="590">
        <f>+DK$29*DM106+DL106</f>
        <v>1888486.9113857686</v>
      </c>
      <c r="DO106" s="589">
        <f>+DO105</f>
        <v>453897.63950757543</v>
      </c>
      <c r="DP106" s="564">
        <f>+DP105</f>
        <v>19592.703863636354</v>
      </c>
      <c r="DQ106" s="564">
        <f t="shared" si="134"/>
        <v>434304.93564393907</v>
      </c>
      <c r="DR106" s="590">
        <f>+DO$29*DQ106+DP106</f>
        <v>69570.134116535919</v>
      </c>
      <c r="DS106" s="589">
        <f>+DS105</f>
        <v>194950.18909090856</v>
      </c>
      <c r="DT106" s="564">
        <f>+DT105</f>
        <v>8295.7527272726966</v>
      </c>
      <c r="DU106" s="564">
        <f t="shared" si="61"/>
        <v>186654.43636363588</v>
      </c>
      <c r="DV106" s="590">
        <f>+DS$29*DU106+DT106</f>
        <v>29774.921645596449</v>
      </c>
      <c r="DW106" s="589">
        <f>+DW105</f>
        <v>28405.999261363584</v>
      </c>
      <c r="DX106" s="564">
        <f>+DX105</f>
        <v>1221.7634090909089</v>
      </c>
      <c r="DY106" s="564">
        <f t="shared" si="62"/>
        <v>27184.235852272675</v>
      </c>
      <c r="DZ106" s="590">
        <f>+DW$29*DY106+DX106</f>
        <v>4349.9761918237391</v>
      </c>
      <c r="EA106" s="589">
        <f>+EA105</f>
        <v>-170293.87971591024</v>
      </c>
      <c r="EB106" s="564">
        <f>+EB105</f>
        <v>-7120.3015909091364</v>
      </c>
      <c r="EC106" s="564">
        <f t="shared" si="63"/>
        <v>-163173.57812500111</v>
      </c>
      <c r="ED106" s="590">
        <f>+EA$29*EC106+EB106</f>
        <v>-25897.422112846056</v>
      </c>
      <c r="EE106" s="589">
        <f>+EE105</f>
        <v>4882763.8545454489</v>
      </c>
      <c r="EF106" s="564">
        <f>+EF105</f>
        <v>192108.74181818182</v>
      </c>
      <c r="EG106" s="564">
        <f t="shared" si="72"/>
        <v>4690655.1127272667</v>
      </c>
      <c r="EH106" s="590">
        <f>+EE$29*EG106+EF106</f>
        <v>731883.60850062373</v>
      </c>
      <c r="EI106" s="589">
        <f>+EI105</f>
        <v>198139.18314393924</v>
      </c>
      <c r="EJ106" s="564">
        <f>+EJ105</f>
        <v>7669.903863636363</v>
      </c>
      <c r="EK106" s="564">
        <f t="shared" si="74"/>
        <v>190469.27928030287</v>
      </c>
      <c r="EL106" s="590">
        <f>+EI$29*EK106+EJ106</f>
        <v>29588.063984099706</v>
      </c>
      <c r="EM106" s="589">
        <f>+EM105</f>
        <v>6775796.1227272768</v>
      </c>
      <c r="EN106" s="564">
        <f>+EN105</f>
        <v>260607.54318181818</v>
      </c>
      <c r="EO106" s="564">
        <f t="shared" si="76"/>
        <v>6515188.5795454588</v>
      </c>
      <c r="EP106" s="590">
        <f>+EM$29*EO106+EN106</f>
        <v>1010339.7154306533</v>
      </c>
      <c r="EQ106" s="678">
        <f t="shared" si="94"/>
        <v>25944053.551353432</v>
      </c>
      <c r="ER106" s="675">
        <f>+EQ106</f>
        <v>25944053.551353432</v>
      </c>
      <c r="ES106" s="648"/>
      <c r="EV106" s="589"/>
      <c r="EW106" s="564"/>
      <c r="EX106" s="564"/>
      <c r="EY106" s="590"/>
      <c r="EZ106" s="589"/>
      <c r="FA106" s="564"/>
      <c r="FB106" s="564"/>
      <c r="FC106" s="590"/>
      <c r="FD106" s="589"/>
      <c r="FE106" s="564"/>
      <c r="FF106" s="564"/>
      <c r="FG106" s="590"/>
      <c r="FH106" s="589"/>
      <c r="FI106" s="564"/>
      <c r="FJ106" s="564"/>
      <c r="FK106" s="590"/>
      <c r="FL106" s="589"/>
      <c r="FM106" s="564"/>
      <c r="FN106" s="564"/>
      <c r="FO106" s="590"/>
      <c r="FP106" s="589"/>
      <c r="FQ106" s="564"/>
      <c r="FR106" s="564"/>
      <c r="FS106" s="590"/>
      <c r="FT106" s="589"/>
      <c r="FU106" s="564"/>
      <c r="FV106" s="564"/>
      <c r="FW106" s="590"/>
      <c r="FX106" s="589"/>
      <c r="FY106" s="564"/>
      <c r="FZ106" s="564"/>
      <c r="GA106" s="590"/>
      <c r="GB106" s="589"/>
      <c r="GC106" s="564"/>
      <c r="GD106" s="564"/>
      <c r="GE106" s="590"/>
      <c r="GF106" s="589"/>
      <c r="GG106" s="564"/>
      <c r="GH106" s="564"/>
      <c r="GI106" s="590"/>
      <c r="GJ106" s="589"/>
      <c r="GK106" s="564"/>
      <c r="GL106" s="564"/>
      <c r="GM106" s="590"/>
      <c r="GN106" s="589"/>
      <c r="GO106" s="564"/>
      <c r="GP106" s="564"/>
      <c r="GQ106" s="590"/>
      <c r="GR106" s="589"/>
      <c r="GS106" s="564"/>
      <c r="GT106" s="564"/>
      <c r="GU106" s="590"/>
      <c r="GV106" s="672"/>
      <c r="GW106" s="676"/>
      <c r="GX106" s="676"/>
      <c r="GY106" s="1366"/>
      <c r="GZ106" s="1367"/>
      <c r="HA106" s="1373"/>
      <c r="HB106" s="1373"/>
      <c r="HC106" s="1366"/>
      <c r="HD106" s="1367"/>
      <c r="HE106" s="1373"/>
      <c r="HF106" s="1373"/>
      <c r="HG106" s="1366"/>
      <c r="HI106" s="589"/>
      <c r="HJ106" s="564"/>
      <c r="HK106" s="564"/>
      <c r="HL106" s="590"/>
      <c r="HM106" s="589"/>
      <c r="HN106" s="564"/>
      <c r="HO106" s="564"/>
      <c r="HP106" s="590"/>
      <c r="HQ106" s="589"/>
      <c r="HR106" s="564"/>
      <c r="HS106" s="564"/>
      <c r="HT106" s="590"/>
    </row>
    <row r="107" spans="1:228">
      <c r="A107" s="649" t="s">
        <v>24</v>
      </c>
      <c r="B107" s="670">
        <v>2040</v>
      </c>
      <c r="C107" s="671">
        <f>+E106</f>
        <v>5683847.7971590832</v>
      </c>
      <c r="D107" s="671">
        <f>+C$31</f>
        <v>445791.98409090913</v>
      </c>
      <c r="E107" s="671">
        <f t="shared" si="6"/>
        <v>5238055.8130681738</v>
      </c>
      <c r="F107" s="653">
        <f>+C$28*E107+D107</f>
        <v>1048558.7214070871</v>
      </c>
      <c r="G107" s="671">
        <f>+I106</f>
        <v>1448009.3693181798</v>
      </c>
      <c r="H107" s="671">
        <f>+G$31</f>
        <v>115840.74954545456</v>
      </c>
      <c r="I107" s="671">
        <f t="shared" si="7"/>
        <v>1332168.6197727253</v>
      </c>
      <c r="J107" s="653">
        <f>+G$28*I107+H107</f>
        <v>269139.40865711734</v>
      </c>
      <c r="K107" s="672">
        <f>+M106</f>
        <v>3588682.1933522699</v>
      </c>
      <c r="L107" s="671">
        <f>+K$31</f>
        <v>305419.76113636367</v>
      </c>
      <c r="M107" s="671">
        <f t="shared" si="8"/>
        <v>3283262.4322159062</v>
      </c>
      <c r="N107" s="653">
        <f>+K$28*M107+L107</f>
        <v>683239.596328296</v>
      </c>
      <c r="O107" s="672">
        <f>+Q106</f>
        <v>1650542.4015151476</v>
      </c>
      <c r="P107" s="671">
        <f>+O$31</f>
        <v>119316.31818181818</v>
      </c>
      <c r="Q107" s="671">
        <f t="shared" si="11"/>
        <v>1531226.0833333295</v>
      </c>
      <c r="R107" s="653">
        <f>+O$28*Q107+P107</f>
        <v>295521.41856306687</v>
      </c>
      <c r="S107" s="589">
        <f>+U106</f>
        <v>709507.74969696649</v>
      </c>
      <c r="T107" s="564">
        <f>+S$31</f>
        <v>58315.705454545445</v>
      </c>
      <c r="U107" s="564">
        <f t="shared" si="12"/>
        <v>651192.04424242105</v>
      </c>
      <c r="V107" s="590">
        <f>+S$28*U107+T107</f>
        <v>133251.31474969361</v>
      </c>
      <c r="W107" s="589">
        <f>+Y106</f>
        <v>9590561.6553030387</v>
      </c>
      <c r="X107" s="564">
        <f>+W$31</f>
        <v>693293.61363636365</v>
      </c>
      <c r="Y107" s="564">
        <f t="shared" si="13"/>
        <v>8897268.0416666754</v>
      </c>
      <c r="Z107" s="590">
        <f>+W$28*Y107+X107</f>
        <v>1717142.4269924732</v>
      </c>
      <c r="AA107" s="589">
        <f>+AC106</f>
        <v>6274096.6950757569</v>
      </c>
      <c r="AB107" s="564">
        <f>+AA$31</f>
        <v>450833.29545454547</v>
      </c>
      <c r="AC107" s="564">
        <f t="shared" si="14"/>
        <v>5823263.399621211</v>
      </c>
      <c r="AD107" s="590">
        <f>+AA$28*AC107+AB107</f>
        <v>1120942.5125356785</v>
      </c>
      <c r="AE107" s="589">
        <f>+AG106</f>
        <v>62071.465909090999</v>
      </c>
      <c r="AF107" s="564">
        <f>+AE$31</f>
        <v>4597.886363636364</v>
      </c>
      <c r="AG107" s="564">
        <f t="shared" si="15"/>
        <v>57473.579545454631</v>
      </c>
      <c r="AH107" s="590">
        <f>+AE$28*AG107+AF107</f>
        <v>11211.630710931393</v>
      </c>
      <c r="AI107" s="589">
        <f>+AK106</f>
        <v>4383953.571969701</v>
      </c>
      <c r="AJ107" s="564">
        <f>+AI$31</f>
        <v>295547.43181818182</v>
      </c>
      <c r="AK107" s="564">
        <f t="shared" si="19"/>
        <v>4088406.1401515193</v>
      </c>
      <c r="AL107" s="590">
        <f>+AI$28*AK107+AJ107</f>
        <v>766018.78948763595</v>
      </c>
      <c r="AM107" s="589">
        <f>+AO106</f>
        <v>1607570.2773863643</v>
      </c>
      <c r="AN107" s="564">
        <f>+AM$31</f>
        <v>110866.91568181818</v>
      </c>
      <c r="AO107" s="564">
        <f t="shared" si="16"/>
        <v>1496703.361704546</v>
      </c>
      <c r="AP107" s="590">
        <f>+AM$28*AO107+AN107</f>
        <v>283099.33058164443</v>
      </c>
      <c r="AQ107" s="589">
        <f>+AS106</f>
        <v>13347750.499772724</v>
      </c>
      <c r="AR107" s="564">
        <f>+AQ$31</f>
        <v>904932.23727272719</v>
      </c>
      <c r="AS107" s="564">
        <f t="shared" si="17"/>
        <v>12442818.262499997</v>
      </c>
      <c r="AT107" s="590">
        <f>+AQ$28*AS107+AR107</f>
        <v>2336783.5261409357</v>
      </c>
      <c r="AU107" s="671"/>
      <c r="AV107" s="671"/>
      <c r="AW107" s="671"/>
      <c r="AX107" s="653"/>
      <c r="AY107" s="671"/>
      <c r="AZ107" s="671"/>
      <c r="BA107" s="671"/>
      <c r="BB107" s="653"/>
      <c r="BC107" s="671"/>
      <c r="BD107" s="671"/>
      <c r="BE107" s="671"/>
      <c r="BF107" s="653"/>
      <c r="BG107" s="671"/>
      <c r="BH107" s="671"/>
      <c r="BI107" s="671"/>
      <c r="BJ107" s="653"/>
      <c r="BK107" s="671"/>
      <c r="BL107" s="671"/>
      <c r="BM107" s="671"/>
      <c r="BN107" s="653"/>
      <c r="BO107" s="671"/>
      <c r="BP107" s="671"/>
      <c r="BQ107" s="671"/>
      <c r="BR107" s="653"/>
      <c r="BS107" s="589">
        <f>+BU106</f>
        <v>124663.29545454575</v>
      </c>
      <c r="BT107" s="564">
        <f>+BS$31</f>
        <v>8310.886363636364</v>
      </c>
      <c r="BU107" s="564">
        <f t="shared" si="18"/>
        <v>116352.40909090938</v>
      </c>
      <c r="BV107" s="590">
        <f>+BS$28*BU107+BT107</f>
        <v>21700.083521794222</v>
      </c>
      <c r="BW107" s="589">
        <f>+BY106</f>
        <v>8796828.7159091085</v>
      </c>
      <c r="BX107" s="564">
        <f>+BW$31</f>
        <v>576841.22727272729</v>
      </c>
      <c r="BY107" s="564">
        <f t="shared" si="20"/>
        <v>8219987.488636381</v>
      </c>
      <c r="BZ107" s="590">
        <f>+BW$28*BY107+BX107</f>
        <v>1522752.3088125275</v>
      </c>
      <c r="CA107" s="589">
        <f>+CC106</f>
        <v>830117.28000000154</v>
      </c>
      <c r="CB107" s="564">
        <f>+CA$31</f>
        <v>54433.919999999998</v>
      </c>
      <c r="CC107" s="564">
        <f t="shared" si="21"/>
        <v>775683.3600000015</v>
      </c>
      <c r="CD107" s="590">
        <f>+CA$28*CC107+CB107</f>
        <v>143695.30719850364</v>
      </c>
      <c r="CE107" s="589">
        <f>+CG106</f>
        <v>72056.693636363838</v>
      </c>
      <c r="CF107" s="564">
        <f>+CE$31</f>
        <v>4725.0290909090909</v>
      </c>
      <c r="CG107" s="564">
        <f t="shared" si="22"/>
        <v>67331.664545454754</v>
      </c>
      <c r="CH107" s="590">
        <f>+CE$28*CG107+CF107</f>
        <v>12473.187797976865</v>
      </c>
      <c r="CI107" s="589">
        <f>+CK106</f>
        <v>200894.3181818178</v>
      </c>
      <c r="CJ107" s="564">
        <f>+CI$31</f>
        <v>12362.727272727272</v>
      </c>
      <c r="CK107" s="564">
        <f t="shared" si="24"/>
        <v>188531.59090909053</v>
      </c>
      <c r="CL107" s="590">
        <f>+CI$28*CK107+CJ107</f>
        <v>34057.908841771365</v>
      </c>
      <c r="CM107" s="589">
        <f>+CO106</f>
        <v>10036601.713920463</v>
      </c>
      <c r="CN107" s="564">
        <f>+CM$31</f>
        <v>483691.64886363636</v>
      </c>
      <c r="CO107" s="564">
        <f t="shared" si="34"/>
        <v>9552910.0650568269</v>
      </c>
      <c r="CP107" s="590">
        <f>+CM$28*CO107+CN107</f>
        <v>1582988.1507113988</v>
      </c>
      <c r="CQ107" s="589">
        <f>+CS106</f>
        <v>41868021.259602271</v>
      </c>
      <c r="CR107" s="564">
        <f>+CQ$31</f>
        <v>2017735.9643181816</v>
      </c>
      <c r="CS107" s="564">
        <f t="shared" si="40"/>
        <v>39850285.295284092</v>
      </c>
      <c r="CT107" s="590">
        <f>+CQ$28*CS107+CR107</f>
        <v>6603488.2559661334</v>
      </c>
      <c r="CU107" s="589">
        <f>+CW106</f>
        <v>14200102.822500024</v>
      </c>
      <c r="CV107" s="564">
        <f>+CU$31</f>
        <v>676195.37250000006</v>
      </c>
      <c r="CW107" s="564">
        <f t="shared" si="41"/>
        <v>13523907.450000023</v>
      </c>
      <c r="CX107" s="590">
        <f>+CU$28*CW107+CV107</f>
        <v>2232452.4763409002</v>
      </c>
      <c r="CY107" s="589">
        <f>+DA106</f>
        <v>15775.063068181837</v>
      </c>
      <c r="CZ107" s="564">
        <f>+CY$31</f>
        <v>733.72386363636497</v>
      </c>
      <c r="DA107" s="564">
        <f t="shared" si="42"/>
        <v>15041.339204545471</v>
      </c>
      <c r="DB107" s="590">
        <f>+CY$28*DA107+CZ107</f>
        <v>2464.5986921501076</v>
      </c>
      <c r="DC107" s="589">
        <f>+DE106</f>
        <v>946276.79545454739</v>
      </c>
      <c r="DD107" s="564">
        <f>+DC$31</f>
        <v>44530.672727272722</v>
      </c>
      <c r="DE107" s="564">
        <f t="shared" si="43"/>
        <v>901746.12272727466</v>
      </c>
      <c r="DF107" s="590">
        <f>+DC$28*DE107+DD107</f>
        <v>148298.67132854284</v>
      </c>
      <c r="DG107" s="589">
        <f>+DI106</f>
        <v>529748.69784090808</v>
      </c>
      <c r="DH107" s="564">
        <f>+DG$31</f>
        <v>24639.474318181816</v>
      </c>
      <c r="DI107" s="564">
        <f t="shared" si="44"/>
        <v>505109.22352272627</v>
      </c>
      <c r="DJ107" s="590">
        <f>+DG$28*DI107+DH107</f>
        <v>82764.673727380839</v>
      </c>
      <c r="DK107" s="589">
        <f>+DM106</f>
        <v>11634444.787613641</v>
      </c>
      <c r="DL107" s="564">
        <f>+DK$31</f>
        <v>549658.80886363634</v>
      </c>
      <c r="DM107" s="564">
        <f t="shared" si="45"/>
        <v>11084785.978750005</v>
      </c>
      <c r="DN107" s="590">
        <f>+DK$28*DM107+DL107</f>
        <v>1825235.1900067702</v>
      </c>
      <c r="DO107" s="589">
        <f>+DQ106</f>
        <v>434304.93564393907</v>
      </c>
      <c r="DP107" s="564">
        <f>+DO$31</f>
        <v>19592.703863636354</v>
      </c>
      <c r="DQ107" s="564">
        <f t="shared" si="134"/>
        <v>414712.23178030271</v>
      </c>
      <c r="DR107" s="590">
        <f>+DO$28*DQ107+DP107</f>
        <v>67315.513202871269</v>
      </c>
      <c r="DS107" s="589">
        <f>+DU106</f>
        <v>186654.43636363588</v>
      </c>
      <c r="DT107" s="564">
        <f>+DS$31</f>
        <v>8295.7527272726966</v>
      </c>
      <c r="DU107" s="564">
        <f t="shared" si="61"/>
        <v>178358.68363636319</v>
      </c>
      <c r="DV107" s="590">
        <f>+DS$28*DU107+DT107</f>
        <v>28820.291915893169</v>
      </c>
      <c r="DW107" s="589">
        <f>+DY106</f>
        <v>27184.235852272675</v>
      </c>
      <c r="DX107" s="564">
        <f>+DW$31</f>
        <v>1221.7634090909089</v>
      </c>
      <c r="DY107" s="564">
        <f t="shared" si="62"/>
        <v>25962.472443181767</v>
      </c>
      <c r="DZ107" s="590">
        <f>+DW$28*DY107+DX107</f>
        <v>4209.3823588919267</v>
      </c>
      <c r="EA107" s="589">
        <f>+EC106</f>
        <v>-163173.57812500111</v>
      </c>
      <c r="EB107" s="564">
        <f>+EA$31</f>
        <v>-7120.3015909091364</v>
      </c>
      <c r="EC107" s="564">
        <f t="shared" si="63"/>
        <v>-156053.27653409197</v>
      </c>
      <c r="ED107" s="590">
        <f>+EA$28*EC107+EB107</f>
        <v>-25078.056853706992</v>
      </c>
      <c r="EE107" s="589">
        <f>+EG106</f>
        <v>4690655.1127272667</v>
      </c>
      <c r="EF107" s="564">
        <f>+EE$31</f>
        <v>192108.74181818182</v>
      </c>
      <c r="EG107" s="564">
        <f t="shared" si="72"/>
        <v>4498546.3709090846</v>
      </c>
      <c r="EH107" s="590">
        <f>+EE$28*EG107+EF107</f>
        <v>709776.78802216193</v>
      </c>
      <c r="EI107" s="589">
        <f>+EK106</f>
        <v>190469.27928030287</v>
      </c>
      <c r="EJ107" s="564">
        <f>+EI$31</f>
        <v>7669.903863636363</v>
      </c>
      <c r="EK107" s="564">
        <f t="shared" si="74"/>
        <v>182799.3754166665</v>
      </c>
      <c r="EL107" s="590">
        <f>+EI$28*EK107+EJ107</f>
        <v>28705.453509450173</v>
      </c>
      <c r="EM107" s="589">
        <f>+EO106</f>
        <v>6515188.5795454588</v>
      </c>
      <c r="EN107" s="564">
        <f>+EM$31</f>
        <v>260607.54318181818</v>
      </c>
      <c r="EO107" s="564">
        <f t="shared" si="76"/>
        <v>6254581.0363636408</v>
      </c>
      <c r="EP107" s="590">
        <f>+EM$28*EO107+EN107</f>
        <v>980350.42854069988</v>
      </c>
      <c r="EQ107" s="678">
        <f t="shared" si="94"/>
        <v>24671379.289796673</v>
      </c>
      <c r="ER107" s="652"/>
      <c r="ES107" s="674">
        <f>+EQ107</f>
        <v>24671379.289796673</v>
      </c>
      <c r="EV107" s="589"/>
      <c r="EW107" s="564"/>
      <c r="EX107" s="564"/>
      <c r="EY107" s="590"/>
      <c r="EZ107" s="589"/>
      <c r="FA107" s="564"/>
      <c r="FB107" s="564"/>
      <c r="FC107" s="590"/>
      <c r="FD107" s="589"/>
      <c r="FE107" s="564"/>
      <c r="FF107" s="564"/>
      <c r="FG107" s="590"/>
      <c r="FH107" s="589"/>
      <c r="FI107" s="564"/>
      <c r="FJ107" s="564"/>
      <c r="FK107" s="590"/>
      <c r="FL107" s="589"/>
      <c r="FM107" s="564"/>
      <c r="FN107" s="564"/>
      <c r="FO107" s="590"/>
      <c r="FP107" s="589"/>
      <c r="FQ107" s="564"/>
      <c r="FR107" s="564"/>
      <c r="FS107" s="590"/>
      <c r="FT107" s="589"/>
      <c r="FU107" s="564"/>
      <c r="FV107" s="564"/>
      <c r="FW107" s="590"/>
      <c r="FX107" s="589"/>
      <c r="FY107" s="564"/>
      <c r="FZ107" s="564"/>
      <c r="GA107" s="590"/>
      <c r="GB107" s="589"/>
      <c r="GC107" s="564"/>
      <c r="GD107" s="564"/>
      <c r="GE107" s="590"/>
      <c r="GF107" s="589"/>
      <c r="GG107" s="564"/>
      <c r="GH107" s="564"/>
      <c r="GI107" s="590"/>
      <c r="GJ107" s="589"/>
      <c r="GK107" s="564"/>
      <c r="GL107" s="564"/>
      <c r="GM107" s="590"/>
      <c r="GN107" s="589"/>
      <c r="GO107" s="564"/>
      <c r="GP107" s="564"/>
      <c r="GQ107" s="590"/>
      <c r="GR107" s="589"/>
      <c r="GS107" s="564"/>
      <c r="GT107" s="564"/>
      <c r="GU107" s="590"/>
      <c r="GV107" s="672"/>
      <c r="GW107" s="676"/>
      <c r="GX107" s="676"/>
      <c r="GY107" s="1366"/>
      <c r="GZ107" s="1367"/>
      <c r="HA107" s="1373"/>
      <c r="HB107" s="1373"/>
      <c r="HC107" s="1366"/>
      <c r="HD107" s="1367"/>
      <c r="HE107" s="1373"/>
      <c r="HF107" s="1373"/>
      <c r="HG107" s="1366"/>
      <c r="HI107" s="589"/>
      <c r="HJ107" s="564"/>
      <c r="HK107" s="564"/>
      <c r="HL107" s="590"/>
      <c r="HM107" s="589"/>
      <c r="HN107" s="564"/>
      <c r="HO107" s="564"/>
      <c r="HP107" s="590"/>
      <c r="HQ107" s="589"/>
      <c r="HR107" s="564"/>
      <c r="HS107" s="564"/>
      <c r="HT107" s="590"/>
    </row>
    <row r="108" spans="1:228">
      <c r="A108" s="649" t="s">
        <v>23</v>
      </c>
      <c r="B108" s="670">
        <v>2040</v>
      </c>
      <c r="C108" s="671">
        <f>+C107</f>
        <v>5683847.7971590832</v>
      </c>
      <c r="D108" s="671">
        <f>+D107</f>
        <v>445791.98409090913</v>
      </c>
      <c r="E108" s="671">
        <f t="shared" si="6"/>
        <v>5238055.8130681738</v>
      </c>
      <c r="F108" s="653">
        <f>+C$29*E108+D108</f>
        <v>1080527.12831708</v>
      </c>
      <c r="G108" s="671">
        <f>+G107</f>
        <v>1448009.3693181798</v>
      </c>
      <c r="H108" s="671">
        <f>+H107</f>
        <v>115840.74954545456</v>
      </c>
      <c r="I108" s="671">
        <f t="shared" si="7"/>
        <v>1332168.6197727253</v>
      </c>
      <c r="J108" s="653">
        <f>+G$29*I108+H108</f>
        <v>277269.77420293097</v>
      </c>
      <c r="K108" s="672">
        <f>+K107</f>
        <v>3588682.1933522699</v>
      </c>
      <c r="L108" s="671">
        <f>+L107</f>
        <v>305419.76113636367</v>
      </c>
      <c r="M108" s="671">
        <f t="shared" si="8"/>
        <v>3283262.4322159062</v>
      </c>
      <c r="N108" s="653">
        <f>+K$29*M108+L108</f>
        <v>703277.69312816404</v>
      </c>
      <c r="O108" s="672">
        <f>+O107</f>
        <v>1650542.4015151476</v>
      </c>
      <c r="P108" s="671">
        <f>+P107</f>
        <v>119316.31818181818</v>
      </c>
      <c r="Q108" s="671">
        <f t="shared" si="11"/>
        <v>1531226.0833333295</v>
      </c>
      <c r="R108" s="653">
        <f>+O$29*Q108+P108</f>
        <v>304866.65279693471</v>
      </c>
      <c r="S108" s="589">
        <f>+S107</f>
        <v>709507.74969696649</v>
      </c>
      <c r="T108" s="564">
        <f>+T107</f>
        <v>58315.705454545445</v>
      </c>
      <c r="U108" s="564">
        <f t="shared" si="12"/>
        <v>651192.04424242105</v>
      </c>
      <c r="V108" s="590">
        <f>+S$29*U108+T108</f>
        <v>137225.60845518549</v>
      </c>
      <c r="W108" s="589">
        <f>+W107</f>
        <v>9590561.6553030387</v>
      </c>
      <c r="X108" s="564">
        <f>+X107</f>
        <v>693293.61363636365</v>
      </c>
      <c r="Y108" s="564">
        <f t="shared" si="13"/>
        <v>8897268.0416666754</v>
      </c>
      <c r="Z108" s="590">
        <f>+W$29*Y108+X108</f>
        <v>1771443.3919485286</v>
      </c>
      <c r="AA108" s="589">
        <f>+AA107</f>
        <v>6274096.6950757569</v>
      </c>
      <c r="AB108" s="564">
        <f>+AB107</f>
        <v>450833.29545454547</v>
      </c>
      <c r="AC108" s="564">
        <f t="shared" si="14"/>
        <v>5823263.399621211</v>
      </c>
      <c r="AD108" s="590">
        <f>+AA$29*AC108+AB108</f>
        <v>1156482.5030487077</v>
      </c>
      <c r="AE108" s="589">
        <f>+AE107</f>
        <v>62071.465909090999</v>
      </c>
      <c r="AF108" s="564">
        <f>+AF107</f>
        <v>4597.886363636364</v>
      </c>
      <c r="AG108" s="564">
        <f t="shared" si="15"/>
        <v>57473.579545454631</v>
      </c>
      <c r="AH108" s="590">
        <f>+AE$29*AG108+AF108</f>
        <v>11562.398026716586</v>
      </c>
      <c r="AI108" s="589">
        <f>+AI107</f>
        <v>4383953.571969701</v>
      </c>
      <c r="AJ108" s="564">
        <f>+AJ107</f>
        <v>295547.43181818182</v>
      </c>
      <c r="AK108" s="564">
        <f t="shared" si="19"/>
        <v>4088406.1401515193</v>
      </c>
      <c r="AL108" s="590">
        <f>+AI$29*AK108+AJ108</f>
        <v>790970.76322865649</v>
      </c>
      <c r="AM108" s="589">
        <f>+AM107</f>
        <v>1607570.2773863643</v>
      </c>
      <c r="AN108" s="564">
        <f>+AN107</f>
        <v>110866.91568181818</v>
      </c>
      <c r="AO108" s="564">
        <f t="shared" si="16"/>
        <v>1496703.361704546</v>
      </c>
      <c r="AP108" s="590">
        <f>+AM$29*AO108+AN108</f>
        <v>292233.86900545307</v>
      </c>
      <c r="AQ108" s="589">
        <f>+AQ107</f>
        <v>13347750.499772724</v>
      </c>
      <c r="AR108" s="564">
        <f>+AR107</f>
        <v>904932.23727272719</v>
      </c>
      <c r="AS108" s="564">
        <f t="shared" si="17"/>
        <v>12442818.262499997</v>
      </c>
      <c r="AT108" s="590">
        <f>+AQ$29*AS108+AR108</f>
        <v>2412723.3579255263</v>
      </c>
      <c r="AU108" s="671"/>
      <c r="AV108" s="671"/>
      <c r="AW108" s="671"/>
      <c r="AX108" s="653"/>
      <c r="AY108" s="671"/>
      <c r="AZ108" s="671"/>
      <c r="BA108" s="671"/>
      <c r="BB108" s="653"/>
      <c r="BC108" s="671"/>
      <c r="BD108" s="671"/>
      <c r="BE108" s="671"/>
      <c r="BF108" s="653"/>
      <c r="BG108" s="671"/>
      <c r="BH108" s="671"/>
      <c r="BI108" s="671"/>
      <c r="BJ108" s="653"/>
      <c r="BK108" s="671"/>
      <c r="BL108" s="671"/>
      <c r="BM108" s="671"/>
      <c r="BN108" s="653"/>
      <c r="BO108" s="671"/>
      <c r="BP108" s="671"/>
      <c r="BQ108" s="671"/>
      <c r="BR108" s="653"/>
      <c r="BS108" s="589">
        <f>+BS107</f>
        <v>124663.29545454575</v>
      </c>
      <c r="BT108" s="564">
        <f>+BT107</f>
        <v>8310.886363636364</v>
      </c>
      <c r="BU108" s="564">
        <f t="shared" si="18"/>
        <v>116352.40909090938</v>
      </c>
      <c r="BV108" s="590">
        <f>+BS$29*BU108+BT108</f>
        <v>22410.194542279402</v>
      </c>
      <c r="BW108" s="589">
        <f>+BW107</f>
        <v>8796828.7159091085</v>
      </c>
      <c r="BX108" s="564">
        <f>+BX107</f>
        <v>576841.22727272729</v>
      </c>
      <c r="BY108" s="564">
        <f t="shared" si="20"/>
        <v>8219987.488636381</v>
      </c>
      <c r="BZ108" s="590">
        <f>+BW$29*BY108+BX108</f>
        <v>1522752.3088125275</v>
      </c>
      <c r="CA108" s="589">
        <f>+CA107</f>
        <v>830117.28000000154</v>
      </c>
      <c r="CB108" s="564">
        <f>+CB107</f>
        <v>54433.919999999998</v>
      </c>
      <c r="CC108" s="564">
        <f t="shared" si="21"/>
        <v>775683.3600000015</v>
      </c>
      <c r="CD108" s="590">
        <f>+CA$29*CC108+CB108</f>
        <v>148429.38453000609</v>
      </c>
      <c r="CE108" s="589">
        <f>+CE107</f>
        <v>72056.693636363838</v>
      </c>
      <c r="CF108" s="564">
        <f>+CF107</f>
        <v>4725.0290909090909</v>
      </c>
      <c r="CG108" s="564">
        <f t="shared" si="22"/>
        <v>67331.664545454754</v>
      </c>
      <c r="CH108" s="590">
        <f>+CE$29*CG108+CF108</f>
        <v>12884.120045920103</v>
      </c>
      <c r="CI108" s="589">
        <f>+CI107</f>
        <v>200894.3181818178</v>
      </c>
      <c r="CJ108" s="564">
        <f>+CJ107</f>
        <v>12362.727272727272</v>
      </c>
      <c r="CK108" s="564">
        <f t="shared" si="24"/>
        <v>188531.59090909053</v>
      </c>
      <c r="CL108" s="590">
        <f>+CI$29*CK108+CJ108</f>
        <v>34057.908841771365</v>
      </c>
      <c r="CM108" s="589">
        <f>+CM107</f>
        <v>10036601.713920463</v>
      </c>
      <c r="CN108" s="564">
        <f>+CN107</f>
        <v>483691.64886363636</v>
      </c>
      <c r="CO108" s="564">
        <f t="shared" si="34"/>
        <v>9552910.0650568269</v>
      </c>
      <c r="CP108" s="590">
        <f>+CM$29*CO108+CN108</f>
        <v>1582988.1507113988</v>
      </c>
      <c r="CQ108" s="589">
        <f>+CQ107</f>
        <v>41868021.259602271</v>
      </c>
      <c r="CR108" s="564">
        <f>+CR107</f>
        <v>2017735.9643181816</v>
      </c>
      <c r="CS108" s="564">
        <f t="shared" si="40"/>
        <v>39850285.295284092</v>
      </c>
      <c r="CT108" s="590">
        <f>+CQ$29*CS108+CR108</f>
        <v>6603488.2559661334</v>
      </c>
      <c r="CU108" s="589">
        <f>+CU107</f>
        <v>14200102.822500024</v>
      </c>
      <c r="CV108" s="564">
        <f>+CV107</f>
        <v>676195.37250000006</v>
      </c>
      <c r="CW108" s="564">
        <f t="shared" si="41"/>
        <v>13523907.450000023</v>
      </c>
      <c r="CX108" s="590">
        <f>+CU$29*CW108+CV108</f>
        <v>2232452.4763409002</v>
      </c>
      <c r="CY108" s="589">
        <f>+CY107</f>
        <v>15775.063068181837</v>
      </c>
      <c r="CZ108" s="564">
        <f>+CZ107</f>
        <v>733.72386363636497</v>
      </c>
      <c r="DA108" s="564">
        <f t="shared" si="42"/>
        <v>15041.339204545471</v>
      </c>
      <c r="DB108" s="590">
        <f>+CY$29*DA108+CZ108</f>
        <v>2464.5986921501076</v>
      </c>
      <c r="DC108" s="589">
        <f>+DC107</f>
        <v>946276.79545454739</v>
      </c>
      <c r="DD108" s="564">
        <f>+DD107</f>
        <v>44530.672727272722</v>
      </c>
      <c r="DE108" s="564">
        <f t="shared" si="43"/>
        <v>901746.12272727466</v>
      </c>
      <c r="DF108" s="590">
        <f>+DC$29*DE108+DD108</f>
        <v>148298.67132854284</v>
      </c>
      <c r="DG108" s="589">
        <f>+DG107</f>
        <v>529748.69784090808</v>
      </c>
      <c r="DH108" s="564">
        <f>+DH107</f>
        <v>24639.474318181816</v>
      </c>
      <c r="DI108" s="564">
        <f t="shared" si="44"/>
        <v>505109.22352272627</v>
      </c>
      <c r="DJ108" s="590">
        <f>+DG$29*DI108+DH108</f>
        <v>82764.673727380839</v>
      </c>
      <c r="DK108" s="589">
        <f>+DK107</f>
        <v>11634444.787613641</v>
      </c>
      <c r="DL108" s="564">
        <f>+DL107</f>
        <v>549658.80886363634</v>
      </c>
      <c r="DM108" s="564">
        <f t="shared" si="45"/>
        <v>11084785.978750005</v>
      </c>
      <c r="DN108" s="590">
        <f>+DK$29*DM108+DL108</f>
        <v>1825235.1900067702</v>
      </c>
      <c r="DO108" s="589">
        <f>+DO107</f>
        <v>434304.93564393907</v>
      </c>
      <c r="DP108" s="564">
        <f>+DP107</f>
        <v>19592.703863636354</v>
      </c>
      <c r="DQ108" s="564">
        <f t="shared" si="134"/>
        <v>414712.23178030271</v>
      </c>
      <c r="DR108" s="590">
        <f>+DO$29*DQ108+DP108</f>
        <v>67315.513202871269</v>
      </c>
      <c r="DS108" s="589">
        <f>+DS107</f>
        <v>186654.43636363588</v>
      </c>
      <c r="DT108" s="564">
        <f>+DT107</f>
        <v>8295.7527272726966</v>
      </c>
      <c r="DU108" s="564">
        <f t="shared" si="61"/>
        <v>178358.68363636319</v>
      </c>
      <c r="DV108" s="590">
        <f>+DS$29*DU108+DT108</f>
        <v>28820.291915893169</v>
      </c>
      <c r="DW108" s="589">
        <f>+DW107</f>
        <v>27184.235852272675</v>
      </c>
      <c r="DX108" s="564">
        <f>+DX107</f>
        <v>1221.7634090909089</v>
      </c>
      <c r="DY108" s="564">
        <f t="shared" si="62"/>
        <v>25962.472443181767</v>
      </c>
      <c r="DZ108" s="590">
        <f>+DW$29*DY108+DX108</f>
        <v>4209.3823588919267</v>
      </c>
      <c r="EA108" s="589">
        <f>+EA107</f>
        <v>-163173.57812500111</v>
      </c>
      <c r="EB108" s="564">
        <f>+EB107</f>
        <v>-7120.3015909091364</v>
      </c>
      <c r="EC108" s="564">
        <f t="shared" si="63"/>
        <v>-156053.27653409197</v>
      </c>
      <c r="ED108" s="590">
        <f>+EA$29*EC108+EB108</f>
        <v>-25078.056853706992</v>
      </c>
      <c r="EE108" s="589">
        <f>+EE107</f>
        <v>4690655.1127272667</v>
      </c>
      <c r="EF108" s="564">
        <f>+EF107</f>
        <v>192108.74181818182</v>
      </c>
      <c r="EG108" s="564">
        <f t="shared" si="72"/>
        <v>4498546.3709090846</v>
      </c>
      <c r="EH108" s="590">
        <f>+EE$29*EG108+EF108</f>
        <v>709776.78802216193</v>
      </c>
      <c r="EI108" s="589">
        <f>+EI107</f>
        <v>190469.27928030287</v>
      </c>
      <c r="EJ108" s="564">
        <f>+EJ107</f>
        <v>7669.903863636363</v>
      </c>
      <c r="EK108" s="564">
        <f t="shared" si="74"/>
        <v>182799.3754166665</v>
      </c>
      <c r="EL108" s="590">
        <f>+EI$29*EK108+EJ108</f>
        <v>28705.453509450173</v>
      </c>
      <c r="EM108" s="589">
        <f>+EM107</f>
        <v>6515188.5795454588</v>
      </c>
      <c r="EN108" s="564">
        <f>+EN107</f>
        <v>260607.54318181818</v>
      </c>
      <c r="EO108" s="564">
        <f t="shared" si="76"/>
        <v>6254581.0363636408</v>
      </c>
      <c r="EP108" s="590">
        <f>+EM$29*EO108+EN108</f>
        <v>980350.42854069988</v>
      </c>
      <c r="EQ108" s="678">
        <f t="shared" si="94"/>
        <v>24950908.874325931</v>
      </c>
      <c r="ER108" s="675">
        <f>+EQ108</f>
        <v>24950908.874325931</v>
      </c>
      <c r="ES108" s="648"/>
      <c r="EV108" s="589"/>
      <c r="EW108" s="564"/>
      <c r="EX108" s="564"/>
      <c r="EY108" s="590"/>
      <c r="EZ108" s="589"/>
      <c r="FA108" s="564"/>
      <c r="FB108" s="564"/>
      <c r="FC108" s="590"/>
      <c r="FD108" s="589"/>
      <c r="FE108" s="564"/>
      <c r="FF108" s="564"/>
      <c r="FG108" s="590"/>
      <c r="FH108" s="589"/>
      <c r="FI108" s="564"/>
      <c r="FJ108" s="564"/>
      <c r="FK108" s="590"/>
      <c r="FL108" s="589"/>
      <c r="FM108" s="564"/>
      <c r="FN108" s="564"/>
      <c r="FO108" s="590"/>
      <c r="FP108" s="589"/>
      <c r="FQ108" s="564"/>
      <c r="FR108" s="564"/>
      <c r="FS108" s="590"/>
      <c r="FT108" s="589"/>
      <c r="FU108" s="564"/>
      <c r="FV108" s="564"/>
      <c r="FW108" s="590"/>
      <c r="FX108" s="589"/>
      <c r="FY108" s="564"/>
      <c r="FZ108" s="564"/>
      <c r="GA108" s="590"/>
      <c r="GB108" s="589"/>
      <c r="GC108" s="564"/>
      <c r="GD108" s="564"/>
      <c r="GE108" s="590"/>
      <c r="GF108" s="589"/>
      <c r="GG108" s="564"/>
      <c r="GH108" s="564"/>
      <c r="GI108" s="590"/>
      <c r="GJ108" s="589"/>
      <c r="GK108" s="564"/>
      <c r="GL108" s="564"/>
      <c r="GM108" s="590"/>
      <c r="GN108" s="589"/>
      <c r="GO108" s="564"/>
      <c r="GP108" s="564"/>
      <c r="GQ108" s="590"/>
      <c r="GR108" s="589"/>
      <c r="GS108" s="564"/>
      <c r="GT108" s="564"/>
      <c r="GU108" s="590"/>
      <c r="GV108" s="672"/>
      <c r="GW108" s="676"/>
      <c r="GX108" s="676"/>
      <c r="GY108" s="1366"/>
      <c r="GZ108" s="1367"/>
      <c r="HA108" s="1373"/>
      <c r="HB108" s="1373"/>
      <c r="HC108" s="1366"/>
      <c r="HD108" s="1367"/>
      <c r="HE108" s="1373"/>
      <c r="HF108" s="1373"/>
      <c r="HG108" s="1366"/>
      <c r="HI108" s="589"/>
      <c r="HJ108" s="564"/>
      <c r="HK108" s="564"/>
      <c r="HL108" s="590"/>
      <c r="HM108" s="589"/>
      <c r="HN108" s="564"/>
      <c r="HO108" s="564"/>
      <c r="HP108" s="590"/>
      <c r="HQ108" s="589"/>
      <c r="HR108" s="564"/>
      <c r="HS108" s="564"/>
      <c r="HT108" s="590"/>
    </row>
    <row r="109" spans="1:228">
      <c r="A109" s="649" t="s">
        <v>24</v>
      </c>
      <c r="B109" s="670">
        <v>2041</v>
      </c>
      <c r="C109" s="671">
        <f>+E108</f>
        <v>5238055.8130681738</v>
      </c>
      <c r="D109" s="671">
        <f>+C$31</f>
        <v>445791.98409090913</v>
      </c>
      <c r="E109" s="671">
        <f t="shared" ref="E109:E129" si="136">+C109-D109</f>
        <v>4792263.8289772645</v>
      </c>
      <c r="F109" s="653">
        <f>+C$28*E109+D109</f>
        <v>997259.42461422074</v>
      </c>
      <c r="G109" s="671">
        <f>+I108</f>
        <v>1332168.6197727253</v>
      </c>
      <c r="H109" s="671">
        <f>+G$31</f>
        <v>115840.74954545456</v>
      </c>
      <c r="I109" s="671">
        <f t="shared" ref="I109:I129" si="137">+G109-H109</f>
        <v>1216327.8702272708</v>
      </c>
      <c r="J109" s="653">
        <f>+G$28*I109+H109</f>
        <v>255809.09047349449</v>
      </c>
      <c r="K109" s="672">
        <f>+M108</f>
        <v>3283262.4322159062</v>
      </c>
      <c r="L109" s="671">
        <f>+K$31</f>
        <v>305419.76113636367</v>
      </c>
      <c r="M109" s="671">
        <f t="shared" ref="M109:M130" si="138">+K109-L109</f>
        <v>2977842.6710795425</v>
      </c>
      <c r="N109" s="653">
        <f>+K$28*M109+L109</f>
        <v>648093.56514765113</v>
      </c>
      <c r="O109" s="672">
        <f>+Q108</f>
        <v>1531226.0833333295</v>
      </c>
      <c r="P109" s="671">
        <f>+O$31</f>
        <v>119316.31818181818</v>
      </c>
      <c r="Q109" s="671">
        <f t="shared" si="11"/>
        <v>1411909.7651515114</v>
      </c>
      <c r="R109" s="653">
        <f>+O$28*Q109+P109</f>
        <v>281791.1510008917</v>
      </c>
      <c r="S109" s="589">
        <f>+U108</f>
        <v>651192.04424242105</v>
      </c>
      <c r="T109" s="564">
        <f>+S$31</f>
        <v>58315.705454545445</v>
      </c>
      <c r="U109" s="564">
        <f t="shared" si="12"/>
        <v>592876.3387878756</v>
      </c>
      <c r="V109" s="590">
        <f>+S$28*U109+T109</f>
        <v>126540.6631710236</v>
      </c>
      <c r="W109" s="589">
        <f>+Y108</f>
        <v>8897268.0416666754</v>
      </c>
      <c r="X109" s="564">
        <f>+W$31</f>
        <v>693293.61363636365</v>
      </c>
      <c r="Y109" s="564">
        <f t="shared" si="13"/>
        <v>8203974.4280303121</v>
      </c>
      <c r="Z109" s="590">
        <f>+W$28*Y109+X109</f>
        <v>1637361.9999777116</v>
      </c>
      <c r="AA109" s="589">
        <f>+AC108</f>
        <v>5823263.399621211</v>
      </c>
      <c r="AB109" s="564">
        <f>+AA$31</f>
        <v>450833.29545454547</v>
      </c>
      <c r="AC109" s="564">
        <f t="shared" si="14"/>
        <v>5372430.1041666651</v>
      </c>
      <c r="AD109" s="590">
        <f>+AA$28*AC109+AB109</f>
        <v>1069063.0892777843</v>
      </c>
      <c r="AE109" s="589">
        <f>+AG108</f>
        <v>57473.579545454631</v>
      </c>
      <c r="AF109" s="564">
        <f>+AE$31</f>
        <v>4597.886363636364</v>
      </c>
      <c r="AG109" s="564">
        <f t="shared" si="15"/>
        <v>52875.693181818264</v>
      </c>
      <c r="AH109" s="590">
        <f>+AE$28*AG109+AF109</f>
        <v>10682.531163147793</v>
      </c>
      <c r="AI109" s="589">
        <f>+AK108</f>
        <v>4088406.1401515193</v>
      </c>
      <c r="AJ109" s="564">
        <f>+AI$31</f>
        <v>295547.43181818182</v>
      </c>
      <c r="AK109" s="564">
        <f t="shared" si="19"/>
        <v>3792858.7083333377</v>
      </c>
      <c r="AL109" s="590">
        <f>+AI$28*AK109+AJ109</f>
        <v>732008.8118247838</v>
      </c>
      <c r="AM109" s="589">
        <f>+AO108</f>
        <v>1496703.361704546</v>
      </c>
      <c r="AN109" s="564">
        <f>+AM$31</f>
        <v>110866.91568181818</v>
      </c>
      <c r="AO109" s="564">
        <f t="shared" si="16"/>
        <v>1385836.4460227278</v>
      </c>
      <c r="AP109" s="590">
        <f>+AM$28*AO109+AN109</f>
        <v>270341.37392239808</v>
      </c>
      <c r="AQ109" s="589">
        <f>+AS108</f>
        <v>12442818.262499997</v>
      </c>
      <c r="AR109" s="564">
        <f>+AQ$31</f>
        <v>904932.23727272719</v>
      </c>
      <c r="AS109" s="564">
        <f t="shared" si="17"/>
        <v>11537886.025227271</v>
      </c>
      <c r="AT109" s="590">
        <f>+AQ$28*AS109+AR109</f>
        <v>2232648.8869505208</v>
      </c>
      <c r="AU109" s="671"/>
      <c r="AV109" s="671"/>
      <c r="AW109" s="671"/>
      <c r="AX109" s="653"/>
      <c r="AY109" s="671"/>
      <c r="AZ109" s="671"/>
      <c r="BA109" s="671"/>
      <c r="BB109" s="653"/>
      <c r="BC109" s="671"/>
      <c r="BD109" s="671"/>
      <c r="BE109" s="671"/>
      <c r="BF109" s="653"/>
      <c r="BG109" s="671"/>
      <c r="BH109" s="671"/>
      <c r="BI109" s="671"/>
      <c r="BJ109" s="653"/>
      <c r="BK109" s="671"/>
      <c r="BL109" s="671"/>
      <c r="BM109" s="671"/>
      <c r="BN109" s="653"/>
      <c r="BO109" s="671"/>
      <c r="BP109" s="671"/>
      <c r="BQ109" s="671"/>
      <c r="BR109" s="653"/>
      <c r="BS109" s="589">
        <f>+BU108</f>
        <v>116352.40909090938</v>
      </c>
      <c r="BT109" s="564">
        <f>+BS$31</f>
        <v>8310.886363636364</v>
      </c>
      <c r="BU109" s="564">
        <f t="shared" si="18"/>
        <v>108041.52272727301</v>
      </c>
      <c r="BV109" s="590">
        <f>+BS$28*BU109+BT109</f>
        <v>20743.712296211521</v>
      </c>
      <c r="BW109" s="589">
        <f>+BY108</f>
        <v>8219987.488636381</v>
      </c>
      <c r="BX109" s="564">
        <f>+BW$31</f>
        <v>576841.22727272729</v>
      </c>
      <c r="BY109" s="564">
        <f t="shared" si="20"/>
        <v>7643146.2613636535</v>
      </c>
      <c r="BZ109" s="590">
        <f>+BW$28*BY109+BX109</f>
        <v>1456372.583792191</v>
      </c>
      <c r="CA109" s="589">
        <f>+CC108</f>
        <v>775683.3600000015</v>
      </c>
      <c r="CB109" s="564">
        <f>+CA$31</f>
        <v>54433.919999999998</v>
      </c>
      <c r="CC109" s="564">
        <f t="shared" si="21"/>
        <v>721249.44000000146</v>
      </c>
      <c r="CD109" s="590">
        <f>+CA$28*CC109+CB109</f>
        <v>137431.35020211746</v>
      </c>
      <c r="CE109" s="589">
        <f>+CG108</f>
        <v>67331.664545454754</v>
      </c>
      <c r="CF109" s="564">
        <f>+CE$31</f>
        <v>4725.0290909090909</v>
      </c>
      <c r="CG109" s="564">
        <f t="shared" si="22"/>
        <v>62606.635454545663</v>
      </c>
      <c r="CH109" s="590">
        <f>+CE$28*CG109+CF109</f>
        <v>11929.457362393163</v>
      </c>
      <c r="CI109" s="589">
        <f>+CK108</f>
        <v>188531.59090909053</v>
      </c>
      <c r="CJ109" s="564">
        <f>+CI$31</f>
        <v>12362.727272727272</v>
      </c>
      <c r="CK109" s="564">
        <f t="shared" si="24"/>
        <v>176168.86363636327</v>
      </c>
      <c r="CL109" s="590">
        <f>+CI$28*CK109+CJ109</f>
        <v>32635.273984784861</v>
      </c>
      <c r="CM109" s="589">
        <f>+CO108</f>
        <v>9552910.0650568269</v>
      </c>
      <c r="CN109" s="564">
        <f>+CM$31</f>
        <v>483691.64886363636</v>
      </c>
      <c r="CO109" s="564">
        <f t="shared" si="34"/>
        <v>9069218.416193191</v>
      </c>
      <c r="CP109" s="590">
        <f>+CM$28*CO109+CN109</f>
        <v>1527327.5683393602</v>
      </c>
      <c r="CQ109" s="589">
        <f>+CS108</f>
        <v>39850285.295284092</v>
      </c>
      <c r="CR109" s="564">
        <f>+CQ$31</f>
        <v>2017735.9643181816</v>
      </c>
      <c r="CS109" s="564">
        <f t="shared" si="40"/>
        <v>37832549.330965914</v>
      </c>
      <c r="CT109" s="590">
        <f>+CQ$28*CS109+CR109</f>
        <v>6371298.2665156042</v>
      </c>
      <c r="CU109" s="589">
        <f>+CW108</f>
        <v>13523907.450000023</v>
      </c>
      <c r="CV109" s="564">
        <f>+CU$31</f>
        <v>676195.37250000006</v>
      </c>
      <c r="CW109" s="564">
        <f t="shared" si="41"/>
        <v>12847712.077500023</v>
      </c>
      <c r="CX109" s="590">
        <f>+CU$28*CW109+CV109</f>
        <v>2154639.621148855</v>
      </c>
      <c r="CY109" s="589">
        <f>+DA108</f>
        <v>15041.339204545471</v>
      </c>
      <c r="CZ109" s="564">
        <f>+CY$31</f>
        <v>733.72386363636497</v>
      </c>
      <c r="DA109" s="564">
        <f t="shared" si="42"/>
        <v>14307.615340909106</v>
      </c>
      <c r="DB109" s="590">
        <f>+CY$28*DA109+CZ109</f>
        <v>2380.1657736860225</v>
      </c>
      <c r="DC109" s="589">
        <f>+DE108</f>
        <v>901746.12272727466</v>
      </c>
      <c r="DD109" s="564">
        <f>+DC$31</f>
        <v>44530.672727272722</v>
      </c>
      <c r="DE109" s="564">
        <f t="shared" si="43"/>
        <v>857215.45000000193</v>
      </c>
      <c r="DF109" s="590">
        <f>+DC$28*DE109+DD109</f>
        <v>143174.32571860359</v>
      </c>
      <c r="DG109" s="589">
        <f>+DI108</f>
        <v>505109.22352272627</v>
      </c>
      <c r="DH109" s="564">
        <f>+DG$31</f>
        <v>24639.474318181816</v>
      </c>
      <c r="DI109" s="564">
        <f t="shared" si="44"/>
        <v>480469.74920454447</v>
      </c>
      <c r="DJ109" s="590">
        <f>+DG$28*DI109+DH109</f>
        <v>79929.2981464443</v>
      </c>
      <c r="DK109" s="589">
        <f>+DM108</f>
        <v>11084785.978750005</v>
      </c>
      <c r="DL109" s="564">
        <f>+DK$31</f>
        <v>549658.80886363634</v>
      </c>
      <c r="DM109" s="564">
        <f t="shared" si="45"/>
        <v>10535127.169886369</v>
      </c>
      <c r="DN109" s="590">
        <f>+DK$28*DM109+DL109</f>
        <v>1761983.4686277718</v>
      </c>
      <c r="DO109" s="589">
        <f>+DQ108</f>
        <v>414712.23178030271</v>
      </c>
      <c r="DP109" s="564">
        <f>+DO$31</f>
        <v>19592.703863636354</v>
      </c>
      <c r="DQ109" s="564">
        <f t="shared" si="134"/>
        <v>395119.52791666635</v>
      </c>
      <c r="DR109" s="590">
        <f>+DO$28*DQ109+DP109</f>
        <v>65060.892289206633</v>
      </c>
      <c r="DS109" s="589">
        <f>+DU108</f>
        <v>178358.68363636319</v>
      </c>
      <c r="DT109" s="564">
        <f>+DS$31</f>
        <v>8295.7527272726966</v>
      </c>
      <c r="DU109" s="564">
        <f t="shared" si="61"/>
        <v>170062.9309090905</v>
      </c>
      <c r="DV109" s="590">
        <f>+DS$28*DU109+DT109</f>
        <v>27865.662186189897</v>
      </c>
      <c r="DW109" s="589">
        <f>+DY108</f>
        <v>25962.472443181767</v>
      </c>
      <c r="DX109" s="564">
        <f>+DW$31</f>
        <v>1221.7634090909089</v>
      </c>
      <c r="DY109" s="564">
        <f t="shared" si="62"/>
        <v>24740.709034090858</v>
      </c>
      <c r="DZ109" s="590">
        <f>+DW$28*DY109+DX109</f>
        <v>4068.7885259601135</v>
      </c>
      <c r="EA109" s="589">
        <f>+EC108</f>
        <v>-156053.27653409197</v>
      </c>
      <c r="EB109" s="564">
        <f>+EA$31</f>
        <v>-7120.3015909091364</v>
      </c>
      <c r="EC109" s="564">
        <f t="shared" si="63"/>
        <v>-148932.97494318284</v>
      </c>
      <c r="ED109" s="590">
        <f>+EA$28*EC109+EB109</f>
        <v>-24258.691594567925</v>
      </c>
      <c r="EE109" s="589">
        <f>+EG108</f>
        <v>4498546.3709090846</v>
      </c>
      <c r="EF109" s="564">
        <f>+EE$31</f>
        <v>192108.74181818182</v>
      </c>
      <c r="EG109" s="564">
        <f t="shared" si="72"/>
        <v>4306437.6290909024</v>
      </c>
      <c r="EH109" s="590">
        <f>+EE$28*EG109+EF109</f>
        <v>687669.96754370001</v>
      </c>
      <c r="EI109" s="589">
        <f>+EK108</f>
        <v>182799.3754166665</v>
      </c>
      <c r="EJ109" s="564">
        <f>+EI$31</f>
        <v>7669.903863636363</v>
      </c>
      <c r="EK109" s="564">
        <f t="shared" si="74"/>
        <v>175129.47155303013</v>
      </c>
      <c r="EL109" s="590">
        <f>+EI$28*EK109+EJ109</f>
        <v>27822.843034800644</v>
      </c>
      <c r="EM109" s="589">
        <f>+EO108</f>
        <v>6254581.0363636408</v>
      </c>
      <c r="EN109" s="564">
        <f>+EM$31</f>
        <v>260607.54318181818</v>
      </c>
      <c r="EO109" s="564">
        <f t="shared" si="76"/>
        <v>5993973.4931818228</v>
      </c>
      <c r="EP109" s="590">
        <f>+EM$28*EO109+EN109</f>
        <v>950361.14165074658</v>
      </c>
      <c r="EQ109" s="678">
        <f t="shared" si="94"/>
        <v>23700036.283067688</v>
      </c>
      <c r="ER109" s="652"/>
      <c r="ES109" s="674">
        <f>+EQ109</f>
        <v>23700036.283067688</v>
      </c>
      <c r="EV109" s="589"/>
      <c r="EW109" s="564"/>
      <c r="EX109" s="564"/>
      <c r="EY109" s="590"/>
      <c r="EZ109" s="589"/>
      <c r="FA109" s="564"/>
      <c r="FB109" s="564"/>
      <c r="FC109" s="590"/>
      <c r="FD109" s="589"/>
      <c r="FE109" s="564"/>
      <c r="FF109" s="564"/>
      <c r="FG109" s="590"/>
      <c r="FH109" s="589"/>
      <c r="FI109" s="564"/>
      <c r="FJ109" s="564"/>
      <c r="FK109" s="590"/>
      <c r="FL109" s="589"/>
      <c r="FM109" s="564"/>
      <c r="FN109" s="564"/>
      <c r="FO109" s="590"/>
      <c r="FP109" s="589"/>
      <c r="FQ109" s="564"/>
      <c r="FR109" s="564"/>
      <c r="FS109" s="590"/>
      <c r="FT109" s="589"/>
      <c r="FU109" s="564"/>
      <c r="FV109" s="564"/>
      <c r="FW109" s="590"/>
      <c r="FX109" s="589"/>
      <c r="FY109" s="564"/>
      <c r="FZ109" s="564"/>
      <c r="GA109" s="590"/>
      <c r="GB109" s="589"/>
      <c r="GC109" s="564"/>
      <c r="GD109" s="564"/>
      <c r="GE109" s="590"/>
      <c r="GF109" s="589"/>
      <c r="GG109" s="564"/>
      <c r="GH109" s="564"/>
      <c r="GI109" s="590"/>
      <c r="GJ109" s="589"/>
      <c r="GK109" s="564"/>
      <c r="GL109" s="564"/>
      <c r="GM109" s="590"/>
      <c r="GN109" s="589"/>
      <c r="GO109" s="564"/>
      <c r="GP109" s="564"/>
      <c r="GQ109" s="590"/>
      <c r="GR109" s="589"/>
      <c r="GS109" s="564"/>
      <c r="GT109" s="564"/>
      <c r="GU109" s="590"/>
      <c r="GV109" s="672"/>
      <c r="GW109" s="676"/>
      <c r="GX109" s="676"/>
      <c r="GY109" s="1366"/>
      <c r="GZ109" s="1367"/>
      <c r="HA109" s="1373"/>
      <c r="HB109" s="1373"/>
      <c r="HC109" s="1366"/>
      <c r="HD109" s="1367"/>
      <c r="HE109" s="1373"/>
      <c r="HF109" s="1373"/>
      <c r="HG109" s="1366"/>
      <c r="HI109" s="589"/>
      <c r="HJ109" s="564"/>
      <c r="HK109" s="564"/>
      <c r="HL109" s="590"/>
      <c r="HM109" s="589"/>
      <c r="HN109" s="564"/>
      <c r="HO109" s="564"/>
      <c r="HP109" s="590"/>
      <c r="HQ109" s="589"/>
      <c r="HR109" s="564"/>
      <c r="HS109" s="564"/>
      <c r="HT109" s="590"/>
    </row>
    <row r="110" spans="1:228">
      <c r="A110" s="649" t="s">
        <v>23</v>
      </c>
      <c r="B110" s="670">
        <v>2041</v>
      </c>
      <c r="C110" s="671">
        <f>+C109</f>
        <v>5238055.8130681738</v>
      </c>
      <c r="D110" s="671">
        <f>+D109</f>
        <v>445791.98409090913</v>
      </c>
      <c r="E110" s="671">
        <f t="shared" si="136"/>
        <v>4792263.8289772645</v>
      </c>
      <c r="F110" s="653">
        <f>+C$29*E110+D110</f>
        <v>1026507.1160425122</v>
      </c>
      <c r="G110" s="671">
        <f>+G109</f>
        <v>1332168.6197727253</v>
      </c>
      <c r="H110" s="671">
        <f>+H109</f>
        <v>115840.74954545456</v>
      </c>
      <c r="I110" s="671">
        <f t="shared" si="137"/>
        <v>1216327.8702272708</v>
      </c>
      <c r="J110" s="653">
        <f>+G$29*I110+H110</f>
        <v>263232.46771097649</v>
      </c>
      <c r="K110" s="672">
        <f>+K109</f>
        <v>3283262.4322159062</v>
      </c>
      <c r="L110" s="671">
        <f>+L109</f>
        <v>305419.76113636367</v>
      </c>
      <c r="M110" s="671">
        <f t="shared" si="138"/>
        <v>2977842.6710795425</v>
      </c>
      <c r="N110" s="653">
        <f>+K$29*M110+L110</f>
        <v>666267.65294288029</v>
      </c>
      <c r="O110" s="672">
        <f>+O109</f>
        <v>1531226.0833333295</v>
      </c>
      <c r="P110" s="671">
        <f>+P109</f>
        <v>119316.31818181818</v>
      </c>
      <c r="Q110" s="671">
        <f t="shared" si="11"/>
        <v>1411909.7651515114</v>
      </c>
      <c r="R110" s="653">
        <f>+O$29*Q110+P110</f>
        <v>290408.18516458792</v>
      </c>
      <c r="S110" s="589">
        <f>+S109</f>
        <v>651192.04424242105</v>
      </c>
      <c r="T110" s="564">
        <f>+T109</f>
        <v>58315.705454545445</v>
      </c>
      <c r="U110" s="564">
        <f t="shared" si="12"/>
        <v>592876.3387878756</v>
      </c>
      <c r="V110" s="590">
        <f>+S$29*U110+T110</f>
        <v>130159.04997751619</v>
      </c>
      <c r="W110" s="589">
        <f>+W109</f>
        <v>8897268.0416666754</v>
      </c>
      <c r="X110" s="564">
        <f>+X109</f>
        <v>693293.61363636365</v>
      </c>
      <c r="Y110" s="564">
        <f t="shared" si="13"/>
        <v>8203974.4280303121</v>
      </c>
      <c r="Z110" s="590">
        <f>+W$29*Y110+X110</f>
        <v>1687431.7209112174</v>
      </c>
      <c r="AA110" s="589">
        <f>+AA109</f>
        <v>5823263.399621211</v>
      </c>
      <c r="AB110" s="564">
        <f>+AB109</f>
        <v>450833.29545454547</v>
      </c>
      <c r="AC110" s="564">
        <f t="shared" si="14"/>
        <v>5372430.1041666651</v>
      </c>
      <c r="AD110" s="590">
        <f>+AA$29*AC110+AB110</f>
        <v>1101851.5966543208</v>
      </c>
      <c r="AE110" s="589">
        <f>+AE109</f>
        <v>57473.579545454631</v>
      </c>
      <c r="AF110" s="564">
        <f>+AF109</f>
        <v>4597.886363636364</v>
      </c>
      <c r="AG110" s="564">
        <f t="shared" si="15"/>
        <v>52875.693181818264</v>
      </c>
      <c r="AH110" s="590">
        <f>+AE$29*AG110+AF110</f>
        <v>11005.23709367017</v>
      </c>
      <c r="AI110" s="589">
        <f>+AI109</f>
        <v>4088406.1401515193</v>
      </c>
      <c r="AJ110" s="564">
        <f>+AJ109</f>
        <v>295547.43181818182</v>
      </c>
      <c r="AK110" s="564">
        <f t="shared" si="19"/>
        <v>3792858.7083333377</v>
      </c>
      <c r="AL110" s="590">
        <f>+AI$29*AK110+AJ110</f>
        <v>755157.02842789935</v>
      </c>
      <c r="AM110" s="589">
        <f>+AM109</f>
        <v>1496703.361704546</v>
      </c>
      <c r="AN110" s="564">
        <f>+AN109</f>
        <v>110866.91568181818</v>
      </c>
      <c r="AO110" s="564">
        <f t="shared" si="16"/>
        <v>1385836.4460227278</v>
      </c>
      <c r="AP110" s="590">
        <f>+AM$29*AO110+AN110</f>
        <v>278799.27987036901</v>
      </c>
      <c r="AQ110" s="589">
        <f>+AQ109</f>
        <v>12442818.262499997</v>
      </c>
      <c r="AR110" s="564">
        <f>+AR109</f>
        <v>904932.23727272719</v>
      </c>
      <c r="AS110" s="564">
        <f t="shared" si="17"/>
        <v>11537886.025227271</v>
      </c>
      <c r="AT110" s="590">
        <f>+AQ$29*AS110+AR110</f>
        <v>2303065.82187805</v>
      </c>
      <c r="AU110" s="671"/>
      <c r="AV110" s="671"/>
      <c r="AW110" s="671"/>
      <c r="AX110" s="653"/>
      <c r="AY110" s="671"/>
      <c r="AZ110" s="671"/>
      <c r="BA110" s="671"/>
      <c r="BB110" s="653"/>
      <c r="BC110" s="671"/>
      <c r="BD110" s="671"/>
      <c r="BE110" s="671"/>
      <c r="BF110" s="653"/>
      <c r="BG110" s="671"/>
      <c r="BH110" s="671"/>
      <c r="BI110" s="671"/>
      <c r="BJ110" s="653"/>
      <c r="BK110" s="671"/>
      <c r="BL110" s="671"/>
      <c r="BM110" s="671"/>
      <c r="BN110" s="653"/>
      <c r="BO110" s="671"/>
      <c r="BP110" s="671"/>
      <c r="BQ110" s="671"/>
      <c r="BR110" s="653"/>
      <c r="BS110" s="589">
        <f>+BS109</f>
        <v>116352.40909090938</v>
      </c>
      <c r="BT110" s="564">
        <f>+BT109</f>
        <v>8310.886363636364</v>
      </c>
      <c r="BU110" s="564">
        <f t="shared" si="18"/>
        <v>108041.52272727301</v>
      </c>
      <c r="BV110" s="590">
        <f>+BS$29*BU110+BT110</f>
        <v>21403.101100947759</v>
      </c>
      <c r="BW110" s="589">
        <f>+BW109</f>
        <v>8219987.488636381</v>
      </c>
      <c r="BX110" s="564">
        <f>+BX109</f>
        <v>576841.22727272729</v>
      </c>
      <c r="BY110" s="564">
        <f t="shared" si="20"/>
        <v>7643146.2613636535</v>
      </c>
      <c r="BZ110" s="590">
        <f>+BW$29*BY110+BX110</f>
        <v>1456372.583792191</v>
      </c>
      <c r="CA110" s="589">
        <f>+CA109</f>
        <v>775683.3600000015</v>
      </c>
      <c r="CB110" s="564">
        <f>+CB109</f>
        <v>54433.919999999998</v>
      </c>
      <c r="CC110" s="564">
        <f t="shared" si="21"/>
        <v>721249.44000000146</v>
      </c>
      <c r="CD110" s="590">
        <f>+CA$29*CC110+CB110</f>
        <v>141833.21158053202</v>
      </c>
      <c r="CE110" s="589">
        <f>+CE109</f>
        <v>67331.664545454754</v>
      </c>
      <c r="CF110" s="564">
        <f>+CF109</f>
        <v>4725.0290909090909</v>
      </c>
      <c r="CG110" s="564">
        <f t="shared" si="22"/>
        <v>62606.635454545663</v>
      </c>
      <c r="CH110" s="590">
        <f>+CE$29*CG110+CF110</f>
        <v>12311.552259603541</v>
      </c>
      <c r="CI110" s="589">
        <f>+CI109</f>
        <v>188531.59090909053</v>
      </c>
      <c r="CJ110" s="564">
        <f>+CJ109</f>
        <v>12362.727272727272</v>
      </c>
      <c r="CK110" s="564">
        <f t="shared" si="24"/>
        <v>176168.86363636327</v>
      </c>
      <c r="CL110" s="590">
        <f>+CI$29*CK110+CJ110</f>
        <v>32635.273984784861</v>
      </c>
      <c r="CM110" s="589">
        <f>+CM109</f>
        <v>9552910.0650568269</v>
      </c>
      <c r="CN110" s="564">
        <f>+CN109</f>
        <v>483691.64886363636</v>
      </c>
      <c r="CO110" s="564">
        <f t="shared" si="34"/>
        <v>9069218.416193191</v>
      </c>
      <c r="CP110" s="590">
        <f>+CM$29*CO110+CN110</f>
        <v>1527327.5683393602</v>
      </c>
      <c r="CQ110" s="589">
        <f>+CQ109</f>
        <v>39850285.295284092</v>
      </c>
      <c r="CR110" s="564">
        <f>+CR109</f>
        <v>2017735.9643181816</v>
      </c>
      <c r="CS110" s="564">
        <f t="shared" si="40"/>
        <v>37832549.330965914</v>
      </c>
      <c r="CT110" s="590">
        <f>+CQ$29*CS110+CR110</f>
        <v>6371298.2665156042</v>
      </c>
      <c r="CU110" s="589">
        <f>+CU109</f>
        <v>13523907.450000023</v>
      </c>
      <c r="CV110" s="564">
        <f>+CV109</f>
        <v>676195.37250000006</v>
      </c>
      <c r="CW110" s="564">
        <f t="shared" si="41"/>
        <v>12847712.077500023</v>
      </c>
      <c r="CX110" s="590">
        <f>+CU$29*CW110+CV110</f>
        <v>2154639.621148855</v>
      </c>
      <c r="CY110" s="589">
        <f>+CY109</f>
        <v>15041.339204545471</v>
      </c>
      <c r="CZ110" s="564">
        <f>+CZ109</f>
        <v>733.72386363636497</v>
      </c>
      <c r="DA110" s="564">
        <f t="shared" si="42"/>
        <v>14307.615340909106</v>
      </c>
      <c r="DB110" s="590">
        <f>+CY$29*DA110+CZ110</f>
        <v>2380.1657736860225</v>
      </c>
      <c r="DC110" s="589">
        <f>+DC109</f>
        <v>901746.12272727466</v>
      </c>
      <c r="DD110" s="564">
        <f>+DD109</f>
        <v>44530.672727272722</v>
      </c>
      <c r="DE110" s="564">
        <f t="shared" si="43"/>
        <v>857215.45000000193</v>
      </c>
      <c r="DF110" s="590">
        <f>+DC$29*DE110+DD110</f>
        <v>143174.32571860359</v>
      </c>
      <c r="DG110" s="589">
        <f>+DG109</f>
        <v>505109.22352272627</v>
      </c>
      <c r="DH110" s="564">
        <f>+DH109</f>
        <v>24639.474318181816</v>
      </c>
      <c r="DI110" s="564">
        <f t="shared" si="44"/>
        <v>480469.74920454447</v>
      </c>
      <c r="DJ110" s="590">
        <f>+DG$29*DI110+DH110</f>
        <v>79929.2981464443</v>
      </c>
      <c r="DK110" s="589">
        <f>+DK109</f>
        <v>11084785.978750005</v>
      </c>
      <c r="DL110" s="564">
        <f>+DL109</f>
        <v>549658.80886363634</v>
      </c>
      <c r="DM110" s="564">
        <f t="shared" si="45"/>
        <v>10535127.169886369</v>
      </c>
      <c r="DN110" s="590">
        <f>+DK$29*DM110+DL110</f>
        <v>1761983.4686277718</v>
      </c>
      <c r="DO110" s="589">
        <f>+DO109</f>
        <v>414712.23178030271</v>
      </c>
      <c r="DP110" s="564">
        <f>+DP109</f>
        <v>19592.703863636354</v>
      </c>
      <c r="DQ110" s="564">
        <f t="shared" si="134"/>
        <v>395119.52791666635</v>
      </c>
      <c r="DR110" s="590">
        <f>+DO$29*DQ110+DP110</f>
        <v>65060.892289206633</v>
      </c>
      <c r="DS110" s="589">
        <f>+DS109</f>
        <v>178358.68363636319</v>
      </c>
      <c r="DT110" s="564">
        <f>+DT109</f>
        <v>8295.7527272726966</v>
      </c>
      <c r="DU110" s="564">
        <f t="shared" si="61"/>
        <v>170062.9309090905</v>
      </c>
      <c r="DV110" s="590">
        <f>+DS$29*DU110+DT110</f>
        <v>27865.662186189897</v>
      </c>
      <c r="DW110" s="589">
        <f>+DW109</f>
        <v>25962.472443181767</v>
      </c>
      <c r="DX110" s="564">
        <f>+DX109</f>
        <v>1221.7634090909089</v>
      </c>
      <c r="DY110" s="564">
        <f t="shared" si="62"/>
        <v>24740.709034090858</v>
      </c>
      <c r="DZ110" s="590">
        <f>+DW$29*DY110+DX110</f>
        <v>4068.7885259601135</v>
      </c>
      <c r="EA110" s="589">
        <f>+EA109</f>
        <v>-156053.27653409197</v>
      </c>
      <c r="EB110" s="564">
        <f>+EB109</f>
        <v>-7120.3015909091364</v>
      </c>
      <c r="EC110" s="564">
        <f t="shared" si="63"/>
        <v>-148932.97494318284</v>
      </c>
      <c r="ED110" s="590">
        <f>+EA$29*EC110+EB110</f>
        <v>-24258.691594567925</v>
      </c>
      <c r="EE110" s="589">
        <f>+EE109</f>
        <v>4498546.3709090846</v>
      </c>
      <c r="EF110" s="564">
        <f>+EF109</f>
        <v>192108.74181818182</v>
      </c>
      <c r="EG110" s="564">
        <f t="shared" si="72"/>
        <v>4306437.6290909024</v>
      </c>
      <c r="EH110" s="590">
        <f>+EE$29*EG110+EF110</f>
        <v>687669.96754370001</v>
      </c>
      <c r="EI110" s="589">
        <f>+EI109</f>
        <v>182799.3754166665</v>
      </c>
      <c r="EJ110" s="564">
        <f>+EJ109</f>
        <v>7669.903863636363</v>
      </c>
      <c r="EK110" s="564">
        <f t="shared" si="74"/>
        <v>175129.47155303013</v>
      </c>
      <c r="EL110" s="590">
        <f>+EI$29*EK110+EJ110</f>
        <v>27822.843034800644</v>
      </c>
      <c r="EM110" s="589">
        <f>+EM109</f>
        <v>6254581.0363636408</v>
      </c>
      <c r="EN110" s="564">
        <f>+EN109</f>
        <v>260607.54318181818</v>
      </c>
      <c r="EO110" s="564">
        <f t="shared" si="76"/>
        <v>5993973.4931818228</v>
      </c>
      <c r="EP110" s="590">
        <f>+EM$29*EO110+EN110</f>
        <v>950361.14165074658</v>
      </c>
      <c r="EQ110" s="678">
        <f t="shared" si="94"/>
        <v>23957764.197298422</v>
      </c>
      <c r="ER110" s="675">
        <f>+EQ110</f>
        <v>23957764.197298422</v>
      </c>
      <c r="ES110" s="648"/>
      <c r="EV110" s="589"/>
      <c r="EW110" s="564"/>
      <c r="EX110" s="564"/>
      <c r="EY110" s="590"/>
      <c r="EZ110" s="589"/>
      <c r="FA110" s="564"/>
      <c r="FB110" s="564"/>
      <c r="FC110" s="590"/>
      <c r="FD110" s="589"/>
      <c r="FE110" s="564"/>
      <c r="FF110" s="564"/>
      <c r="FG110" s="590"/>
      <c r="FH110" s="589"/>
      <c r="FI110" s="564"/>
      <c r="FJ110" s="564"/>
      <c r="FK110" s="590"/>
      <c r="FL110" s="589"/>
      <c r="FM110" s="564"/>
      <c r="FN110" s="564"/>
      <c r="FO110" s="590"/>
      <c r="FP110" s="589"/>
      <c r="FQ110" s="564"/>
      <c r="FR110" s="564"/>
      <c r="FS110" s="590"/>
      <c r="FT110" s="589"/>
      <c r="FU110" s="564"/>
      <c r="FV110" s="564"/>
      <c r="FW110" s="590"/>
      <c r="FX110" s="589"/>
      <c r="FY110" s="564"/>
      <c r="FZ110" s="564"/>
      <c r="GA110" s="590"/>
      <c r="GB110" s="589"/>
      <c r="GC110" s="564"/>
      <c r="GD110" s="564"/>
      <c r="GE110" s="590"/>
      <c r="GF110" s="589"/>
      <c r="GG110" s="564"/>
      <c r="GH110" s="564"/>
      <c r="GI110" s="590"/>
      <c r="GJ110" s="589"/>
      <c r="GK110" s="564"/>
      <c r="GL110" s="564"/>
      <c r="GM110" s="590"/>
      <c r="GN110" s="589"/>
      <c r="GO110" s="564"/>
      <c r="GP110" s="564"/>
      <c r="GQ110" s="590"/>
      <c r="GR110" s="589"/>
      <c r="GS110" s="564"/>
      <c r="GT110" s="564"/>
      <c r="GU110" s="590"/>
      <c r="GV110" s="672"/>
      <c r="GW110" s="676"/>
      <c r="GX110" s="676"/>
      <c r="GY110" s="1366"/>
      <c r="GZ110" s="1367"/>
      <c r="HA110" s="1373"/>
      <c r="HB110" s="1373"/>
      <c r="HC110" s="1366"/>
      <c r="HD110" s="1367"/>
      <c r="HE110" s="1373"/>
      <c r="HF110" s="1373"/>
      <c r="HG110" s="1366"/>
      <c r="HI110" s="589"/>
      <c r="HJ110" s="564"/>
      <c r="HK110" s="564"/>
      <c r="HL110" s="590"/>
      <c r="HM110" s="589"/>
      <c r="HN110" s="564"/>
      <c r="HO110" s="564"/>
      <c r="HP110" s="590"/>
      <c r="HQ110" s="589"/>
      <c r="HR110" s="564"/>
      <c r="HS110" s="564"/>
      <c r="HT110" s="590"/>
    </row>
    <row r="111" spans="1:228">
      <c r="A111" s="649" t="s">
        <v>24</v>
      </c>
      <c r="B111" s="670">
        <v>2042</v>
      </c>
      <c r="C111" s="671">
        <f>+E110</f>
        <v>4792263.8289772645</v>
      </c>
      <c r="D111" s="671">
        <f>+C$31</f>
        <v>445791.98409090913</v>
      </c>
      <c r="E111" s="671">
        <f t="shared" si="136"/>
        <v>4346471.8448863551</v>
      </c>
      <c r="F111" s="653">
        <f>+C$28*E111+D111</f>
        <v>945960.12782135443</v>
      </c>
      <c r="G111" s="671">
        <f>+I110</f>
        <v>1216327.8702272708</v>
      </c>
      <c r="H111" s="671">
        <f>+G$31</f>
        <v>115840.74954545456</v>
      </c>
      <c r="I111" s="671">
        <f t="shared" si="137"/>
        <v>1100487.1206818162</v>
      </c>
      <c r="J111" s="653">
        <f>+G$28*I111+H111</f>
        <v>242478.77228987159</v>
      </c>
      <c r="K111" s="672">
        <f>+M110</f>
        <v>2977842.6710795425</v>
      </c>
      <c r="L111" s="671">
        <f>+K$31</f>
        <v>305419.76113636367</v>
      </c>
      <c r="M111" s="671">
        <f t="shared" si="138"/>
        <v>2672422.9099431788</v>
      </c>
      <c r="N111" s="653">
        <f>+K$28*M111+L111</f>
        <v>612947.53396700625</v>
      </c>
      <c r="O111" s="672">
        <f>+Q110</f>
        <v>1411909.7651515114</v>
      </c>
      <c r="P111" s="671">
        <f>+O$31</f>
        <v>119316.31818181818</v>
      </c>
      <c r="Q111" s="671">
        <f t="shared" ref="Q111:Q132" si="139">+O111-P111</f>
        <v>1292593.4469696933</v>
      </c>
      <c r="R111" s="653">
        <f>+O$28*Q111+P111</f>
        <v>268060.88343871641</v>
      </c>
      <c r="S111" s="589">
        <f>+U110</f>
        <v>592876.3387878756</v>
      </c>
      <c r="T111" s="564">
        <f>+S$31</f>
        <v>58315.705454545445</v>
      </c>
      <c r="U111" s="564">
        <f t="shared" ref="U111:U132" si="140">+S111-T111</f>
        <v>534560.63333333016</v>
      </c>
      <c r="V111" s="590">
        <f>+S$28*U111+T111</f>
        <v>119830.01159235358</v>
      </c>
      <c r="W111" s="589">
        <f>+Y110</f>
        <v>8203974.4280303121</v>
      </c>
      <c r="X111" s="564">
        <f>+W$31</f>
        <v>693293.61363636365</v>
      </c>
      <c r="Y111" s="564">
        <f t="shared" ref="Y111:Y132" si="141">+W111-X111</f>
        <v>7510680.8143939488</v>
      </c>
      <c r="Z111" s="590">
        <f>+W$28*Y111+X111</f>
        <v>1557581.57296295</v>
      </c>
      <c r="AA111" s="589">
        <f>+AC110</f>
        <v>5372430.1041666651</v>
      </c>
      <c r="AB111" s="564">
        <f>+AA$31</f>
        <v>450833.29545454547</v>
      </c>
      <c r="AC111" s="564">
        <f t="shared" ref="AC111:AC132" si="142">+AA111-AB111</f>
        <v>4921596.8087121192</v>
      </c>
      <c r="AD111" s="590">
        <f>+AA$28*AC111+AB111</f>
        <v>1017183.66601989</v>
      </c>
      <c r="AE111" s="589">
        <f>+AG110</f>
        <v>52875.693181818264</v>
      </c>
      <c r="AF111" s="564">
        <f>+AE$31</f>
        <v>4597.886363636364</v>
      </c>
      <c r="AG111" s="564">
        <f t="shared" ref="AG111:AG132" si="143">+AE111-AF111</f>
        <v>48277.806818181896</v>
      </c>
      <c r="AH111" s="590">
        <f>+AE$28*AG111+AF111</f>
        <v>10153.43161536419</v>
      </c>
      <c r="AI111" s="589">
        <f>+AK110</f>
        <v>3792858.7083333377</v>
      </c>
      <c r="AJ111" s="564">
        <f>+AI$31</f>
        <v>295547.43181818182</v>
      </c>
      <c r="AK111" s="564">
        <f t="shared" si="19"/>
        <v>3497311.276515156</v>
      </c>
      <c r="AL111" s="590">
        <f>+AI$28*AK111+AJ111</f>
        <v>697998.83416193177</v>
      </c>
      <c r="AM111" s="589">
        <f>+AO110</f>
        <v>1385836.4460227278</v>
      </c>
      <c r="AN111" s="564">
        <f>+AM$31</f>
        <v>110866.91568181818</v>
      </c>
      <c r="AO111" s="564">
        <f t="shared" ref="AO111:AO132" si="144">+AM111-AN111</f>
        <v>1274969.5303409095</v>
      </c>
      <c r="AP111" s="590">
        <f>+AM$28*AO111+AN111</f>
        <v>257583.41726315164</v>
      </c>
      <c r="AQ111" s="589">
        <f>+AS110</f>
        <v>11537886.025227271</v>
      </c>
      <c r="AR111" s="564">
        <f>+AQ$31</f>
        <v>904932.23727272719</v>
      </c>
      <c r="AS111" s="564">
        <f t="shared" ref="AS111:AS132" si="145">+AQ111-AR111</f>
        <v>10632953.787954545</v>
      </c>
      <c r="AT111" s="590">
        <f>+AQ$28*AS111+AR111</f>
        <v>2128514.2477601054</v>
      </c>
      <c r="AU111" s="671"/>
      <c r="AV111" s="671"/>
      <c r="AW111" s="671"/>
      <c r="AX111" s="653"/>
      <c r="AY111" s="671"/>
      <c r="AZ111" s="671"/>
      <c r="BA111" s="671"/>
      <c r="BB111" s="653"/>
      <c r="BC111" s="671"/>
      <c r="BD111" s="671"/>
      <c r="BE111" s="671"/>
      <c r="BF111" s="653"/>
      <c r="BG111" s="671"/>
      <c r="BH111" s="671"/>
      <c r="BI111" s="671"/>
      <c r="BJ111" s="653"/>
      <c r="BK111" s="671"/>
      <c r="BL111" s="671"/>
      <c r="BM111" s="671"/>
      <c r="BN111" s="653"/>
      <c r="BO111" s="671"/>
      <c r="BP111" s="671"/>
      <c r="BQ111" s="671"/>
      <c r="BR111" s="653"/>
      <c r="BS111" s="589">
        <f>+BU110</f>
        <v>108041.52272727301</v>
      </c>
      <c r="BT111" s="564">
        <f>+BS$31</f>
        <v>8310.886363636364</v>
      </c>
      <c r="BU111" s="564">
        <f t="shared" ref="BU111:BU132" si="146">+BS111-BT111</f>
        <v>99730.636363636644</v>
      </c>
      <c r="BV111" s="590">
        <f>+BS$28*BU111+BT111</f>
        <v>19787.34107062882</v>
      </c>
      <c r="BW111" s="589">
        <f>+BY110</f>
        <v>7643146.2613636535</v>
      </c>
      <c r="BX111" s="564">
        <f>+BW$31</f>
        <v>576841.22727272729</v>
      </c>
      <c r="BY111" s="564">
        <f t="shared" si="20"/>
        <v>7066305.0340909259</v>
      </c>
      <c r="BZ111" s="590">
        <f>+BW$28*BY111+BX111</f>
        <v>1389992.8587718541</v>
      </c>
      <c r="CA111" s="589">
        <f>+CC110</f>
        <v>721249.44000000146</v>
      </c>
      <c r="CB111" s="564">
        <f>+CA$31</f>
        <v>54433.919999999998</v>
      </c>
      <c r="CC111" s="564">
        <f t="shared" si="21"/>
        <v>666815.52000000142</v>
      </c>
      <c r="CD111" s="590">
        <f>+CA$28*CC111+CB111</f>
        <v>131167.39320573123</v>
      </c>
      <c r="CE111" s="589">
        <f>+CG110</f>
        <v>62606.635454545663</v>
      </c>
      <c r="CF111" s="564">
        <f>+CE$31</f>
        <v>4725.0290909090909</v>
      </c>
      <c r="CG111" s="564">
        <f t="shared" si="22"/>
        <v>57881.606363636572</v>
      </c>
      <c r="CH111" s="590">
        <f>+CE$28*CG111+CF111</f>
        <v>11385.726926809461</v>
      </c>
      <c r="CI111" s="589">
        <f>+CK110</f>
        <v>176168.86363636327</v>
      </c>
      <c r="CJ111" s="564">
        <f>+CI$31</f>
        <v>12362.727272727272</v>
      </c>
      <c r="CK111" s="564">
        <f t="shared" si="24"/>
        <v>163806.136363636</v>
      </c>
      <c r="CL111" s="590">
        <f>+CI$28*CK111+CJ111</f>
        <v>31212.63912779836</v>
      </c>
      <c r="CM111" s="589">
        <f>+CO110</f>
        <v>9069218.416193191</v>
      </c>
      <c r="CN111" s="564">
        <f>+CM$31</f>
        <v>483691.64886363636</v>
      </c>
      <c r="CO111" s="564">
        <f t="shared" si="34"/>
        <v>8585526.767329555</v>
      </c>
      <c r="CP111" s="590">
        <f>+CM$28*CO111+CN111</f>
        <v>1471666.9859673218</v>
      </c>
      <c r="CQ111" s="589">
        <f>+CS110</f>
        <v>37832549.330965914</v>
      </c>
      <c r="CR111" s="564">
        <f>+CQ$31</f>
        <v>2017735.9643181816</v>
      </c>
      <c r="CS111" s="564">
        <f t="shared" si="40"/>
        <v>35814813.366647735</v>
      </c>
      <c r="CT111" s="590">
        <f>+CQ$28*CS111+CR111</f>
        <v>6139108.2770650759</v>
      </c>
      <c r="CU111" s="589">
        <f>+CW110</f>
        <v>12847712.077500023</v>
      </c>
      <c r="CV111" s="564">
        <f>+CU$31</f>
        <v>676195.37250000006</v>
      </c>
      <c r="CW111" s="564">
        <f t="shared" si="41"/>
        <v>12171516.705000022</v>
      </c>
      <c r="CX111" s="590">
        <f>+CU$28*CW111+CV111</f>
        <v>2076826.76595681</v>
      </c>
      <c r="CY111" s="589">
        <f>+DA110</f>
        <v>14307.615340909106</v>
      </c>
      <c r="CZ111" s="564">
        <f>+CY$31</f>
        <v>733.72386363636497</v>
      </c>
      <c r="DA111" s="564">
        <f t="shared" si="42"/>
        <v>13573.89147727274</v>
      </c>
      <c r="DB111" s="590">
        <f>+CY$28*DA111+CZ111</f>
        <v>2295.7328552219374</v>
      </c>
      <c r="DC111" s="589">
        <f>+DE110</f>
        <v>857215.45000000193</v>
      </c>
      <c r="DD111" s="564">
        <f>+DC$31</f>
        <v>44530.672727272722</v>
      </c>
      <c r="DE111" s="564">
        <f t="shared" si="43"/>
        <v>812684.7772727292</v>
      </c>
      <c r="DF111" s="590">
        <f>+DC$28*DE111+DD111</f>
        <v>138049.98010866434</v>
      </c>
      <c r="DG111" s="589">
        <f>+DI110</f>
        <v>480469.74920454447</v>
      </c>
      <c r="DH111" s="564">
        <f>+DG$31</f>
        <v>24639.474318181816</v>
      </c>
      <c r="DI111" s="564">
        <f t="shared" si="44"/>
        <v>455830.27488636266</v>
      </c>
      <c r="DJ111" s="590">
        <f>+DG$28*DI111+DH111</f>
        <v>77093.922565507761</v>
      </c>
      <c r="DK111" s="589">
        <f>+DM110</f>
        <v>10535127.169886369</v>
      </c>
      <c r="DL111" s="564">
        <f>+DK$31</f>
        <v>549658.80886363634</v>
      </c>
      <c r="DM111" s="564">
        <f t="shared" si="45"/>
        <v>9985468.3610227332</v>
      </c>
      <c r="DN111" s="590">
        <f>+DK$28*DM111+DL111</f>
        <v>1698731.7472487735</v>
      </c>
      <c r="DO111" s="589">
        <f>+DQ110</f>
        <v>395119.52791666635</v>
      </c>
      <c r="DP111" s="564">
        <f>+DO$31</f>
        <v>19592.703863636354</v>
      </c>
      <c r="DQ111" s="564">
        <f t="shared" si="134"/>
        <v>375526.82405303</v>
      </c>
      <c r="DR111" s="590">
        <f>+DO$28*DQ111+DP111</f>
        <v>62806.271375541983</v>
      </c>
      <c r="DS111" s="589">
        <f>+DU110</f>
        <v>170062.9309090905</v>
      </c>
      <c r="DT111" s="564">
        <f>+DS$31</f>
        <v>8295.7527272726966</v>
      </c>
      <c r="DU111" s="564">
        <f t="shared" si="61"/>
        <v>161767.17818181781</v>
      </c>
      <c r="DV111" s="590">
        <f>+DS$28*DU111+DT111</f>
        <v>26911.032456486617</v>
      </c>
      <c r="DW111" s="589">
        <f>+DY110</f>
        <v>24740.709034090858</v>
      </c>
      <c r="DX111" s="564">
        <f>+DW$31</f>
        <v>1221.7634090909089</v>
      </c>
      <c r="DY111" s="564">
        <f t="shared" si="62"/>
        <v>23518.945624999949</v>
      </c>
      <c r="DZ111" s="590">
        <f>+DW$28*DY111+DX111</f>
        <v>3928.1946930283011</v>
      </c>
      <c r="EA111" s="589">
        <f>+EC110</f>
        <v>-148932.97494318284</v>
      </c>
      <c r="EB111" s="564">
        <f>+EA$31</f>
        <v>-7120.3015909091364</v>
      </c>
      <c r="EC111" s="564">
        <f t="shared" si="63"/>
        <v>-141812.6733522737</v>
      </c>
      <c r="ED111" s="590">
        <f>+EA$28*EC111+EB111</f>
        <v>-23439.326335428861</v>
      </c>
      <c r="EE111" s="589">
        <f>+EG110</f>
        <v>4306437.6290909024</v>
      </c>
      <c r="EF111" s="564">
        <f>+EE$31</f>
        <v>192108.74181818182</v>
      </c>
      <c r="EG111" s="564">
        <f t="shared" si="72"/>
        <v>4114328.8872727207</v>
      </c>
      <c r="EH111" s="590">
        <f>+EE$28*EG111+EF111</f>
        <v>665563.14706523821</v>
      </c>
      <c r="EI111" s="589">
        <f>+EK110</f>
        <v>175129.47155303013</v>
      </c>
      <c r="EJ111" s="564">
        <f>+EI$31</f>
        <v>7669.903863636363</v>
      </c>
      <c r="EK111" s="564">
        <f t="shared" si="74"/>
        <v>167459.56768939376</v>
      </c>
      <c r="EL111" s="590">
        <f>+EI$28*EK111+EJ111</f>
        <v>26940.232560151111</v>
      </c>
      <c r="EM111" s="589">
        <f>+EO110</f>
        <v>5993973.4931818228</v>
      </c>
      <c r="EN111" s="564">
        <f>+EM$31</f>
        <v>260607.54318181818</v>
      </c>
      <c r="EO111" s="564">
        <f t="shared" si="76"/>
        <v>5733365.9500000048</v>
      </c>
      <c r="EP111" s="590">
        <f>+EM$28*EO111+EN111</f>
        <v>920371.85476079315</v>
      </c>
      <c r="EQ111" s="678">
        <f t="shared" si="94"/>
        <v>22728693.2763387</v>
      </c>
      <c r="ER111" s="652"/>
      <c r="ES111" s="674">
        <f>+EQ111</f>
        <v>22728693.2763387</v>
      </c>
      <c r="EV111" s="589"/>
      <c r="EW111" s="564"/>
      <c r="EX111" s="564"/>
      <c r="EY111" s="590"/>
      <c r="EZ111" s="589"/>
      <c r="FA111" s="564"/>
      <c r="FB111" s="564"/>
      <c r="FC111" s="590"/>
      <c r="FD111" s="589"/>
      <c r="FE111" s="564"/>
      <c r="FF111" s="564"/>
      <c r="FG111" s="590"/>
      <c r="FH111" s="589"/>
      <c r="FI111" s="564"/>
      <c r="FJ111" s="564"/>
      <c r="FK111" s="590"/>
      <c r="FL111" s="589"/>
      <c r="FM111" s="564"/>
      <c r="FN111" s="564"/>
      <c r="FO111" s="590"/>
      <c r="FP111" s="589"/>
      <c r="FQ111" s="564"/>
      <c r="FR111" s="564"/>
      <c r="FS111" s="590"/>
      <c r="FT111" s="589"/>
      <c r="FU111" s="564"/>
      <c r="FV111" s="564"/>
      <c r="FW111" s="590"/>
      <c r="FX111" s="589"/>
      <c r="FY111" s="564"/>
      <c r="FZ111" s="564"/>
      <c r="GA111" s="590"/>
      <c r="GB111" s="589"/>
      <c r="GC111" s="564"/>
      <c r="GD111" s="564"/>
      <c r="GE111" s="590"/>
      <c r="GF111" s="589"/>
      <c r="GG111" s="564"/>
      <c r="GH111" s="564"/>
      <c r="GI111" s="590"/>
      <c r="GJ111" s="589"/>
      <c r="GK111" s="564"/>
      <c r="GL111" s="564"/>
      <c r="GM111" s="590"/>
      <c r="GN111" s="589"/>
      <c r="GO111" s="564"/>
      <c r="GP111" s="564"/>
      <c r="GQ111" s="590"/>
      <c r="GR111" s="589"/>
      <c r="GS111" s="564"/>
      <c r="GT111" s="564"/>
      <c r="GU111" s="590"/>
      <c r="GV111" s="672"/>
      <c r="GW111" s="676"/>
      <c r="GX111" s="676"/>
      <c r="GY111" s="1366"/>
      <c r="GZ111" s="1367"/>
      <c r="HA111" s="1373"/>
      <c r="HB111" s="1373"/>
      <c r="HC111" s="1366"/>
      <c r="HD111" s="1367"/>
      <c r="HE111" s="1373"/>
      <c r="HF111" s="1373"/>
      <c r="HG111" s="1366"/>
      <c r="HI111" s="589"/>
      <c r="HJ111" s="564"/>
      <c r="HK111" s="564"/>
      <c r="HL111" s="590"/>
      <c r="HM111" s="589"/>
      <c r="HN111" s="564"/>
      <c r="HO111" s="564"/>
      <c r="HP111" s="590"/>
      <c r="HQ111" s="589"/>
      <c r="HR111" s="564"/>
      <c r="HS111" s="564"/>
      <c r="HT111" s="590"/>
    </row>
    <row r="112" spans="1:228">
      <c r="A112" s="649" t="s">
        <v>23</v>
      </c>
      <c r="B112" s="670">
        <v>2042</v>
      </c>
      <c r="C112" s="671">
        <f>+C111</f>
        <v>4792263.8289772645</v>
      </c>
      <c r="D112" s="671">
        <f>+D111</f>
        <v>445791.98409090913</v>
      </c>
      <c r="E112" s="671">
        <f t="shared" si="136"/>
        <v>4346471.8448863551</v>
      </c>
      <c r="F112" s="653">
        <f>+C$29*E112+D112</f>
        <v>972487.10376794438</v>
      </c>
      <c r="G112" s="671">
        <f>+G111</f>
        <v>1216327.8702272708</v>
      </c>
      <c r="H112" s="671">
        <f>+H111</f>
        <v>115840.74954545456</v>
      </c>
      <c r="I112" s="671">
        <f t="shared" si="137"/>
        <v>1100487.1206818162</v>
      </c>
      <c r="J112" s="653">
        <f>+G$29*I112+H112</f>
        <v>249195.161219022</v>
      </c>
      <c r="K112" s="672">
        <f>+K111</f>
        <v>2977842.6710795425</v>
      </c>
      <c r="L112" s="671">
        <f>+L111</f>
        <v>305419.76113636367</v>
      </c>
      <c r="M112" s="671">
        <f t="shared" si="138"/>
        <v>2672422.9099431788</v>
      </c>
      <c r="N112" s="653">
        <f>+K$29*M112+L112</f>
        <v>629257.61275759642</v>
      </c>
      <c r="O112" s="672">
        <f>+O111</f>
        <v>1411909.7651515114</v>
      </c>
      <c r="P112" s="671">
        <f>+P111</f>
        <v>119316.31818181818</v>
      </c>
      <c r="Q112" s="671">
        <f t="shared" si="139"/>
        <v>1292593.4469696933</v>
      </c>
      <c r="R112" s="653">
        <f>+O$29*Q112+P112</f>
        <v>275949.71753224113</v>
      </c>
      <c r="S112" s="589">
        <f>+S111</f>
        <v>592876.3387878756</v>
      </c>
      <c r="T112" s="564">
        <f>+T111</f>
        <v>58315.705454545445</v>
      </c>
      <c r="U112" s="564">
        <f t="shared" si="140"/>
        <v>534560.63333333016</v>
      </c>
      <c r="V112" s="590">
        <f>+S$29*U112+T112</f>
        <v>123092.49149984689</v>
      </c>
      <c r="W112" s="589">
        <f>+W111</f>
        <v>8203974.4280303121</v>
      </c>
      <c r="X112" s="564">
        <f>+X111</f>
        <v>693293.61363636365</v>
      </c>
      <c r="Y112" s="564">
        <f t="shared" si="141"/>
        <v>7510680.8143939488</v>
      </c>
      <c r="Z112" s="590">
        <f>+W$29*Y112+X112</f>
        <v>1603420.0498739057</v>
      </c>
      <c r="AA112" s="589">
        <f>+AA111</f>
        <v>5372430.1041666651</v>
      </c>
      <c r="AB112" s="564">
        <f>+AB111</f>
        <v>450833.29545454547</v>
      </c>
      <c r="AC112" s="564">
        <f t="shared" si="142"/>
        <v>4921596.8087121192</v>
      </c>
      <c r="AD112" s="590">
        <f>+AA$29*AC112+AB112</f>
        <v>1047220.6902599342</v>
      </c>
      <c r="AE112" s="589">
        <f>+AE111</f>
        <v>52875.693181818264</v>
      </c>
      <c r="AF112" s="564">
        <f>+AF111</f>
        <v>4597.886363636364</v>
      </c>
      <c r="AG112" s="564">
        <f t="shared" si="143"/>
        <v>48277.806818181896</v>
      </c>
      <c r="AH112" s="590">
        <f>+AE$29*AG112+AF112</f>
        <v>10448.076160623752</v>
      </c>
      <c r="AI112" s="589">
        <f>+AI111</f>
        <v>3792858.7083333377</v>
      </c>
      <c r="AJ112" s="564">
        <f>+AJ111</f>
        <v>295547.43181818182</v>
      </c>
      <c r="AK112" s="564">
        <f t="shared" ref="AK112:AK132" si="147">+AI112-AJ112</f>
        <v>3497311.276515156</v>
      </c>
      <c r="AL112" s="590">
        <f>+AI$29*AK112+AJ112</f>
        <v>719343.29362714221</v>
      </c>
      <c r="AM112" s="589">
        <f>+AM111</f>
        <v>1385836.4460227278</v>
      </c>
      <c r="AN112" s="564">
        <f>+AN111</f>
        <v>110866.91568181818</v>
      </c>
      <c r="AO112" s="564">
        <f t="shared" si="144"/>
        <v>1274969.5303409095</v>
      </c>
      <c r="AP112" s="590">
        <f>+AM$29*AO112+AN112</f>
        <v>265364.69073528494</v>
      </c>
      <c r="AQ112" s="589">
        <f>+AQ111</f>
        <v>11537886.025227271</v>
      </c>
      <c r="AR112" s="564">
        <f>+AR111</f>
        <v>904932.23727272719</v>
      </c>
      <c r="AS112" s="564">
        <f t="shared" si="145"/>
        <v>10632953.787954545</v>
      </c>
      <c r="AT112" s="590">
        <f>+AQ$29*AS112+AR112</f>
        <v>2193408.2858305736</v>
      </c>
      <c r="AU112" s="671"/>
      <c r="AV112" s="671"/>
      <c r="AW112" s="671"/>
      <c r="AX112" s="653"/>
      <c r="AY112" s="671"/>
      <c r="AZ112" s="671"/>
      <c r="BA112" s="671"/>
      <c r="BB112" s="653"/>
      <c r="BC112" s="671"/>
      <c r="BD112" s="671"/>
      <c r="BE112" s="671"/>
      <c r="BF112" s="653"/>
      <c r="BG112" s="671"/>
      <c r="BH112" s="671"/>
      <c r="BI112" s="671"/>
      <c r="BJ112" s="653"/>
      <c r="BK112" s="671"/>
      <c r="BL112" s="671"/>
      <c r="BM112" s="671"/>
      <c r="BN112" s="653"/>
      <c r="BO112" s="671"/>
      <c r="BP112" s="671"/>
      <c r="BQ112" s="671"/>
      <c r="BR112" s="653"/>
      <c r="BS112" s="589">
        <f>+BS111</f>
        <v>108041.52272727301</v>
      </c>
      <c r="BT112" s="564">
        <f>+BT111</f>
        <v>8310.886363636364</v>
      </c>
      <c r="BU112" s="564">
        <f t="shared" si="146"/>
        <v>99730.636363636644</v>
      </c>
      <c r="BV112" s="590">
        <f>+BS$29*BU112+BT112</f>
        <v>20396.007659616116</v>
      </c>
      <c r="BW112" s="589">
        <f>+BW111</f>
        <v>7643146.2613636535</v>
      </c>
      <c r="BX112" s="564">
        <f>+BX111</f>
        <v>576841.22727272729</v>
      </c>
      <c r="BY112" s="564">
        <f t="shared" si="20"/>
        <v>7066305.0340909259</v>
      </c>
      <c r="BZ112" s="590">
        <f>+BW$29*BY112+BX112</f>
        <v>1389992.8587718541</v>
      </c>
      <c r="CA112" s="589">
        <f>+CA111</f>
        <v>721249.44000000146</v>
      </c>
      <c r="CB112" s="564">
        <f>+CB111</f>
        <v>54433.919999999998</v>
      </c>
      <c r="CC112" s="564">
        <f t="shared" si="21"/>
        <v>666815.52000000142</v>
      </c>
      <c r="CD112" s="590">
        <f>+CA$29*CC112+CB112</f>
        <v>135237.03863105789</v>
      </c>
      <c r="CE112" s="589">
        <f>+CE111</f>
        <v>62606.635454545663</v>
      </c>
      <c r="CF112" s="564">
        <f>+CF111</f>
        <v>4725.0290909090909</v>
      </c>
      <c r="CG112" s="564">
        <f t="shared" si="22"/>
        <v>57881.606363636572</v>
      </c>
      <c r="CH112" s="590">
        <f>+CE$29*CG112+CF112</f>
        <v>11738.984473286982</v>
      </c>
      <c r="CI112" s="589">
        <f>+CI111</f>
        <v>176168.86363636327</v>
      </c>
      <c r="CJ112" s="564">
        <f>+CJ111</f>
        <v>12362.727272727272</v>
      </c>
      <c r="CK112" s="564">
        <f t="shared" si="24"/>
        <v>163806.136363636</v>
      </c>
      <c r="CL112" s="590">
        <f>+CI$29*CK112+CJ112</f>
        <v>31212.63912779836</v>
      </c>
      <c r="CM112" s="589">
        <f>+CM111</f>
        <v>9069218.416193191</v>
      </c>
      <c r="CN112" s="564">
        <f>+CN111</f>
        <v>483691.64886363636</v>
      </c>
      <c r="CO112" s="564">
        <f t="shared" si="34"/>
        <v>8585526.767329555</v>
      </c>
      <c r="CP112" s="590">
        <f>+CM$29*CO112+CN112</f>
        <v>1471666.9859673218</v>
      </c>
      <c r="CQ112" s="589">
        <f>+CQ111</f>
        <v>37832549.330965914</v>
      </c>
      <c r="CR112" s="564">
        <f>+CR111</f>
        <v>2017735.9643181816</v>
      </c>
      <c r="CS112" s="564">
        <f t="shared" si="40"/>
        <v>35814813.366647735</v>
      </c>
      <c r="CT112" s="590">
        <f>+CQ$29*CS112+CR112</f>
        <v>6139108.2770650759</v>
      </c>
      <c r="CU112" s="589">
        <f>+CU111</f>
        <v>12847712.077500023</v>
      </c>
      <c r="CV112" s="564">
        <f>+CV111</f>
        <v>676195.37250000006</v>
      </c>
      <c r="CW112" s="564">
        <f t="shared" si="41"/>
        <v>12171516.705000022</v>
      </c>
      <c r="CX112" s="590">
        <f>+CU$29*CW112+CV112</f>
        <v>2076826.76595681</v>
      </c>
      <c r="CY112" s="589">
        <f>+CY111</f>
        <v>14307.615340909106</v>
      </c>
      <c r="CZ112" s="564">
        <f>+CZ111</f>
        <v>733.72386363636497</v>
      </c>
      <c r="DA112" s="564">
        <f t="shared" si="42"/>
        <v>13573.89147727274</v>
      </c>
      <c r="DB112" s="590">
        <f>+CY$29*DA112+CZ112</f>
        <v>2295.7328552219374</v>
      </c>
      <c r="DC112" s="589">
        <f>+DC111</f>
        <v>857215.45000000193</v>
      </c>
      <c r="DD112" s="564">
        <f>+DD111</f>
        <v>44530.672727272722</v>
      </c>
      <c r="DE112" s="564">
        <f t="shared" si="43"/>
        <v>812684.7772727292</v>
      </c>
      <c r="DF112" s="590">
        <f>+DC$29*DE112+DD112</f>
        <v>138049.98010866434</v>
      </c>
      <c r="DG112" s="589">
        <f>+DG111</f>
        <v>480469.74920454447</v>
      </c>
      <c r="DH112" s="564">
        <f>+DH111</f>
        <v>24639.474318181816</v>
      </c>
      <c r="DI112" s="564">
        <f t="shared" si="44"/>
        <v>455830.27488636266</v>
      </c>
      <c r="DJ112" s="590">
        <f>+DG$29*DI112+DH112</f>
        <v>77093.922565507761</v>
      </c>
      <c r="DK112" s="589">
        <f>+DK111</f>
        <v>10535127.169886369</v>
      </c>
      <c r="DL112" s="564">
        <f>+DL111</f>
        <v>549658.80886363634</v>
      </c>
      <c r="DM112" s="564">
        <f t="shared" si="45"/>
        <v>9985468.3610227332</v>
      </c>
      <c r="DN112" s="590">
        <f>+DK$29*DM112+DL112</f>
        <v>1698731.7472487735</v>
      </c>
      <c r="DO112" s="589">
        <f>+DO111</f>
        <v>395119.52791666635</v>
      </c>
      <c r="DP112" s="564">
        <f>+DP111</f>
        <v>19592.703863636354</v>
      </c>
      <c r="DQ112" s="564">
        <f t="shared" si="134"/>
        <v>375526.82405303</v>
      </c>
      <c r="DR112" s="590">
        <f>+DO$29*DQ112+DP112</f>
        <v>62806.271375541983</v>
      </c>
      <c r="DS112" s="589">
        <f>+DS111</f>
        <v>170062.9309090905</v>
      </c>
      <c r="DT112" s="564">
        <f>+DT111</f>
        <v>8295.7527272726966</v>
      </c>
      <c r="DU112" s="564">
        <f t="shared" si="61"/>
        <v>161767.17818181781</v>
      </c>
      <c r="DV112" s="590">
        <f>+DS$29*DU112+DT112</f>
        <v>26911.032456486617</v>
      </c>
      <c r="DW112" s="589">
        <f>+DW111</f>
        <v>24740.709034090858</v>
      </c>
      <c r="DX112" s="564">
        <f>+DX111</f>
        <v>1221.7634090909089</v>
      </c>
      <c r="DY112" s="564">
        <f t="shared" si="62"/>
        <v>23518.945624999949</v>
      </c>
      <c r="DZ112" s="590">
        <f>+DW$29*DY112+DX112</f>
        <v>3928.1946930283011</v>
      </c>
      <c r="EA112" s="589">
        <f>+EA111</f>
        <v>-148932.97494318284</v>
      </c>
      <c r="EB112" s="564">
        <f>+EB111</f>
        <v>-7120.3015909091364</v>
      </c>
      <c r="EC112" s="564">
        <f t="shared" si="63"/>
        <v>-141812.6733522737</v>
      </c>
      <c r="ED112" s="590">
        <f>+EA$29*EC112+EB112</f>
        <v>-23439.326335428861</v>
      </c>
      <c r="EE112" s="589">
        <f>+EE111</f>
        <v>4306437.6290909024</v>
      </c>
      <c r="EF112" s="564">
        <f>+EF111</f>
        <v>192108.74181818182</v>
      </c>
      <c r="EG112" s="564">
        <f t="shared" si="72"/>
        <v>4114328.8872727207</v>
      </c>
      <c r="EH112" s="590">
        <f>+EE$29*EG112+EF112</f>
        <v>665563.14706523821</v>
      </c>
      <c r="EI112" s="589">
        <f>+EI111</f>
        <v>175129.47155303013</v>
      </c>
      <c r="EJ112" s="564">
        <f>+EJ111</f>
        <v>7669.903863636363</v>
      </c>
      <c r="EK112" s="564">
        <f t="shared" si="74"/>
        <v>167459.56768939376</v>
      </c>
      <c r="EL112" s="590">
        <f>+EI$29*EK112+EJ112</f>
        <v>26940.232560151111</v>
      </c>
      <c r="EM112" s="589">
        <f>+EM111</f>
        <v>5993973.4931818228</v>
      </c>
      <c r="EN112" s="564">
        <f>+EN111</f>
        <v>260607.54318181818</v>
      </c>
      <c r="EO112" s="564">
        <f t="shared" si="76"/>
        <v>5733365.9500000048</v>
      </c>
      <c r="EP112" s="590">
        <f>+EM$29*EO112+EN112</f>
        <v>920371.85476079315</v>
      </c>
      <c r="EQ112" s="678">
        <f t="shared" si="94"/>
        <v>22964619.520270906</v>
      </c>
      <c r="ER112" s="675">
        <f>+EQ112</f>
        <v>22964619.520270906</v>
      </c>
      <c r="ES112" s="648"/>
      <c r="EV112" s="589"/>
      <c r="EW112" s="564"/>
      <c r="EX112" s="564"/>
      <c r="EY112" s="590"/>
      <c r="EZ112" s="589"/>
      <c r="FA112" s="564"/>
      <c r="FB112" s="564"/>
      <c r="FC112" s="590"/>
      <c r="FD112" s="589"/>
      <c r="FE112" s="564"/>
      <c r="FF112" s="564"/>
      <c r="FG112" s="590"/>
      <c r="FH112" s="589"/>
      <c r="FI112" s="564"/>
      <c r="FJ112" s="564"/>
      <c r="FK112" s="590"/>
      <c r="FL112" s="589"/>
      <c r="FM112" s="564"/>
      <c r="FN112" s="564"/>
      <c r="FO112" s="590"/>
      <c r="FP112" s="589"/>
      <c r="FQ112" s="564"/>
      <c r="FR112" s="564"/>
      <c r="FS112" s="590"/>
      <c r="FT112" s="589"/>
      <c r="FU112" s="564"/>
      <c r="FV112" s="564"/>
      <c r="FW112" s="590"/>
      <c r="FX112" s="589"/>
      <c r="FY112" s="564"/>
      <c r="FZ112" s="564"/>
      <c r="GA112" s="590"/>
      <c r="GB112" s="589"/>
      <c r="GC112" s="564"/>
      <c r="GD112" s="564"/>
      <c r="GE112" s="590"/>
      <c r="GF112" s="589"/>
      <c r="GG112" s="564"/>
      <c r="GH112" s="564"/>
      <c r="GI112" s="590"/>
      <c r="GJ112" s="589"/>
      <c r="GK112" s="564"/>
      <c r="GL112" s="564"/>
      <c r="GM112" s="590"/>
      <c r="GN112" s="589"/>
      <c r="GO112" s="564"/>
      <c r="GP112" s="564"/>
      <c r="GQ112" s="590"/>
      <c r="GR112" s="589"/>
      <c r="GS112" s="564"/>
      <c r="GT112" s="564"/>
      <c r="GU112" s="590"/>
      <c r="GV112" s="672"/>
      <c r="GW112" s="676"/>
      <c r="GX112" s="676"/>
      <c r="GY112" s="1366"/>
      <c r="GZ112" s="1367"/>
      <c r="HA112" s="1373"/>
      <c r="HB112" s="1373"/>
      <c r="HC112" s="1366"/>
      <c r="HD112" s="1367"/>
      <c r="HE112" s="1373"/>
      <c r="HF112" s="1373"/>
      <c r="HG112" s="1366"/>
      <c r="HI112" s="589"/>
      <c r="HJ112" s="564"/>
      <c r="HK112" s="564"/>
      <c r="HL112" s="590"/>
      <c r="HM112" s="589"/>
      <c r="HN112" s="564"/>
      <c r="HO112" s="564"/>
      <c r="HP112" s="590"/>
      <c r="HQ112" s="589"/>
      <c r="HR112" s="564"/>
      <c r="HS112" s="564"/>
      <c r="HT112" s="590"/>
    </row>
    <row r="113" spans="1:228">
      <c r="A113" s="649" t="s">
        <v>24</v>
      </c>
      <c r="B113" s="670">
        <v>2043</v>
      </c>
      <c r="C113" s="671">
        <f>+E112</f>
        <v>4346471.8448863551</v>
      </c>
      <c r="D113" s="671">
        <f>+C$31</f>
        <v>445791.98409090913</v>
      </c>
      <c r="E113" s="671">
        <f t="shared" si="136"/>
        <v>3900679.8607954457</v>
      </c>
      <c r="F113" s="653">
        <f>+C$28*E113+D113</f>
        <v>894660.83102848812</v>
      </c>
      <c r="G113" s="671">
        <f>+I112</f>
        <v>1100487.1206818162</v>
      </c>
      <c r="H113" s="671">
        <f>+G$31</f>
        <v>115840.74954545456</v>
      </c>
      <c r="I113" s="671">
        <f t="shared" si="137"/>
        <v>984646.37113636173</v>
      </c>
      <c r="J113" s="653">
        <f>+G$28*I113+H113</f>
        <v>229148.45410624874</v>
      </c>
      <c r="K113" s="672">
        <f>+M112</f>
        <v>2672422.9099431788</v>
      </c>
      <c r="L113" s="671">
        <f>+K$31</f>
        <v>305419.76113636367</v>
      </c>
      <c r="M113" s="671">
        <f t="shared" si="138"/>
        <v>2367003.148806815</v>
      </c>
      <c r="N113" s="653">
        <f>+K$28*M113+L113</f>
        <v>577801.50278636126</v>
      </c>
      <c r="O113" s="672">
        <f>+Q112</f>
        <v>1292593.4469696933</v>
      </c>
      <c r="P113" s="671">
        <f>+O$31</f>
        <v>119316.31818181818</v>
      </c>
      <c r="Q113" s="671">
        <f t="shared" si="139"/>
        <v>1173277.1287878752</v>
      </c>
      <c r="R113" s="653">
        <f>+O$28*Q113+P113</f>
        <v>254330.61587654115</v>
      </c>
      <c r="S113" s="589">
        <f>+U112</f>
        <v>534560.63333333016</v>
      </c>
      <c r="T113" s="564">
        <f>+S$31</f>
        <v>58315.705454545445</v>
      </c>
      <c r="U113" s="564">
        <f t="shared" si="140"/>
        <v>476244.92787878471</v>
      </c>
      <c r="V113" s="590">
        <f>+S$28*U113+T113</f>
        <v>113119.36001368356</v>
      </c>
      <c r="W113" s="589">
        <f>+Y112</f>
        <v>7510680.8143939488</v>
      </c>
      <c r="X113" s="564">
        <f>+W$31</f>
        <v>693293.61363636365</v>
      </c>
      <c r="Y113" s="564">
        <f t="shared" si="141"/>
        <v>6817387.2007575855</v>
      </c>
      <c r="Z113" s="590">
        <f>+W$28*Y113+X113</f>
        <v>1477801.1459481884</v>
      </c>
      <c r="AA113" s="589">
        <f>+AC112</f>
        <v>4921596.8087121192</v>
      </c>
      <c r="AB113" s="564">
        <f>+AA$31</f>
        <v>450833.29545454547</v>
      </c>
      <c r="AC113" s="564">
        <f t="shared" si="142"/>
        <v>4470763.5132575734</v>
      </c>
      <c r="AD113" s="590">
        <f>+AA$28*AC113+AB113</f>
        <v>965304.24276199588</v>
      </c>
      <c r="AE113" s="589">
        <f>+AG112</f>
        <v>48277.806818181896</v>
      </c>
      <c r="AF113" s="564">
        <f>+AE$31</f>
        <v>4597.886363636364</v>
      </c>
      <c r="AG113" s="564">
        <f t="shared" si="143"/>
        <v>43679.920454545529</v>
      </c>
      <c r="AH113" s="590">
        <f>+AE$28*AG113+AF113</f>
        <v>9624.332067580588</v>
      </c>
      <c r="AI113" s="589">
        <f>+AK112</f>
        <v>3497311.276515156</v>
      </c>
      <c r="AJ113" s="564">
        <f>+AI$31</f>
        <v>295547.43181818182</v>
      </c>
      <c r="AK113" s="564">
        <f t="shared" si="147"/>
        <v>3201763.8446969744</v>
      </c>
      <c r="AL113" s="590">
        <f>+AI$28*AK113+AJ113</f>
        <v>663988.85649907973</v>
      </c>
      <c r="AM113" s="589">
        <f>+AO112</f>
        <v>1274969.5303409095</v>
      </c>
      <c r="AN113" s="564">
        <f>+AM$31</f>
        <v>110866.91568181818</v>
      </c>
      <c r="AO113" s="564">
        <f t="shared" si="144"/>
        <v>1164102.6146590912</v>
      </c>
      <c r="AP113" s="590">
        <f>+AM$28*AO113+AN113</f>
        <v>244825.46060390526</v>
      </c>
      <c r="AQ113" s="589">
        <f>+AS112</f>
        <v>10632953.787954545</v>
      </c>
      <c r="AR113" s="564">
        <f>+AQ$31</f>
        <v>904932.23727272719</v>
      </c>
      <c r="AS113" s="564">
        <f t="shared" si="145"/>
        <v>9728021.5506818183</v>
      </c>
      <c r="AT113" s="590">
        <f>+AQ$28*AS113+AR113</f>
        <v>2024379.6085696905</v>
      </c>
      <c r="AU113" s="671"/>
      <c r="AV113" s="671"/>
      <c r="AW113" s="671"/>
      <c r="AX113" s="653"/>
      <c r="AY113" s="671"/>
      <c r="AZ113" s="671"/>
      <c r="BA113" s="671"/>
      <c r="BB113" s="653"/>
      <c r="BC113" s="671"/>
      <c r="BD113" s="671"/>
      <c r="BE113" s="671"/>
      <c r="BF113" s="653"/>
      <c r="BG113" s="671"/>
      <c r="BH113" s="671"/>
      <c r="BI113" s="671"/>
      <c r="BJ113" s="653"/>
      <c r="BK113" s="671"/>
      <c r="BL113" s="671"/>
      <c r="BM113" s="671"/>
      <c r="BN113" s="653"/>
      <c r="BO113" s="671"/>
      <c r="BP113" s="671"/>
      <c r="BQ113" s="671"/>
      <c r="BR113" s="653"/>
      <c r="BS113" s="589">
        <f>+BU112</f>
        <v>99730.636363636644</v>
      </c>
      <c r="BT113" s="564">
        <f>+BS$31</f>
        <v>8310.886363636364</v>
      </c>
      <c r="BU113" s="564">
        <f t="shared" si="146"/>
        <v>91419.750000000276</v>
      </c>
      <c r="BV113" s="590">
        <f>+BS$28*BU113+BT113</f>
        <v>18830.969845046115</v>
      </c>
      <c r="BW113" s="589">
        <f>+BY112</f>
        <v>7066305.0340909259</v>
      </c>
      <c r="BX113" s="564">
        <f>+BW$31</f>
        <v>576841.22727272729</v>
      </c>
      <c r="BY113" s="564">
        <f t="shared" si="20"/>
        <v>6489463.8068181984</v>
      </c>
      <c r="BZ113" s="590">
        <f>+BW$28*BY113+BX113</f>
        <v>1323613.1337515174</v>
      </c>
      <c r="CA113" s="589">
        <f>+CC112</f>
        <v>666815.52000000142</v>
      </c>
      <c r="CB113" s="564">
        <f>+CA$31</f>
        <v>54433.919999999998</v>
      </c>
      <c r="CC113" s="564">
        <f t="shared" si="21"/>
        <v>612381.60000000137</v>
      </c>
      <c r="CD113" s="590">
        <f>+CA$28*CC113+CB113</f>
        <v>124903.43620934502</v>
      </c>
      <c r="CE113" s="589">
        <f>+CG112</f>
        <v>57881.606363636572</v>
      </c>
      <c r="CF113" s="564">
        <f>+CE$31</f>
        <v>4725.0290909090909</v>
      </c>
      <c r="CG113" s="564">
        <f t="shared" si="22"/>
        <v>53156.577272727482</v>
      </c>
      <c r="CH113" s="590">
        <f>+CE$28*CG113+CF113</f>
        <v>10841.99649122576</v>
      </c>
      <c r="CI113" s="589">
        <f>+CK112</f>
        <v>163806.136363636</v>
      </c>
      <c r="CJ113" s="564">
        <f>+CI$31</f>
        <v>12362.727272727272</v>
      </c>
      <c r="CK113" s="564">
        <f t="shared" si="24"/>
        <v>151443.40909090874</v>
      </c>
      <c r="CL113" s="590">
        <f>+CI$28*CK113+CJ113</f>
        <v>29790.00427081186</v>
      </c>
      <c r="CM113" s="589">
        <f>+CO112</f>
        <v>8585526.767329555</v>
      </c>
      <c r="CN113" s="564">
        <f>+CM$31</f>
        <v>483691.64886363636</v>
      </c>
      <c r="CO113" s="564">
        <f t="shared" si="34"/>
        <v>8101835.118465919</v>
      </c>
      <c r="CP113" s="590">
        <f>+CM$28*CO113+CN113</f>
        <v>1416006.4035952832</v>
      </c>
      <c r="CQ113" s="589">
        <f>+CS112</f>
        <v>35814813.366647735</v>
      </c>
      <c r="CR113" s="564">
        <f>+CQ$31</f>
        <v>2017735.9643181816</v>
      </c>
      <c r="CS113" s="564">
        <f t="shared" si="40"/>
        <v>33797077.402329557</v>
      </c>
      <c r="CT113" s="590">
        <f>+CQ$28*CS113+CR113</f>
        <v>5906918.2876145467</v>
      </c>
      <c r="CU113" s="589">
        <f>+CW112</f>
        <v>12171516.705000022</v>
      </c>
      <c r="CV113" s="564">
        <f>+CU$31</f>
        <v>676195.37250000006</v>
      </c>
      <c r="CW113" s="564">
        <f t="shared" si="41"/>
        <v>11495321.332500022</v>
      </c>
      <c r="CX113" s="590">
        <f>+CU$28*CW113+CV113</f>
        <v>1999013.910764765</v>
      </c>
      <c r="CY113" s="589">
        <f>+DA112</f>
        <v>13573.89147727274</v>
      </c>
      <c r="CZ113" s="564">
        <f>+CY$31</f>
        <v>733.72386363636497</v>
      </c>
      <c r="DA113" s="564">
        <f t="shared" si="42"/>
        <v>12840.167613636375</v>
      </c>
      <c r="DB113" s="590">
        <f>+CY$28*DA113+CZ113</f>
        <v>2211.2999367578523</v>
      </c>
      <c r="DC113" s="589">
        <f>+DE112</f>
        <v>812684.7772727292</v>
      </c>
      <c r="DD113" s="564">
        <f>+DC$31</f>
        <v>44530.672727272722</v>
      </c>
      <c r="DE113" s="564">
        <f t="shared" si="43"/>
        <v>768154.10454545647</v>
      </c>
      <c r="DF113" s="590">
        <f>+DC$28*DE113+DD113</f>
        <v>132925.63449872509</v>
      </c>
      <c r="DG113" s="589">
        <f>+DI112</f>
        <v>455830.27488636266</v>
      </c>
      <c r="DH113" s="564">
        <f>+DG$31</f>
        <v>24639.474318181816</v>
      </c>
      <c r="DI113" s="564">
        <f t="shared" si="44"/>
        <v>431190.80056818086</v>
      </c>
      <c r="DJ113" s="590">
        <f>+DG$28*DI113+DH113</f>
        <v>74258.546984571221</v>
      </c>
      <c r="DK113" s="589">
        <f>+DM112</f>
        <v>9985468.3610227332</v>
      </c>
      <c r="DL113" s="564">
        <f>+DK$31</f>
        <v>549658.80886363634</v>
      </c>
      <c r="DM113" s="564">
        <f t="shared" si="45"/>
        <v>9435809.552159097</v>
      </c>
      <c r="DN113" s="590">
        <f>+DK$28*DM113+DL113</f>
        <v>1635480.0258697753</v>
      </c>
      <c r="DO113" s="589">
        <f>+DQ112</f>
        <v>375526.82405303</v>
      </c>
      <c r="DP113" s="564">
        <f>+DO$31</f>
        <v>19592.703863636354</v>
      </c>
      <c r="DQ113" s="564">
        <f t="shared" si="134"/>
        <v>355934.12018939364</v>
      </c>
      <c r="DR113" s="590">
        <f>+DO$28*DQ113+DP113</f>
        <v>60551.650461877347</v>
      </c>
      <c r="DS113" s="589">
        <f>+DU112</f>
        <v>161767.17818181781</v>
      </c>
      <c r="DT113" s="564">
        <f>+DS$31</f>
        <v>8295.7527272726966</v>
      </c>
      <c r="DU113" s="564">
        <f t="shared" si="61"/>
        <v>153471.42545454513</v>
      </c>
      <c r="DV113" s="590">
        <f>+DS$28*DU113+DT113</f>
        <v>25956.402726783344</v>
      </c>
      <c r="DW113" s="589">
        <f>+DY112</f>
        <v>23518.945624999949</v>
      </c>
      <c r="DX113" s="564">
        <f>+DW$31</f>
        <v>1221.7634090909089</v>
      </c>
      <c r="DY113" s="564">
        <f t="shared" si="62"/>
        <v>22297.182215909041</v>
      </c>
      <c r="DZ113" s="590">
        <f>+DW$28*DY113+DX113</f>
        <v>3787.6008600964878</v>
      </c>
      <c r="EA113" s="589">
        <f>+EC112</f>
        <v>-141812.6733522737</v>
      </c>
      <c r="EB113" s="564">
        <f>+EA$31</f>
        <v>-7120.3015909091364</v>
      </c>
      <c r="EC113" s="564">
        <f t="shared" si="63"/>
        <v>-134692.37176136457</v>
      </c>
      <c r="ED113" s="590">
        <f>+EA$28*EC113+EB113</f>
        <v>-22619.961076289794</v>
      </c>
      <c r="EE113" s="589">
        <f>+EG112</f>
        <v>4114328.8872727207</v>
      </c>
      <c r="EF113" s="564">
        <f>+EE$31</f>
        <v>192108.74181818182</v>
      </c>
      <c r="EG113" s="564">
        <f t="shared" si="72"/>
        <v>3922220.145454539</v>
      </c>
      <c r="EH113" s="590">
        <f>+EE$28*EG113+EF113</f>
        <v>643456.32658677641</v>
      </c>
      <c r="EI113" s="589">
        <f>+EK112</f>
        <v>167459.56768939376</v>
      </c>
      <c r="EJ113" s="564">
        <f>+EI$31</f>
        <v>7669.903863636363</v>
      </c>
      <c r="EK113" s="564">
        <f t="shared" si="74"/>
        <v>159789.66382575739</v>
      </c>
      <c r="EL113" s="590">
        <f>+EI$28*EK113+EJ113</f>
        <v>26057.622085501578</v>
      </c>
      <c r="EM113" s="589">
        <f>+EO112</f>
        <v>5733365.9500000048</v>
      </c>
      <c r="EN113" s="564">
        <f>+EM$31</f>
        <v>260607.54318181818</v>
      </c>
      <c r="EO113" s="564">
        <f t="shared" si="76"/>
        <v>5472758.4068181869</v>
      </c>
      <c r="EP113" s="590">
        <f>+EM$28*EO113+EN113</f>
        <v>890382.56787083985</v>
      </c>
      <c r="EQ113" s="678">
        <f t="shared" si="94"/>
        <v>21757350.269609723</v>
      </c>
      <c r="ER113" s="652"/>
      <c r="ES113" s="674">
        <f>+EQ113</f>
        <v>21757350.269609723</v>
      </c>
      <c r="EV113" s="589"/>
      <c r="EW113" s="564"/>
      <c r="EX113" s="564"/>
      <c r="EY113" s="590"/>
      <c r="EZ113" s="589"/>
      <c r="FA113" s="564"/>
      <c r="FB113" s="564"/>
      <c r="FC113" s="590"/>
      <c r="FD113" s="589"/>
      <c r="FE113" s="564"/>
      <c r="FF113" s="564"/>
      <c r="FG113" s="590"/>
      <c r="FH113" s="589"/>
      <c r="FI113" s="564"/>
      <c r="FJ113" s="564"/>
      <c r="FK113" s="590"/>
      <c r="FL113" s="589"/>
      <c r="FM113" s="564"/>
      <c r="FN113" s="564"/>
      <c r="FO113" s="590"/>
      <c r="FP113" s="589"/>
      <c r="FQ113" s="564"/>
      <c r="FR113" s="564"/>
      <c r="FS113" s="590"/>
      <c r="FT113" s="589"/>
      <c r="FU113" s="564"/>
      <c r="FV113" s="564"/>
      <c r="FW113" s="590"/>
      <c r="FX113" s="589"/>
      <c r="FY113" s="564"/>
      <c r="FZ113" s="564"/>
      <c r="GA113" s="590"/>
      <c r="GB113" s="589"/>
      <c r="GC113" s="564"/>
      <c r="GD113" s="564"/>
      <c r="GE113" s="590"/>
      <c r="GF113" s="589"/>
      <c r="GG113" s="564"/>
      <c r="GH113" s="564"/>
      <c r="GI113" s="590"/>
      <c r="GJ113" s="589"/>
      <c r="GK113" s="564"/>
      <c r="GL113" s="564"/>
      <c r="GM113" s="590"/>
      <c r="GN113" s="589"/>
      <c r="GO113" s="564"/>
      <c r="GP113" s="564"/>
      <c r="GQ113" s="590"/>
      <c r="GR113" s="589"/>
      <c r="GS113" s="564"/>
      <c r="GT113" s="564"/>
      <c r="GU113" s="590"/>
      <c r="GV113" s="672"/>
      <c r="GW113" s="676"/>
      <c r="GX113" s="676"/>
      <c r="GY113" s="1366"/>
      <c r="GZ113" s="1367"/>
      <c r="HA113" s="1373"/>
      <c r="HB113" s="1373"/>
      <c r="HC113" s="1366"/>
      <c r="HD113" s="1367"/>
      <c r="HE113" s="1373"/>
      <c r="HF113" s="1373"/>
      <c r="HG113" s="1366"/>
      <c r="HI113" s="589"/>
      <c r="HJ113" s="564"/>
      <c r="HK113" s="564"/>
      <c r="HL113" s="590"/>
      <c r="HM113" s="589"/>
      <c r="HN113" s="564"/>
      <c r="HO113" s="564"/>
      <c r="HP113" s="590"/>
      <c r="HQ113" s="589"/>
      <c r="HR113" s="564"/>
      <c r="HS113" s="564"/>
      <c r="HT113" s="590"/>
    </row>
    <row r="114" spans="1:228">
      <c r="A114" s="649" t="s">
        <v>23</v>
      </c>
      <c r="B114" s="670">
        <v>2043</v>
      </c>
      <c r="C114" s="671">
        <f>+C113</f>
        <v>4346471.8448863551</v>
      </c>
      <c r="D114" s="671">
        <f>+D113</f>
        <v>445791.98409090913</v>
      </c>
      <c r="E114" s="671">
        <f t="shared" si="136"/>
        <v>3900679.8607954457</v>
      </c>
      <c r="F114" s="653">
        <f>+C$29*E114+D114</f>
        <v>918467.09149337653</v>
      </c>
      <c r="G114" s="671">
        <f>+G113</f>
        <v>1100487.1206818162</v>
      </c>
      <c r="H114" s="671">
        <f>+H113</f>
        <v>115840.74954545456</v>
      </c>
      <c r="I114" s="671">
        <f t="shared" si="137"/>
        <v>984646.37113636173</v>
      </c>
      <c r="J114" s="653">
        <f>+G$29*I114+H114</f>
        <v>235157.85472706752</v>
      </c>
      <c r="K114" s="672">
        <f>+K113</f>
        <v>2672422.9099431788</v>
      </c>
      <c r="L114" s="671">
        <f>+L113</f>
        <v>305419.76113636367</v>
      </c>
      <c r="M114" s="671">
        <f t="shared" si="138"/>
        <v>2367003.148806815</v>
      </c>
      <c r="N114" s="653">
        <f>+K$29*M114+L114</f>
        <v>592247.57257231267</v>
      </c>
      <c r="O114" s="672">
        <f>+O113</f>
        <v>1292593.4469696933</v>
      </c>
      <c r="P114" s="671">
        <f>+P113</f>
        <v>119316.31818181818</v>
      </c>
      <c r="Q114" s="671">
        <f t="shared" si="139"/>
        <v>1173277.1287878752</v>
      </c>
      <c r="R114" s="653">
        <f>+O$29*Q114+P114</f>
        <v>261491.24989989438</v>
      </c>
      <c r="S114" s="589">
        <f>+S113</f>
        <v>534560.63333333016</v>
      </c>
      <c r="T114" s="564">
        <f>+T113</f>
        <v>58315.705454545445</v>
      </c>
      <c r="U114" s="564">
        <f t="shared" si="140"/>
        <v>476244.92787878471</v>
      </c>
      <c r="V114" s="590">
        <f>+S$29*U114+T114</f>
        <v>116025.9330221776</v>
      </c>
      <c r="W114" s="589">
        <f>+W113</f>
        <v>7510680.8143939488</v>
      </c>
      <c r="X114" s="564">
        <f>+X113</f>
        <v>693293.61363636365</v>
      </c>
      <c r="Y114" s="564">
        <f t="shared" si="141"/>
        <v>6817387.2007575855</v>
      </c>
      <c r="Z114" s="590">
        <f>+W$29*Y114+X114</f>
        <v>1519408.3788365945</v>
      </c>
      <c r="AA114" s="589">
        <f>+AA113</f>
        <v>4921596.8087121192</v>
      </c>
      <c r="AB114" s="564">
        <f>+AB113</f>
        <v>450833.29545454547</v>
      </c>
      <c r="AC114" s="564">
        <f t="shared" si="142"/>
        <v>4470763.5132575734</v>
      </c>
      <c r="AD114" s="590">
        <f>+AA$29*AC114+AB114</f>
        <v>992589.78386554727</v>
      </c>
      <c r="AE114" s="589">
        <f>+AE113</f>
        <v>48277.806818181896</v>
      </c>
      <c r="AF114" s="564">
        <f>+AF113</f>
        <v>4597.886363636364</v>
      </c>
      <c r="AG114" s="564">
        <f t="shared" si="143"/>
        <v>43679.920454545529</v>
      </c>
      <c r="AH114" s="590">
        <f>+AE$29*AG114+AF114</f>
        <v>9890.915227577334</v>
      </c>
      <c r="AI114" s="589">
        <f>+AI113</f>
        <v>3497311.276515156</v>
      </c>
      <c r="AJ114" s="564">
        <f>+AJ113</f>
        <v>295547.43181818182</v>
      </c>
      <c r="AK114" s="564">
        <f t="shared" si="147"/>
        <v>3201763.8446969744</v>
      </c>
      <c r="AL114" s="590">
        <f>+AI$29*AK114+AJ114</f>
        <v>683529.55882638507</v>
      </c>
      <c r="AM114" s="589">
        <f>+AM113</f>
        <v>1274969.5303409095</v>
      </c>
      <c r="AN114" s="564">
        <f>+AN113</f>
        <v>110866.91568181818</v>
      </c>
      <c r="AO114" s="564">
        <f t="shared" si="144"/>
        <v>1164102.6146590912</v>
      </c>
      <c r="AP114" s="590">
        <f>+AM$29*AO114+AN114</f>
        <v>251930.10160020087</v>
      </c>
      <c r="AQ114" s="589">
        <f>+AQ113</f>
        <v>10632953.787954545</v>
      </c>
      <c r="AR114" s="564">
        <f>+AR113</f>
        <v>904932.23727272719</v>
      </c>
      <c r="AS114" s="564">
        <f t="shared" si="145"/>
        <v>9728021.5506818183</v>
      </c>
      <c r="AT114" s="590">
        <f>+AQ$29*AS114+AR114</f>
        <v>2083750.7497830978</v>
      </c>
      <c r="AU114" s="671"/>
      <c r="AV114" s="671"/>
      <c r="AW114" s="671"/>
      <c r="AX114" s="653"/>
      <c r="AY114" s="671"/>
      <c r="AZ114" s="671"/>
      <c r="BA114" s="671"/>
      <c r="BB114" s="653"/>
      <c r="BC114" s="671"/>
      <c r="BD114" s="671"/>
      <c r="BE114" s="671"/>
      <c r="BF114" s="653"/>
      <c r="BG114" s="671"/>
      <c r="BH114" s="671"/>
      <c r="BI114" s="671"/>
      <c r="BJ114" s="653"/>
      <c r="BK114" s="671"/>
      <c r="BL114" s="671"/>
      <c r="BM114" s="671"/>
      <c r="BN114" s="653"/>
      <c r="BO114" s="671"/>
      <c r="BP114" s="671"/>
      <c r="BQ114" s="671"/>
      <c r="BR114" s="653"/>
      <c r="BS114" s="589">
        <f>+BS113</f>
        <v>99730.636363636644</v>
      </c>
      <c r="BT114" s="564">
        <f>+BT113</f>
        <v>8310.886363636364</v>
      </c>
      <c r="BU114" s="564">
        <f t="shared" si="146"/>
        <v>91419.750000000276</v>
      </c>
      <c r="BV114" s="590">
        <f>+BS$29*BU114+BT114</f>
        <v>19388.914218284473</v>
      </c>
      <c r="BW114" s="589">
        <f>+BW113</f>
        <v>7066305.0340909259</v>
      </c>
      <c r="BX114" s="564">
        <f>+BX113</f>
        <v>576841.22727272729</v>
      </c>
      <c r="BY114" s="564">
        <f t="shared" ref="BY114:BY132" si="148">+BW114-BX114</f>
        <v>6489463.8068181984</v>
      </c>
      <c r="BZ114" s="590">
        <f>+BW$29*BY114+BX114</f>
        <v>1323613.1337515174</v>
      </c>
      <c r="CA114" s="589">
        <f>+CA113</f>
        <v>666815.52000000142</v>
      </c>
      <c r="CB114" s="564">
        <f>+CB113</f>
        <v>54433.919999999998</v>
      </c>
      <c r="CC114" s="564">
        <f t="shared" ref="CC114:CC132" si="149">+CA114-CB114</f>
        <v>612381.60000000137</v>
      </c>
      <c r="CD114" s="590">
        <f>+CA$29*CC114+CB114</f>
        <v>128640.86568158379</v>
      </c>
      <c r="CE114" s="589">
        <f>+CE113</f>
        <v>57881.606363636572</v>
      </c>
      <c r="CF114" s="564">
        <f>+CF113</f>
        <v>4725.0290909090909</v>
      </c>
      <c r="CG114" s="564">
        <f t="shared" ref="CG114:CG132" si="150">+CE114-CF114</f>
        <v>53156.577272727482</v>
      </c>
      <c r="CH114" s="590">
        <f>+CE$29*CG114+CF114</f>
        <v>11166.41668697042</v>
      </c>
      <c r="CI114" s="589">
        <f>+CI113</f>
        <v>163806.136363636</v>
      </c>
      <c r="CJ114" s="564">
        <f>+CJ113</f>
        <v>12362.727272727272</v>
      </c>
      <c r="CK114" s="564">
        <f t="shared" si="24"/>
        <v>151443.40909090874</v>
      </c>
      <c r="CL114" s="590">
        <f>+CI$29*CK114+CJ114</f>
        <v>29790.00427081186</v>
      </c>
      <c r="CM114" s="589">
        <f>+CM113</f>
        <v>8585526.767329555</v>
      </c>
      <c r="CN114" s="564">
        <f>+CN113</f>
        <v>483691.64886363636</v>
      </c>
      <c r="CO114" s="564">
        <f t="shared" si="34"/>
        <v>8101835.118465919</v>
      </c>
      <c r="CP114" s="590">
        <f>+CM$29*CO114+CN114</f>
        <v>1416006.4035952832</v>
      </c>
      <c r="CQ114" s="589">
        <f>+CQ113</f>
        <v>35814813.366647735</v>
      </c>
      <c r="CR114" s="564">
        <f>+CR113</f>
        <v>2017735.9643181816</v>
      </c>
      <c r="CS114" s="564">
        <f t="shared" si="40"/>
        <v>33797077.402329557</v>
      </c>
      <c r="CT114" s="590">
        <f>+CQ$29*CS114+CR114</f>
        <v>5906918.2876145467</v>
      </c>
      <c r="CU114" s="589">
        <f>+CU113</f>
        <v>12171516.705000022</v>
      </c>
      <c r="CV114" s="564">
        <f>+CV113</f>
        <v>676195.37250000006</v>
      </c>
      <c r="CW114" s="564">
        <f t="shared" si="41"/>
        <v>11495321.332500022</v>
      </c>
      <c r="CX114" s="590">
        <f>+CU$29*CW114+CV114</f>
        <v>1999013.910764765</v>
      </c>
      <c r="CY114" s="589">
        <f>+CY113</f>
        <v>13573.89147727274</v>
      </c>
      <c r="CZ114" s="564">
        <f>+CZ113</f>
        <v>733.72386363636497</v>
      </c>
      <c r="DA114" s="564">
        <f t="shared" si="42"/>
        <v>12840.167613636375</v>
      </c>
      <c r="DB114" s="590">
        <f>+CY$29*DA114+CZ114</f>
        <v>2211.2999367578523</v>
      </c>
      <c r="DC114" s="589">
        <f>+DC113</f>
        <v>812684.7772727292</v>
      </c>
      <c r="DD114" s="564">
        <f>+DD113</f>
        <v>44530.672727272722</v>
      </c>
      <c r="DE114" s="564">
        <f t="shared" si="43"/>
        <v>768154.10454545647</v>
      </c>
      <c r="DF114" s="590">
        <f>+DC$29*DE114+DD114</f>
        <v>132925.63449872509</v>
      </c>
      <c r="DG114" s="589">
        <f>+DG113</f>
        <v>455830.27488636266</v>
      </c>
      <c r="DH114" s="564">
        <f>+DH113</f>
        <v>24639.474318181816</v>
      </c>
      <c r="DI114" s="564">
        <f t="shared" si="44"/>
        <v>431190.80056818086</v>
      </c>
      <c r="DJ114" s="590">
        <f>+DG$29*DI114+DH114</f>
        <v>74258.546984571221</v>
      </c>
      <c r="DK114" s="589">
        <f>+DK113</f>
        <v>9985468.3610227332</v>
      </c>
      <c r="DL114" s="564">
        <f>+DL113</f>
        <v>549658.80886363634</v>
      </c>
      <c r="DM114" s="564">
        <f t="shared" si="45"/>
        <v>9435809.552159097</v>
      </c>
      <c r="DN114" s="590">
        <f>+DK$29*DM114+DL114</f>
        <v>1635480.0258697753</v>
      </c>
      <c r="DO114" s="589">
        <f>+DO113</f>
        <v>375526.82405303</v>
      </c>
      <c r="DP114" s="564">
        <f>+DP113</f>
        <v>19592.703863636354</v>
      </c>
      <c r="DQ114" s="564">
        <f t="shared" si="134"/>
        <v>355934.12018939364</v>
      </c>
      <c r="DR114" s="590">
        <f>+DO$29*DQ114+DP114</f>
        <v>60551.650461877347</v>
      </c>
      <c r="DS114" s="589">
        <f>+DS113</f>
        <v>161767.17818181781</v>
      </c>
      <c r="DT114" s="564">
        <f>+DT113</f>
        <v>8295.7527272726966</v>
      </c>
      <c r="DU114" s="564">
        <f t="shared" si="61"/>
        <v>153471.42545454513</v>
      </c>
      <c r="DV114" s="590">
        <f>+DS$29*DU114+DT114</f>
        <v>25956.402726783344</v>
      </c>
      <c r="DW114" s="589">
        <f>+DW113</f>
        <v>23518.945624999949</v>
      </c>
      <c r="DX114" s="564">
        <f>+DX113</f>
        <v>1221.7634090909089</v>
      </c>
      <c r="DY114" s="564">
        <f t="shared" si="62"/>
        <v>22297.182215909041</v>
      </c>
      <c r="DZ114" s="590">
        <f>+DW$29*DY114+DX114</f>
        <v>3787.6008600964878</v>
      </c>
      <c r="EA114" s="589">
        <f>+EA113</f>
        <v>-141812.6733522737</v>
      </c>
      <c r="EB114" s="564">
        <f>+EB113</f>
        <v>-7120.3015909091364</v>
      </c>
      <c r="EC114" s="564">
        <f t="shared" si="63"/>
        <v>-134692.37176136457</v>
      </c>
      <c r="ED114" s="590">
        <f>+EA$29*EC114+EB114</f>
        <v>-22619.961076289794</v>
      </c>
      <c r="EE114" s="589">
        <f>+EE113</f>
        <v>4114328.8872727207</v>
      </c>
      <c r="EF114" s="564">
        <f>+EF113</f>
        <v>192108.74181818182</v>
      </c>
      <c r="EG114" s="564">
        <f t="shared" si="72"/>
        <v>3922220.145454539</v>
      </c>
      <c r="EH114" s="590">
        <f>+EE$29*EG114+EF114</f>
        <v>643456.32658677641</v>
      </c>
      <c r="EI114" s="589">
        <f>+EI113</f>
        <v>167459.56768939376</v>
      </c>
      <c r="EJ114" s="564">
        <f>+EJ113</f>
        <v>7669.903863636363</v>
      </c>
      <c r="EK114" s="564">
        <f t="shared" si="74"/>
        <v>159789.66382575739</v>
      </c>
      <c r="EL114" s="590">
        <f>+EI$29*EK114+EJ114</f>
        <v>26057.622085501578</v>
      </c>
      <c r="EM114" s="589">
        <f>+EM113</f>
        <v>5733365.9500000048</v>
      </c>
      <c r="EN114" s="564">
        <f>+EN113</f>
        <v>260607.54318181818</v>
      </c>
      <c r="EO114" s="564">
        <f t="shared" si="76"/>
        <v>5472758.4068181869</v>
      </c>
      <c r="EP114" s="590">
        <f>+EM$29*EO114+EN114</f>
        <v>890382.56787083985</v>
      </c>
      <c r="EQ114" s="678">
        <f t="shared" si="94"/>
        <v>21971474.843243413</v>
      </c>
      <c r="ER114" s="675">
        <f>+EQ114</f>
        <v>21971474.843243413</v>
      </c>
      <c r="ES114" s="648"/>
      <c r="EV114" s="589"/>
      <c r="EW114" s="564"/>
      <c r="EX114" s="564"/>
      <c r="EY114" s="590"/>
      <c r="EZ114" s="589"/>
      <c r="FA114" s="564"/>
      <c r="FB114" s="564"/>
      <c r="FC114" s="590"/>
      <c r="FD114" s="589"/>
      <c r="FE114" s="564"/>
      <c r="FF114" s="564"/>
      <c r="FG114" s="590"/>
      <c r="FH114" s="589"/>
      <c r="FI114" s="564"/>
      <c r="FJ114" s="564"/>
      <c r="FK114" s="590"/>
      <c r="FL114" s="589"/>
      <c r="FM114" s="564"/>
      <c r="FN114" s="564"/>
      <c r="FO114" s="590"/>
      <c r="FP114" s="589"/>
      <c r="FQ114" s="564"/>
      <c r="FR114" s="564"/>
      <c r="FS114" s="590"/>
      <c r="FT114" s="589"/>
      <c r="FU114" s="564"/>
      <c r="FV114" s="564"/>
      <c r="FW114" s="590"/>
      <c r="FX114" s="589"/>
      <c r="FY114" s="564"/>
      <c r="FZ114" s="564"/>
      <c r="GA114" s="590"/>
      <c r="GB114" s="589"/>
      <c r="GC114" s="564"/>
      <c r="GD114" s="564"/>
      <c r="GE114" s="590"/>
      <c r="GF114" s="589"/>
      <c r="GG114" s="564"/>
      <c r="GH114" s="564"/>
      <c r="GI114" s="590"/>
      <c r="GJ114" s="589"/>
      <c r="GK114" s="564"/>
      <c r="GL114" s="564"/>
      <c r="GM114" s="590"/>
      <c r="GN114" s="589"/>
      <c r="GO114" s="564"/>
      <c r="GP114" s="564"/>
      <c r="GQ114" s="590"/>
      <c r="GR114" s="589"/>
      <c r="GS114" s="564"/>
      <c r="GT114" s="564"/>
      <c r="GU114" s="590"/>
      <c r="GV114" s="672"/>
      <c r="GW114" s="676"/>
      <c r="GX114" s="676"/>
      <c r="GY114" s="1366"/>
      <c r="GZ114" s="1367"/>
      <c r="HA114" s="1373"/>
      <c r="HB114" s="1373"/>
      <c r="HC114" s="1366"/>
      <c r="HD114" s="1367"/>
      <c r="HE114" s="1373"/>
      <c r="HF114" s="1373"/>
      <c r="HG114" s="1366"/>
      <c r="HI114" s="589"/>
      <c r="HJ114" s="564"/>
      <c r="HK114" s="564"/>
      <c r="HL114" s="590"/>
      <c r="HM114" s="589"/>
      <c r="HN114" s="564"/>
      <c r="HO114" s="564"/>
      <c r="HP114" s="590"/>
      <c r="HQ114" s="589"/>
      <c r="HR114" s="564"/>
      <c r="HS114" s="564"/>
      <c r="HT114" s="590"/>
    </row>
    <row r="115" spans="1:228">
      <c r="A115" s="649" t="s">
        <v>24</v>
      </c>
      <c r="B115" s="670">
        <v>2044</v>
      </c>
      <c r="C115" s="671">
        <f>+E114</f>
        <v>3900679.8607954457</v>
      </c>
      <c r="D115" s="671">
        <f>+C$31</f>
        <v>445791.98409090913</v>
      </c>
      <c r="E115" s="671">
        <f t="shared" si="136"/>
        <v>3454887.8767045364</v>
      </c>
      <c r="F115" s="653">
        <f>+C$28*E115+D115</f>
        <v>843361.5342356218</v>
      </c>
      <c r="G115" s="671">
        <f>+I114</f>
        <v>984646.37113636173</v>
      </c>
      <c r="H115" s="671">
        <f>+G$31</f>
        <v>115840.74954545456</v>
      </c>
      <c r="I115" s="671">
        <f t="shared" si="137"/>
        <v>868805.62159090722</v>
      </c>
      <c r="J115" s="653">
        <f>+G$28*I115+H115</f>
        <v>215818.13592262586</v>
      </c>
      <c r="K115" s="672">
        <f>+M114</f>
        <v>2367003.148806815</v>
      </c>
      <c r="L115" s="671">
        <f>+K$31</f>
        <v>305419.76113636367</v>
      </c>
      <c r="M115" s="671">
        <f t="shared" si="138"/>
        <v>2061583.3876704513</v>
      </c>
      <c r="N115" s="653">
        <f>+K$28*M115+L115</f>
        <v>542655.47160571639</v>
      </c>
      <c r="O115" s="672">
        <f>+Q114</f>
        <v>1173277.1287878752</v>
      </c>
      <c r="P115" s="671">
        <f>+O$31</f>
        <v>119316.31818181818</v>
      </c>
      <c r="Q115" s="671">
        <f t="shared" si="139"/>
        <v>1053960.8106060571</v>
      </c>
      <c r="R115" s="653">
        <f>+O$28*Q115+P115</f>
        <v>240600.3483143659</v>
      </c>
      <c r="S115" s="589">
        <f>+U114</f>
        <v>476244.92787878471</v>
      </c>
      <c r="T115" s="564">
        <f>+S$31</f>
        <v>58315.705454545445</v>
      </c>
      <c r="U115" s="564">
        <f t="shared" si="140"/>
        <v>417929.22242423927</v>
      </c>
      <c r="V115" s="590">
        <f>+S$28*U115+T115</f>
        <v>106408.70843501354</v>
      </c>
      <c r="W115" s="589">
        <f>+Y114</f>
        <v>6817387.2007575855</v>
      </c>
      <c r="X115" s="564">
        <f>+W$31</f>
        <v>693293.61363636365</v>
      </c>
      <c r="Y115" s="564">
        <f t="shared" si="141"/>
        <v>6124093.5871212222</v>
      </c>
      <c r="Z115" s="590">
        <f>+W$28*Y115+X115</f>
        <v>1398020.7189334265</v>
      </c>
      <c r="AA115" s="589">
        <f>+AC114</f>
        <v>4470763.5132575734</v>
      </c>
      <c r="AB115" s="564">
        <f>+AA$31</f>
        <v>450833.29545454547</v>
      </c>
      <c r="AC115" s="564">
        <f t="shared" si="142"/>
        <v>4019930.2178030279</v>
      </c>
      <c r="AD115" s="590">
        <f>+AA$28*AC115+AB115</f>
        <v>913424.81950410164</v>
      </c>
      <c r="AE115" s="589">
        <f>+AG114</f>
        <v>43679.920454545529</v>
      </c>
      <c r="AF115" s="564">
        <f>+AE$31</f>
        <v>4597.886363636364</v>
      </c>
      <c r="AG115" s="564">
        <f t="shared" si="143"/>
        <v>39082.034090909161</v>
      </c>
      <c r="AH115" s="590">
        <f>+AE$28*AG115+AF115</f>
        <v>9095.2325197969858</v>
      </c>
      <c r="AI115" s="589">
        <f>+AK114</f>
        <v>3201763.8446969744</v>
      </c>
      <c r="AJ115" s="564">
        <f>+AI$31</f>
        <v>295547.43181818182</v>
      </c>
      <c r="AK115" s="564">
        <f t="shared" si="147"/>
        <v>2906216.4128787927</v>
      </c>
      <c r="AL115" s="590">
        <f>+AI$28*AK115+AJ115</f>
        <v>629978.8788362277</v>
      </c>
      <c r="AM115" s="589">
        <f>+AO114</f>
        <v>1164102.6146590912</v>
      </c>
      <c r="AN115" s="564">
        <f>+AM$31</f>
        <v>110866.91568181818</v>
      </c>
      <c r="AO115" s="564">
        <f t="shared" si="144"/>
        <v>1053235.698977273</v>
      </c>
      <c r="AP115" s="590">
        <f>+AM$28*AO115+AN115</f>
        <v>232067.50394465885</v>
      </c>
      <c r="AQ115" s="589">
        <f>+AS114</f>
        <v>9728021.5506818183</v>
      </c>
      <c r="AR115" s="564">
        <f>+AQ$31</f>
        <v>904932.23727272719</v>
      </c>
      <c r="AS115" s="564">
        <f t="shared" si="145"/>
        <v>8823089.3134090919</v>
      </c>
      <c r="AT115" s="590">
        <f>+AQ$28*AS115+AR115</f>
        <v>1920244.9693792756</v>
      </c>
      <c r="AU115" s="671"/>
      <c r="AV115" s="671"/>
      <c r="AW115" s="671"/>
      <c r="AX115" s="653"/>
      <c r="AY115" s="671"/>
      <c r="AZ115" s="671"/>
      <c r="BA115" s="671"/>
      <c r="BB115" s="653"/>
      <c r="BC115" s="671"/>
      <c r="BD115" s="671"/>
      <c r="BE115" s="671"/>
      <c r="BF115" s="653"/>
      <c r="BG115" s="671"/>
      <c r="BH115" s="671"/>
      <c r="BI115" s="671"/>
      <c r="BJ115" s="653"/>
      <c r="BK115" s="671"/>
      <c r="BL115" s="671"/>
      <c r="BM115" s="671"/>
      <c r="BN115" s="653"/>
      <c r="BO115" s="671"/>
      <c r="BP115" s="671"/>
      <c r="BQ115" s="671"/>
      <c r="BR115" s="653"/>
      <c r="BS115" s="589">
        <f>+BU114</f>
        <v>91419.750000000276</v>
      </c>
      <c r="BT115" s="564">
        <f>+BS$31</f>
        <v>8310.886363636364</v>
      </c>
      <c r="BU115" s="564">
        <f t="shared" si="146"/>
        <v>83108.863636363909</v>
      </c>
      <c r="BV115" s="590">
        <f>+BS$28*BU115+BT115</f>
        <v>17874.598619463413</v>
      </c>
      <c r="BW115" s="589">
        <f>+BY114</f>
        <v>6489463.8068181984</v>
      </c>
      <c r="BX115" s="564">
        <f>+BW$31</f>
        <v>576841.22727272729</v>
      </c>
      <c r="BY115" s="564">
        <f t="shared" si="148"/>
        <v>5912622.5795454709</v>
      </c>
      <c r="BZ115" s="590">
        <f>+BW$28*BY115+BX115</f>
        <v>1257233.4087311807</v>
      </c>
      <c r="CA115" s="589">
        <f>+CC114</f>
        <v>612381.60000000137</v>
      </c>
      <c r="CB115" s="564">
        <f>+CA$31</f>
        <v>54433.919999999998</v>
      </c>
      <c r="CC115" s="564">
        <f t="shared" si="149"/>
        <v>557947.68000000133</v>
      </c>
      <c r="CD115" s="590">
        <f>+CA$28*CC115+CB115</f>
        <v>118639.4792129588</v>
      </c>
      <c r="CE115" s="589">
        <f>+CG114</f>
        <v>53156.577272727482</v>
      </c>
      <c r="CF115" s="564">
        <f>+CE$31</f>
        <v>4725.0290909090909</v>
      </c>
      <c r="CG115" s="564">
        <f t="shared" si="150"/>
        <v>48431.548181818391</v>
      </c>
      <c r="CH115" s="590">
        <f>+CE$28*CG115+CF115</f>
        <v>10298.266055642058</v>
      </c>
      <c r="CI115" s="589">
        <f>+CK114</f>
        <v>151443.40909090874</v>
      </c>
      <c r="CJ115" s="564">
        <f>+CI$31</f>
        <v>12362.727272727272</v>
      </c>
      <c r="CK115" s="564">
        <f t="shared" si="24"/>
        <v>139080.68181818147</v>
      </c>
      <c r="CL115" s="590">
        <f>+CI$28*CK115+CJ115</f>
        <v>28367.369413825363</v>
      </c>
      <c r="CM115" s="589">
        <f>+CO114</f>
        <v>8101835.118465919</v>
      </c>
      <c r="CN115" s="564">
        <f>+CM$31</f>
        <v>483691.64886363636</v>
      </c>
      <c r="CO115" s="564">
        <f t="shared" si="34"/>
        <v>7618143.4696022831</v>
      </c>
      <c r="CP115" s="590">
        <f>+CM$28*CO115+CN115</f>
        <v>1360345.8212232448</v>
      </c>
      <c r="CQ115" s="589">
        <f>+CS114</f>
        <v>33797077.402329557</v>
      </c>
      <c r="CR115" s="564">
        <f>+CQ$31</f>
        <v>2017735.9643181816</v>
      </c>
      <c r="CS115" s="564">
        <f t="shared" si="40"/>
        <v>31779341.438011374</v>
      </c>
      <c r="CT115" s="590">
        <f>+CQ$28*CS115+CR115</f>
        <v>5674728.2981640175</v>
      </c>
      <c r="CU115" s="589">
        <f>+CW114</f>
        <v>11495321.332500022</v>
      </c>
      <c r="CV115" s="564">
        <f>+CU$31</f>
        <v>676195.37250000006</v>
      </c>
      <c r="CW115" s="564">
        <f t="shared" si="41"/>
        <v>10819125.960000021</v>
      </c>
      <c r="CX115" s="590">
        <f>+CU$28*CW115+CV115</f>
        <v>1921201.0555727202</v>
      </c>
      <c r="CY115" s="589">
        <f>+DA114</f>
        <v>12840.167613636375</v>
      </c>
      <c r="CZ115" s="564">
        <f>+CY$31</f>
        <v>733.72386363636497</v>
      </c>
      <c r="DA115" s="564">
        <f t="shared" si="42"/>
        <v>12106.443750000009</v>
      </c>
      <c r="DB115" s="590">
        <f>+CY$28*DA115+CZ115</f>
        <v>2126.8670182937672</v>
      </c>
      <c r="DC115" s="589">
        <f>+DE114</f>
        <v>768154.10454545647</v>
      </c>
      <c r="DD115" s="564">
        <f>+DC$31</f>
        <v>44530.672727272722</v>
      </c>
      <c r="DE115" s="564">
        <f t="shared" si="43"/>
        <v>723623.43181818374</v>
      </c>
      <c r="DF115" s="590">
        <f>+DC$28*DE115+DD115</f>
        <v>127801.28888878581</v>
      </c>
      <c r="DG115" s="589">
        <f>+DI114</f>
        <v>431190.80056818086</v>
      </c>
      <c r="DH115" s="564">
        <f>+DG$31</f>
        <v>24639.474318181816</v>
      </c>
      <c r="DI115" s="564">
        <f t="shared" si="44"/>
        <v>406551.32624999905</v>
      </c>
      <c r="DJ115" s="590">
        <f>+DG$28*DI115+DH115</f>
        <v>71423.171403634668</v>
      </c>
      <c r="DK115" s="589">
        <f>+DM114</f>
        <v>9435809.552159097</v>
      </c>
      <c r="DL115" s="564">
        <f>+DK$31</f>
        <v>549658.80886363634</v>
      </c>
      <c r="DM115" s="564">
        <f t="shared" si="45"/>
        <v>8886150.7432954609</v>
      </c>
      <c r="DN115" s="590">
        <f>+DK$28*DM115+DL115</f>
        <v>1572228.304490777</v>
      </c>
      <c r="DO115" s="589">
        <f>+DQ114</f>
        <v>355934.12018939364</v>
      </c>
      <c r="DP115" s="564">
        <f>+DO$31</f>
        <v>19592.703863636354</v>
      </c>
      <c r="DQ115" s="564">
        <f t="shared" si="134"/>
        <v>336341.41632575728</v>
      </c>
      <c r="DR115" s="590">
        <f>+DO$28*DQ115+DP115</f>
        <v>58297.029548212697</v>
      </c>
      <c r="DS115" s="589">
        <f>+DU114</f>
        <v>153471.42545454513</v>
      </c>
      <c r="DT115" s="564">
        <f>+DS$31</f>
        <v>8295.7527272726966</v>
      </c>
      <c r="DU115" s="564">
        <f t="shared" si="61"/>
        <v>145175.67272727244</v>
      </c>
      <c r="DV115" s="590">
        <f>+DS$28*DU115+DT115</f>
        <v>25001.772997080065</v>
      </c>
      <c r="DW115" s="589">
        <f>+DY114</f>
        <v>22297.182215909041</v>
      </c>
      <c r="DX115" s="564">
        <f>+DW$31</f>
        <v>1221.7634090909089</v>
      </c>
      <c r="DY115" s="564">
        <f t="shared" si="62"/>
        <v>21075.418806818132</v>
      </c>
      <c r="DZ115" s="590">
        <f>+DW$28*DY115+DX115</f>
        <v>3647.0070271646755</v>
      </c>
      <c r="EA115" s="589">
        <f>+EC114</f>
        <v>-134692.37176136457</v>
      </c>
      <c r="EB115" s="564">
        <f>+EA$31</f>
        <v>-7120.3015909091364</v>
      </c>
      <c r="EC115" s="564">
        <f t="shared" si="63"/>
        <v>-127572.07017045544</v>
      </c>
      <c r="ED115" s="590">
        <f>+EA$28*EC115+EB115</f>
        <v>-21800.59581715073</v>
      </c>
      <c r="EE115" s="589">
        <f>+EG114</f>
        <v>3922220.145454539</v>
      </c>
      <c r="EF115" s="564">
        <f>+EE$31</f>
        <v>192108.74181818182</v>
      </c>
      <c r="EG115" s="564">
        <f t="shared" si="72"/>
        <v>3730111.4036363573</v>
      </c>
      <c r="EH115" s="590">
        <f>+EE$28*EG115+EF115</f>
        <v>621349.50610831461</v>
      </c>
      <c r="EI115" s="589">
        <f>+EK114</f>
        <v>159789.66382575739</v>
      </c>
      <c r="EJ115" s="564">
        <f>+EI$31</f>
        <v>7669.903863636363</v>
      </c>
      <c r="EK115" s="564">
        <f t="shared" si="74"/>
        <v>152119.75996212102</v>
      </c>
      <c r="EL115" s="590">
        <f>+EI$28*EK115+EJ115</f>
        <v>25175.011610852045</v>
      </c>
      <c r="EM115" s="589">
        <f>+EO114</f>
        <v>5472758.4068181869</v>
      </c>
      <c r="EN115" s="564">
        <f>+EM$31</f>
        <v>260607.54318181818</v>
      </c>
      <c r="EO115" s="564">
        <f t="shared" si="76"/>
        <v>5212150.8636363689</v>
      </c>
      <c r="EP115" s="590">
        <f>+EM$28*EO115+EN115</f>
        <v>860393.28098088643</v>
      </c>
      <c r="EQ115" s="678">
        <f t="shared" si="94"/>
        <v>20786007.262880731</v>
      </c>
      <c r="ER115" s="652"/>
      <c r="ES115" s="674">
        <f>+EQ115</f>
        <v>20786007.262880731</v>
      </c>
      <c r="EV115" s="589"/>
      <c r="EW115" s="564"/>
      <c r="EX115" s="564"/>
      <c r="EY115" s="590"/>
      <c r="EZ115" s="589"/>
      <c r="FA115" s="564"/>
      <c r="FB115" s="564"/>
      <c r="FC115" s="590"/>
      <c r="FD115" s="589"/>
      <c r="FE115" s="564"/>
      <c r="FF115" s="564"/>
      <c r="FG115" s="590"/>
      <c r="FH115" s="589"/>
      <c r="FI115" s="564"/>
      <c r="FJ115" s="564"/>
      <c r="FK115" s="590"/>
      <c r="FL115" s="589"/>
      <c r="FM115" s="564"/>
      <c r="FN115" s="564"/>
      <c r="FO115" s="590"/>
      <c r="FP115" s="589"/>
      <c r="FQ115" s="564"/>
      <c r="FR115" s="564"/>
      <c r="FS115" s="590"/>
      <c r="FT115" s="589"/>
      <c r="FU115" s="564"/>
      <c r="FV115" s="564"/>
      <c r="FW115" s="590"/>
      <c r="FX115" s="589"/>
      <c r="FY115" s="564"/>
      <c r="FZ115" s="564"/>
      <c r="GA115" s="590"/>
      <c r="GB115" s="589"/>
      <c r="GC115" s="564"/>
      <c r="GD115" s="564"/>
      <c r="GE115" s="590"/>
      <c r="GF115" s="589"/>
      <c r="GG115" s="564"/>
      <c r="GH115" s="564"/>
      <c r="GI115" s="590"/>
      <c r="GJ115" s="589"/>
      <c r="GK115" s="564"/>
      <c r="GL115" s="564"/>
      <c r="GM115" s="590"/>
      <c r="GN115" s="589"/>
      <c r="GO115" s="564"/>
      <c r="GP115" s="564"/>
      <c r="GQ115" s="590"/>
      <c r="GR115" s="589"/>
      <c r="GS115" s="564"/>
      <c r="GT115" s="564"/>
      <c r="GU115" s="590"/>
      <c r="GV115" s="672"/>
      <c r="GW115" s="676"/>
      <c r="GX115" s="676"/>
      <c r="GY115" s="1366"/>
      <c r="GZ115" s="1367"/>
      <c r="HA115" s="1373"/>
      <c r="HB115" s="1373"/>
      <c r="HC115" s="1366"/>
      <c r="HD115" s="1367"/>
      <c r="HE115" s="1373"/>
      <c r="HF115" s="1373"/>
      <c r="HG115" s="1366"/>
      <c r="HI115" s="589"/>
      <c r="HJ115" s="564"/>
      <c r="HK115" s="564"/>
      <c r="HL115" s="590"/>
      <c r="HM115" s="589"/>
      <c r="HN115" s="564"/>
      <c r="HO115" s="564"/>
      <c r="HP115" s="590"/>
      <c r="HQ115" s="589"/>
      <c r="HR115" s="564"/>
      <c r="HS115" s="564"/>
      <c r="HT115" s="590"/>
    </row>
    <row r="116" spans="1:228">
      <c r="A116" s="649" t="s">
        <v>23</v>
      </c>
      <c r="B116" s="670">
        <v>2044</v>
      </c>
      <c r="C116" s="671">
        <f>+C115</f>
        <v>3900679.8607954457</v>
      </c>
      <c r="D116" s="671">
        <f>+D115</f>
        <v>445791.98409090913</v>
      </c>
      <c r="E116" s="671">
        <f t="shared" si="136"/>
        <v>3454887.8767045364</v>
      </c>
      <c r="F116" s="653">
        <f>+C$29*E116+D116</f>
        <v>864447.07921880868</v>
      </c>
      <c r="G116" s="671">
        <f>+G115</f>
        <v>984646.37113636173</v>
      </c>
      <c r="H116" s="671">
        <f>+H115</f>
        <v>115840.74954545456</v>
      </c>
      <c r="I116" s="671">
        <f t="shared" si="137"/>
        <v>868805.62159090722</v>
      </c>
      <c r="J116" s="653">
        <f>+G$29*I116+H116</f>
        <v>221120.54823511303</v>
      </c>
      <c r="K116" s="672">
        <f>+K115</f>
        <v>2367003.148806815</v>
      </c>
      <c r="L116" s="671">
        <f>+L115</f>
        <v>305419.76113636367</v>
      </c>
      <c r="M116" s="671">
        <f t="shared" si="138"/>
        <v>2061583.3876704513</v>
      </c>
      <c r="N116" s="653">
        <f>+K$29*M116+L116</f>
        <v>555237.53238702891</v>
      </c>
      <c r="O116" s="672">
        <f>+O115</f>
        <v>1173277.1287878752</v>
      </c>
      <c r="P116" s="671">
        <f>+P115</f>
        <v>119316.31818181818</v>
      </c>
      <c r="Q116" s="671">
        <f t="shared" si="139"/>
        <v>1053960.8106060571</v>
      </c>
      <c r="R116" s="653">
        <f>+O$29*Q116+P116</f>
        <v>247032.78226754762</v>
      </c>
      <c r="S116" s="589">
        <f>+S115</f>
        <v>476244.92787878471</v>
      </c>
      <c r="T116" s="564">
        <f>+T115</f>
        <v>58315.705454545445</v>
      </c>
      <c r="U116" s="564">
        <f t="shared" si="140"/>
        <v>417929.22242423927</v>
      </c>
      <c r="V116" s="590">
        <f>+S$29*U116+T116</f>
        <v>108959.37454450832</v>
      </c>
      <c r="W116" s="589">
        <f>+W115</f>
        <v>6817387.2007575855</v>
      </c>
      <c r="X116" s="564">
        <f>+X115</f>
        <v>693293.61363636365</v>
      </c>
      <c r="Y116" s="564">
        <f t="shared" si="141"/>
        <v>6124093.5871212222</v>
      </c>
      <c r="Z116" s="590">
        <f>+W$29*Y116+X116</f>
        <v>1435396.7077992829</v>
      </c>
      <c r="AA116" s="589">
        <f>+AA115</f>
        <v>4470763.5132575734</v>
      </c>
      <c r="AB116" s="564">
        <f>+AB115</f>
        <v>450833.29545454547</v>
      </c>
      <c r="AC116" s="564">
        <f t="shared" si="142"/>
        <v>4019930.2178030279</v>
      </c>
      <c r="AD116" s="590">
        <f>+AA$29*AC116+AB116</f>
        <v>937958.87747116049</v>
      </c>
      <c r="AE116" s="589">
        <f>+AE115</f>
        <v>43679.920454545529</v>
      </c>
      <c r="AF116" s="564">
        <f>+AF115</f>
        <v>4597.886363636364</v>
      </c>
      <c r="AG116" s="564">
        <f t="shared" si="143"/>
        <v>39082.034090909161</v>
      </c>
      <c r="AH116" s="590">
        <f>+AE$29*AG116+AF116</f>
        <v>9333.7542945309178</v>
      </c>
      <c r="AI116" s="589">
        <f>+AI115</f>
        <v>3201763.8446969744</v>
      </c>
      <c r="AJ116" s="564">
        <f>+AJ115</f>
        <v>295547.43181818182</v>
      </c>
      <c r="AK116" s="564">
        <f t="shared" si="147"/>
        <v>2906216.4128787927</v>
      </c>
      <c r="AL116" s="590">
        <f>+AI$29*AK116+AJ116</f>
        <v>647715.82402562792</v>
      </c>
      <c r="AM116" s="589">
        <f>+AM115</f>
        <v>1164102.6146590912</v>
      </c>
      <c r="AN116" s="564">
        <f>+AN115</f>
        <v>110866.91568181818</v>
      </c>
      <c r="AO116" s="564">
        <f t="shared" si="144"/>
        <v>1053235.698977273</v>
      </c>
      <c r="AP116" s="590">
        <f>+AM$29*AO116+AN116</f>
        <v>238495.5124651168</v>
      </c>
      <c r="AQ116" s="589">
        <f>+AQ115</f>
        <v>9728021.5506818183</v>
      </c>
      <c r="AR116" s="564">
        <f>+AR115</f>
        <v>904932.23727272719</v>
      </c>
      <c r="AS116" s="564">
        <f t="shared" si="145"/>
        <v>8823089.3134090919</v>
      </c>
      <c r="AT116" s="590">
        <f>+AQ$29*AS116+AR116</f>
        <v>1974093.2137356214</v>
      </c>
      <c r="AU116" s="671"/>
      <c r="AV116" s="671"/>
      <c r="AW116" s="671"/>
      <c r="AX116" s="653"/>
      <c r="AY116" s="671"/>
      <c r="AZ116" s="671"/>
      <c r="BA116" s="671"/>
      <c r="BB116" s="653"/>
      <c r="BC116" s="671"/>
      <c r="BD116" s="671"/>
      <c r="BE116" s="671"/>
      <c r="BF116" s="653"/>
      <c r="BG116" s="671"/>
      <c r="BH116" s="671"/>
      <c r="BI116" s="671"/>
      <c r="BJ116" s="653"/>
      <c r="BK116" s="671"/>
      <c r="BL116" s="671"/>
      <c r="BM116" s="671"/>
      <c r="BN116" s="653"/>
      <c r="BO116" s="671"/>
      <c r="BP116" s="671"/>
      <c r="BQ116" s="671"/>
      <c r="BR116" s="653"/>
      <c r="BS116" s="589">
        <f>+BS115</f>
        <v>91419.750000000276</v>
      </c>
      <c r="BT116" s="564">
        <f>+BT115</f>
        <v>8310.886363636364</v>
      </c>
      <c r="BU116" s="564">
        <f t="shared" si="146"/>
        <v>83108.863636363909</v>
      </c>
      <c r="BV116" s="590">
        <f>+BS$29*BU116+BT116</f>
        <v>18381.820776952831</v>
      </c>
      <c r="BW116" s="589">
        <f>+BW115</f>
        <v>6489463.8068181984</v>
      </c>
      <c r="BX116" s="564">
        <f>+BX115</f>
        <v>576841.22727272729</v>
      </c>
      <c r="BY116" s="564">
        <f t="shared" si="148"/>
        <v>5912622.5795454709</v>
      </c>
      <c r="BZ116" s="590">
        <f>+BW$29*BY116+BX116</f>
        <v>1257233.4087311807</v>
      </c>
      <c r="CA116" s="589">
        <f>+CA115</f>
        <v>612381.60000000137</v>
      </c>
      <c r="CB116" s="564">
        <f>+CB115</f>
        <v>54433.919999999998</v>
      </c>
      <c r="CC116" s="564">
        <f t="shared" si="149"/>
        <v>557947.68000000133</v>
      </c>
      <c r="CD116" s="590">
        <f>+CA$29*CC116+CB116</f>
        <v>122044.69273210969</v>
      </c>
      <c r="CE116" s="589">
        <f>+CE115</f>
        <v>53156.577272727482</v>
      </c>
      <c r="CF116" s="564">
        <f>+CF115</f>
        <v>4725.0290909090909</v>
      </c>
      <c r="CG116" s="564">
        <f t="shared" si="150"/>
        <v>48431.548181818391</v>
      </c>
      <c r="CH116" s="590">
        <f>+CE$29*CG116+CF116</f>
        <v>10593.848900653862</v>
      </c>
      <c r="CI116" s="589">
        <f>+CI115</f>
        <v>151443.40909090874</v>
      </c>
      <c r="CJ116" s="564">
        <f>+CJ115</f>
        <v>12362.727272727272</v>
      </c>
      <c r="CK116" s="564">
        <f t="shared" ref="CK116:CK132" si="151">+CI116-CJ116</f>
        <v>139080.68181818147</v>
      </c>
      <c r="CL116" s="590">
        <f>+CI$29*CK116+CJ116</f>
        <v>28367.369413825363</v>
      </c>
      <c r="CM116" s="589">
        <f>+CM115</f>
        <v>8101835.118465919</v>
      </c>
      <c r="CN116" s="564">
        <f>+CN115</f>
        <v>483691.64886363636</v>
      </c>
      <c r="CO116" s="564">
        <f t="shared" ref="CO116:CO132" si="152">+CM116-CN116</f>
        <v>7618143.4696022831</v>
      </c>
      <c r="CP116" s="590">
        <f>+CM$29*CO116+CN116</f>
        <v>1360345.8212232448</v>
      </c>
      <c r="CQ116" s="589">
        <f>+CQ115</f>
        <v>33797077.402329557</v>
      </c>
      <c r="CR116" s="564">
        <f>+CR115</f>
        <v>2017735.9643181816</v>
      </c>
      <c r="CS116" s="564">
        <f t="shared" ref="CS116:CS132" si="153">+CQ116-CR116</f>
        <v>31779341.438011374</v>
      </c>
      <c r="CT116" s="590">
        <f>+CQ$29*CS116+CR116</f>
        <v>5674728.2981640175</v>
      </c>
      <c r="CU116" s="589">
        <f>+CU115</f>
        <v>11495321.332500022</v>
      </c>
      <c r="CV116" s="564">
        <f>+CV115</f>
        <v>676195.37250000006</v>
      </c>
      <c r="CW116" s="564">
        <f t="shared" ref="CW116:CW132" si="154">+CU116-CV116</f>
        <v>10819125.960000021</v>
      </c>
      <c r="CX116" s="590">
        <f>+CU$29*CW116+CV116</f>
        <v>1921201.0555727202</v>
      </c>
      <c r="CY116" s="589">
        <f>+CY115</f>
        <v>12840.167613636375</v>
      </c>
      <c r="CZ116" s="564">
        <f>+CZ115</f>
        <v>733.72386363636497</v>
      </c>
      <c r="DA116" s="564">
        <f t="shared" si="42"/>
        <v>12106.443750000009</v>
      </c>
      <c r="DB116" s="590">
        <f>+CY$29*DA116+CZ116</f>
        <v>2126.8670182937672</v>
      </c>
      <c r="DC116" s="589">
        <f>+DC115</f>
        <v>768154.10454545647</v>
      </c>
      <c r="DD116" s="564">
        <f>+DD115</f>
        <v>44530.672727272722</v>
      </c>
      <c r="DE116" s="564">
        <f t="shared" si="43"/>
        <v>723623.43181818374</v>
      </c>
      <c r="DF116" s="590">
        <f>+DC$29*DE116+DD116</f>
        <v>127801.28888878581</v>
      </c>
      <c r="DG116" s="589">
        <f>+DG115</f>
        <v>431190.80056818086</v>
      </c>
      <c r="DH116" s="564">
        <f>+DH115</f>
        <v>24639.474318181816</v>
      </c>
      <c r="DI116" s="564">
        <f t="shared" si="44"/>
        <v>406551.32624999905</v>
      </c>
      <c r="DJ116" s="590">
        <f>+DG$29*DI116+DH116</f>
        <v>71423.171403634668</v>
      </c>
      <c r="DK116" s="589">
        <f>+DK115</f>
        <v>9435809.552159097</v>
      </c>
      <c r="DL116" s="564">
        <f>+DL115</f>
        <v>549658.80886363634</v>
      </c>
      <c r="DM116" s="564">
        <f t="shared" si="45"/>
        <v>8886150.7432954609</v>
      </c>
      <c r="DN116" s="590">
        <f>+DK$29*DM116+DL116</f>
        <v>1572228.304490777</v>
      </c>
      <c r="DO116" s="589">
        <f>+DO115</f>
        <v>355934.12018939364</v>
      </c>
      <c r="DP116" s="564">
        <f>+DP115</f>
        <v>19592.703863636354</v>
      </c>
      <c r="DQ116" s="564">
        <f t="shared" si="134"/>
        <v>336341.41632575728</v>
      </c>
      <c r="DR116" s="590">
        <f>+DO$29*DQ116+DP116</f>
        <v>58297.029548212697</v>
      </c>
      <c r="DS116" s="589">
        <f>+DS115</f>
        <v>153471.42545454513</v>
      </c>
      <c r="DT116" s="564">
        <f>+DT115</f>
        <v>8295.7527272726966</v>
      </c>
      <c r="DU116" s="564">
        <f t="shared" si="61"/>
        <v>145175.67272727244</v>
      </c>
      <c r="DV116" s="590">
        <f>+DS$29*DU116+DT116</f>
        <v>25001.772997080065</v>
      </c>
      <c r="DW116" s="589">
        <f>+DW115</f>
        <v>22297.182215909041</v>
      </c>
      <c r="DX116" s="564">
        <f>+DX115</f>
        <v>1221.7634090909089</v>
      </c>
      <c r="DY116" s="564">
        <f t="shared" si="62"/>
        <v>21075.418806818132</v>
      </c>
      <c r="DZ116" s="590">
        <f>+DW$29*DY116+DX116</f>
        <v>3647.0070271646755</v>
      </c>
      <c r="EA116" s="589">
        <f>+EA115</f>
        <v>-134692.37176136457</v>
      </c>
      <c r="EB116" s="564">
        <f>+EB115</f>
        <v>-7120.3015909091364</v>
      </c>
      <c r="EC116" s="564">
        <f t="shared" si="63"/>
        <v>-127572.07017045544</v>
      </c>
      <c r="ED116" s="590">
        <f>+EA$29*EC116+EB116</f>
        <v>-21800.59581715073</v>
      </c>
      <c r="EE116" s="589">
        <f>+EE115</f>
        <v>3922220.145454539</v>
      </c>
      <c r="EF116" s="564">
        <f>+EF115</f>
        <v>192108.74181818182</v>
      </c>
      <c r="EG116" s="564">
        <f t="shared" si="72"/>
        <v>3730111.4036363573</v>
      </c>
      <c r="EH116" s="590">
        <f>+EE$29*EG116+EF116</f>
        <v>621349.50610831461</v>
      </c>
      <c r="EI116" s="589">
        <f>+EI115</f>
        <v>159789.66382575739</v>
      </c>
      <c r="EJ116" s="564">
        <f>+EJ115</f>
        <v>7669.903863636363</v>
      </c>
      <c r="EK116" s="564">
        <f t="shared" si="74"/>
        <v>152119.75996212102</v>
      </c>
      <c r="EL116" s="590">
        <f>+EI$29*EK116+EJ116</f>
        <v>25175.011610852045</v>
      </c>
      <c r="EM116" s="589">
        <f>+EM115</f>
        <v>5472758.4068181869</v>
      </c>
      <c r="EN116" s="564">
        <f>+EN115</f>
        <v>260607.54318181818</v>
      </c>
      <c r="EO116" s="564">
        <f t="shared" si="76"/>
        <v>5212150.8636363689</v>
      </c>
      <c r="EP116" s="590">
        <f>+EM$29*EO116+EN116</f>
        <v>860393.28098088643</v>
      </c>
      <c r="EQ116" s="678">
        <f t="shared" si="94"/>
        <v>20978330.166215897</v>
      </c>
      <c r="ER116" s="675">
        <f>+EQ116</f>
        <v>20978330.166215897</v>
      </c>
      <c r="ES116" s="648"/>
      <c r="EV116" s="589"/>
      <c r="EW116" s="564"/>
      <c r="EX116" s="564"/>
      <c r="EY116" s="590"/>
      <c r="EZ116" s="589"/>
      <c r="FA116" s="564"/>
      <c r="FB116" s="564"/>
      <c r="FC116" s="590"/>
      <c r="FD116" s="589"/>
      <c r="FE116" s="564"/>
      <c r="FF116" s="564"/>
      <c r="FG116" s="590"/>
      <c r="FH116" s="589"/>
      <c r="FI116" s="564"/>
      <c r="FJ116" s="564"/>
      <c r="FK116" s="590"/>
      <c r="FL116" s="589"/>
      <c r="FM116" s="564"/>
      <c r="FN116" s="564"/>
      <c r="FO116" s="590"/>
      <c r="FP116" s="589"/>
      <c r="FQ116" s="564"/>
      <c r="FR116" s="564"/>
      <c r="FS116" s="590"/>
      <c r="FT116" s="589"/>
      <c r="FU116" s="564"/>
      <c r="FV116" s="564"/>
      <c r="FW116" s="590"/>
      <c r="FX116" s="589"/>
      <c r="FY116" s="564"/>
      <c r="FZ116" s="564"/>
      <c r="GA116" s="590"/>
      <c r="GB116" s="589"/>
      <c r="GC116" s="564"/>
      <c r="GD116" s="564"/>
      <c r="GE116" s="590"/>
      <c r="GF116" s="589"/>
      <c r="GG116" s="564"/>
      <c r="GH116" s="564"/>
      <c r="GI116" s="590"/>
      <c r="GJ116" s="589"/>
      <c r="GK116" s="564"/>
      <c r="GL116" s="564"/>
      <c r="GM116" s="590"/>
      <c r="GN116" s="589"/>
      <c r="GO116" s="564"/>
      <c r="GP116" s="564"/>
      <c r="GQ116" s="590"/>
      <c r="GR116" s="589"/>
      <c r="GS116" s="564"/>
      <c r="GT116" s="564"/>
      <c r="GU116" s="590"/>
      <c r="GV116" s="672"/>
      <c r="GW116" s="676"/>
      <c r="GX116" s="676"/>
      <c r="GY116" s="1366"/>
      <c r="GZ116" s="1367"/>
      <c r="HA116" s="1373"/>
      <c r="HB116" s="1373"/>
      <c r="HC116" s="1366"/>
      <c r="HD116" s="1367"/>
      <c r="HE116" s="1373"/>
      <c r="HF116" s="1373"/>
      <c r="HG116" s="1366"/>
      <c r="HI116" s="589"/>
      <c r="HJ116" s="564"/>
      <c r="HK116" s="564"/>
      <c r="HL116" s="590"/>
      <c r="HM116" s="589"/>
      <c r="HN116" s="564"/>
      <c r="HO116" s="564"/>
      <c r="HP116" s="590"/>
      <c r="HQ116" s="589"/>
      <c r="HR116" s="564"/>
      <c r="HS116" s="564"/>
      <c r="HT116" s="590"/>
    </row>
    <row r="117" spans="1:228">
      <c r="A117" s="649" t="s">
        <v>24</v>
      </c>
      <c r="B117" s="670">
        <v>2045</v>
      </c>
      <c r="C117" s="671">
        <f>+E116</f>
        <v>3454887.8767045364</v>
      </c>
      <c r="D117" s="671">
        <f>+C$31</f>
        <v>445791.98409090913</v>
      </c>
      <c r="E117" s="671">
        <f t="shared" si="136"/>
        <v>3009095.892613627</v>
      </c>
      <c r="F117" s="653">
        <f>+C$28*E117+D117</f>
        <v>792062.23744275549</v>
      </c>
      <c r="G117" s="671">
        <f>+I116</f>
        <v>868805.62159090722</v>
      </c>
      <c r="H117" s="671">
        <f>+G$31</f>
        <v>115840.74954545456</v>
      </c>
      <c r="I117" s="671">
        <f t="shared" si="137"/>
        <v>752964.87204545271</v>
      </c>
      <c r="J117" s="653">
        <f>+G$28*I117+H117</f>
        <v>202487.81773900299</v>
      </c>
      <c r="K117" s="672">
        <f>+M116</f>
        <v>2061583.3876704513</v>
      </c>
      <c r="L117" s="671">
        <f>+K$31</f>
        <v>305419.76113636367</v>
      </c>
      <c r="M117" s="671">
        <f t="shared" si="138"/>
        <v>1756163.6265340876</v>
      </c>
      <c r="N117" s="653">
        <f>+K$28*M117+L117</f>
        <v>507509.44042507146</v>
      </c>
      <c r="O117" s="672">
        <f>+Q116</f>
        <v>1053960.8106060571</v>
      </c>
      <c r="P117" s="671">
        <f>+O$31</f>
        <v>119316.31818181818</v>
      </c>
      <c r="Q117" s="671">
        <f t="shared" si="139"/>
        <v>934644.49242423894</v>
      </c>
      <c r="R117" s="653">
        <f>+O$28*Q117+P117</f>
        <v>226870.08075219064</v>
      </c>
      <c r="S117" s="589">
        <f>+U116</f>
        <v>417929.22242423927</v>
      </c>
      <c r="T117" s="564">
        <f>+S$31</f>
        <v>58315.705454545445</v>
      </c>
      <c r="U117" s="564">
        <f t="shared" si="140"/>
        <v>359613.51696969382</v>
      </c>
      <c r="V117" s="590">
        <f>+S$28*U117+T117</f>
        <v>99698.056856343523</v>
      </c>
      <c r="W117" s="589">
        <f>+Y116</f>
        <v>6124093.5871212222</v>
      </c>
      <c r="X117" s="564">
        <f>+W$31</f>
        <v>693293.61363636365</v>
      </c>
      <c r="Y117" s="564">
        <f t="shared" si="141"/>
        <v>5430799.9734848589</v>
      </c>
      <c r="Z117" s="590">
        <f>+W$28*Y117+X117</f>
        <v>1318240.2919186649</v>
      </c>
      <c r="AA117" s="589">
        <f>+AC116</f>
        <v>4019930.2178030279</v>
      </c>
      <c r="AB117" s="564">
        <f>+AA$31</f>
        <v>450833.29545454547</v>
      </c>
      <c r="AC117" s="564">
        <f t="shared" si="142"/>
        <v>3569096.9223484825</v>
      </c>
      <c r="AD117" s="590">
        <f>+AA$28*AC117+AB117</f>
        <v>861545.39624620741</v>
      </c>
      <c r="AE117" s="589">
        <f>+AG116</f>
        <v>39082.034090909161</v>
      </c>
      <c r="AF117" s="564">
        <f>+AE$31</f>
        <v>4597.886363636364</v>
      </c>
      <c r="AG117" s="564">
        <f t="shared" si="143"/>
        <v>34484.147727272793</v>
      </c>
      <c r="AH117" s="590">
        <f>+AE$28*AG117+AF117</f>
        <v>8566.1329720133836</v>
      </c>
      <c r="AI117" s="589">
        <f>+AK116</f>
        <v>2906216.4128787927</v>
      </c>
      <c r="AJ117" s="564">
        <f>+AI$31</f>
        <v>295547.43181818182</v>
      </c>
      <c r="AK117" s="564">
        <f t="shared" si="147"/>
        <v>2610668.9810606111</v>
      </c>
      <c r="AL117" s="590">
        <f>+AI$28*AK117+AJ117</f>
        <v>595968.90117337566</v>
      </c>
      <c r="AM117" s="589">
        <f>+AO116</f>
        <v>1053235.698977273</v>
      </c>
      <c r="AN117" s="564">
        <f>+AM$31</f>
        <v>110866.91568181818</v>
      </c>
      <c r="AO117" s="564">
        <f t="shared" si="144"/>
        <v>942368.78329545481</v>
      </c>
      <c r="AP117" s="590">
        <f>+AM$28*AO117+AN117</f>
        <v>219309.5472854125</v>
      </c>
      <c r="AQ117" s="589">
        <f>+AS116</f>
        <v>8823089.3134090919</v>
      </c>
      <c r="AR117" s="564">
        <f>+AQ$31</f>
        <v>904932.23727272719</v>
      </c>
      <c r="AS117" s="564">
        <f t="shared" si="145"/>
        <v>7918157.0761363646</v>
      </c>
      <c r="AT117" s="590">
        <f>+AQ$28*AS117+AR117</f>
        <v>1816110.3301888602</v>
      </c>
      <c r="AU117" s="671"/>
      <c r="AV117" s="671"/>
      <c r="AW117" s="671"/>
      <c r="AX117" s="653"/>
      <c r="AY117" s="671"/>
      <c r="AZ117" s="671"/>
      <c r="BA117" s="671"/>
      <c r="BB117" s="653"/>
      <c r="BC117" s="671"/>
      <c r="BD117" s="671"/>
      <c r="BE117" s="671"/>
      <c r="BF117" s="653"/>
      <c r="BG117" s="671"/>
      <c r="BH117" s="671"/>
      <c r="BI117" s="671"/>
      <c r="BJ117" s="653"/>
      <c r="BK117" s="671"/>
      <c r="BL117" s="671"/>
      <c r="BM117" s="671"/>
      <c r="BN117" s="653"/>
      <c r="BO117" s="671"/>
      <c r="BP117" s="671"/>
      <c r="BQ117" s="671"/>
      <c r="BR117" s="653"/>
      <c r="BS117" s="589">
        <f>+BU116</f>
        <v>83108.863636363909</v>
      </c>
      <c r="BT117" s="564">
        <f>+BS$31</f>
        <v>8310.886363636364</v>
      </c>
      <c r="BU117" s="564">
        <f t="shared" si="146"/>
        <v>74797.977272727541</v>
      </c>
      <c r="BV117" s="590">
        <f>+BS$28*BU117+BT117</f>
        <v>16918.227393880712</v>
      </c>
      <c r="BW117" s="589">
        <f>+BY116</f>
        <v>5912622.5795454709</v>
      </c>
      <c r="BX117" s="564">
        <f>+BW$31</f>
        <v>576841.22727272729</v>
      </c>
      <c r="BY117" s="564">
        <f t="shared" si="148"/>
        <v>5335781.3522727434</v>
      </c>
      <c r="BZ117" s="590">
        <f>+BW$28*BY117+BX117</f>
        <v>1190853.6837108438</v>
      </c>
      <c r="CA117" s="589">
        <f>+CC116</f>
        <v>557947.68000000133</v>
      </c>
      <c r="CB117" s="564">
        <f>+CA$31</f>
        <v>54433.919999999998</v>
      </c>
      <c r="CC117" s="564">
        <f t="shared" si="149"/>
        <v>503513.76000000135</v>
      </c>
      <c r="CD117" s="590">
        <f>+CA$28*CC117+CB117</f>
        <v>112375.5222165726</v>
      </c>
      <c r="CE117" s="589">
        <f>+CG116</f>
        <v>48431.548181818391</v>
      </c>
      <c r="CF117" s="564">
        <f>+CE$31</f>
        <v>4725.0290909090909</v>
      </c>
      <c r="CG117" s="564">
        <f t="shared" si="150"/>
        <v>43706.5190909093</v>
      </c>
      <c r="CH117" s="590">
        <f>+CE$28*CG117+CF117</f>
        <v>9754.5356200583556</v>
      </c>
      <c r="CI117" s="589">
        <f>+CK116</f>
        <v>139080.68181818147</v>
      </c>
      <c r="CJ117" s="564">
        <f>+CI$31</f>
        <v>12362.727272727272</v>
      </c>
      <c r="CK117" s="564">
        <f t="shared" si="151"/>
        <v>126717.95454545421</v>
      </c>
      <c r="CL117" s="590">
        <f>+CI$28*CK117+CJ117</f>
        <v>26944.734556838863</v>
      </c>
      <c r="CM117" s="589">
        <f>+CO116</f>
        <v>7618143.4696022831</v>
      </c>
      <c r="CN117" s="564">
        <f>+CM$31</f>
        <v>483691.64886363636</v>
      </c>
      <c r="CO117" s="564">
        <f t="shared" si="152"/>
        <v>7134451.8207386471</v>
      </c>
      <c r="CP117" s="590">
        <f>+CM$28*CO117+CN117</f>
        <v>1304685.2388512064</v>
      </c>
      <c r="CQ117" s="589">
        <f>+CS116</f>
        <v>31779341.438011374</v>
      </c>
      <c r="CR117" s="564">
        <f>+CQ$31</f>
        <v>2017735.9643181816</v>
      </c>
      <c r="CS117" s="564">
        <f t="shared" si="153"/>
        <v>29761605.473693192</v>
      </c>
      <c r="CT117" s="590">
        <f>+CQ$28*CS117+CR117</f>
        <v>5442538.3087134883</v>
      </c>
      <c r="CU117" s="589">
        <f>+CW116</f>
        <v>10819125.960000021</v>
      </c>
      <c r="CV117" s="564">
        <f>+CU$31</f>
        <v>676195.37250000006</v>
      </c>
      <c r="CW117" s="564">
        <f t="shared" si="154"/>
        <v>10142930.587500021</v>
      </c>
      <c r="CX117" s="590">
        <f>+CU$28*CW117+CV117</f>
        <v>1843388.2003806753</v>
      </c>
      <c r="CY117" s="589">
        <f>+DA116</f>
        <v>12106.443750000009</v>
      </c>
      <c r="CZ117" s="564">
        <f>+CY$31</f>
        <v>733.72386363636497</v>
      </c>
      <c r="DA117" s="564">
        <f t="shared" si="42"/>
        <v>11372.719886363644</v>
      </c>
      <c r="DB117" s="590">
        <f>+CY$28*DA117+CZ117</f>
        <v>2042.4340998296821</v>
      </c>
      <c r="DC117" s="589">
        <f>+DE116</f>
        <v>723623.43181818374</v>
      </c>
      <c r="DD117" s="564">
        <f>+DC$31</f>
        <v>44530.672727272722</v>
      </c>
      <c r="DE117" s="564">
        <f t="shared" si="43"/>
        <v>679092.75909091101</v>
      </c>
      <c r="DF117" s="590">
        <f>+DC$28*DE117+DD117</f>
        <v>122676.94327884656</v>
      </c>
      <c r="DG117" s="589">
        <f>+DI116</f>
        <v>406551.32624999905</v>
      </c>
      <c r="DH117" s="564">
        <f>+DG$31</f>
        <v>24639.474318181816</v>
      </c>
      <c r="DI117" s="564">
        <f t="shared" si="44"/>
        <v>381911.85193181725</v>
      </c>
      <c r="DJ117" s="590">
        <f>+DG$28*DI117+DH117</f>
        <v>68587.795822698128</v>
      </c>
      <c r="DK117" s="589">
        <f>+DM116</f>
        <v>8886150.7432954609</v>
      </c>
      <c r="DL117" s="564">
        <f>+DK$31</f>
        <v>549658.80886363634</v>
      </c>
      <c r="DM117" s="564">
        <f t="shared" si="45"/>
        <v>8336491.9344318248</v>
      </c>
      <c r="DN117" s="590">
        <f>+DK$28*DM117+DL117</f>
        <v>1508976.5831117786</v>
      </c>
      <c r="DO117" s="589">
        <f>+DQ116</f>
        <v>336341.41632575728</v>
      </c>
      <c r="DP117" s="564">
        <f>+DO$31</f>
        <v>19592.703863636354</v>
      </c>
      <c r="DQ117" s="564">
        <f t="shared" si="134"/>
        <v>316748.71246212092</v>
      </c>
      <c r="DR117" s="590">
        <f>+DO$28*DQ117+DP117</f>
        <v>56042.408634548061</v>
      </c>
      <c r="DS117" s="589">
        <f>+DU116</f>
        <v>145175.67272727244</v>
      </c>
      <c r="DT117" s="564">
        <f>+DS$31</f>
        <v>8295.7527272726966</v>
      </c>
      <c r="DU117" s="564">
        <f t="shared" si="61"/>
        <v>136879.91999999975</v>
      </c>
      <c r="DV117" s="590">
        <f>+DS$28*DU117+DT117</f>
        <v>24047.143267376792</v>
      </c>
      <c r="DW117" s="589">
        <f>+DY116</f>
        <v>21075.418806818132</v>
      </c>
      <c r="DX117" s="564">
        <f>+DW$31</f>
        <v>1221.7634090909089</v>
      </c>
      <c r="DY117" s="564">
        <f t="shared" si="62"/>
        <v>19853.655397727223</v>
      </c>
      <c r="DZ117" s="590">
        <f>+DW$28*DY117+DX117</f>
        <v>3506.4131942328622</v>
      </c>
      <c r="EA117" s="589">
        <f>+EC116</f>
        <v>-127572.07017045544</v>
      </c>
      <c r="EB117" s="564">
        <f>+EA$31</f>
        <v>-7120.3015909091364</v>
      </c>
      <c r="EC117" s="564">
        <f t="shared" si="63"/>
        <v>-120451.7685795463</v>
      </c>
      <c r="ED117" s="590">
        <f>+EA$28*EC117+EB117</f>
        <v>-20981.230558011666</v>
      </c>
      <c r="EE117" s="589">
        <f>+EG116</f>
        <v>3730111.4036363573</v>
      </c>
      <c r="EF117" s="564">
        <f>+EE$31</f>
        <v>192108.74181818182</v>
      </c>
      <c r="EG117" s="564">
        <f t="shared" si="72"/>
        <v>3538002.6618181756</v>
      </c>
      <c r="EH117" s="590">
        <f>+EE$28*EG117+EF117</f>
        <v>599242.68562985281</v>
      </c>
      <c r="EI117" s="589">
        <f>+EK116</f>
        <v>152119.75996212102</v>
      </c>
      <c r="EJ117" s="564">
        <f>+EI$31</f>
        <v>7669.903863636363</v>
      </c>
      <c r="EK117" s="564">
        <f t="shared" si="74"/>
        <v>144449.85609848466</v>
      </c>
      <c r="EL117" s="590">
        <f>+EI$28*EK117+EJ117</f>
        <v>24292.401136202516</v>
      </c>
      <c r="EM117" s="589">
        <f>+EO116</f>
        <v>5212150.8636363689</v>
      </c>
      <c r="EN117" s="564">
        <f>+EM$31</f>
        <v>260607.54318181818</v>
      </c>
      <c r="EO117" s="564">
        <f t="shared" si="76"/>
        <v>4951543.3204545509</v>
      </c>
      <c r="EP117" s="590">
        <f>+EM$28*EO117+EN117</f>
        <v>830403.99409093312</v>
      </c>
      <c r="EQ117" s="678">
        <f t="shared" si="94"/>
        <v>19814664.256151747</v>
      </c>
      <c r="ER117" s="652"/>
      <c r="ES117" s="674">
        <f>+EQ117</f>
        <v>19814664.256151747</v>
      </c>
      <c r="EV117" s="589"/>
      <c r="EW117" s="564"/>
      <c r="EX117" s="564"/>
      <c r="EY117" s="590"/>
      <c r="EZ117" s="589"/>
      <c r="FA117" s="564"/>
      <c r="FB117" s="564"/>
      <c r="FC117" s="590"/>
      <c r="FD117" s="589"/>
      <c r="FE117" s="564"/>
      <c r="FF117" s="564"/>
      <c r="FG117" s="590"/>
      <c r="FH117" s="589"/>
      <c r="FI117" s="564"/>
      <c r="FJ117" s="564"/>
      <c r="FK117" s="590"/>
      <c r="FL117" s="589"/>
      <c r="FM117" s="564"/>
      <c r="FN117" s="564"/>
      <c r="FO117" s="590"/>
      <c r="FP117" s="589"/>
      <c r="FQ117" s="564"/>
      <c r="FR117" s="564"/>
      <c r="FS117" s="590"/>
      <c r="FT117" s="589"/>
      <c r="FU117" s="564"/>
      <c r="FV117" s="564"/>
      <c r="FW117" s="590"/>
      <c r="FX117" s="589"/>
      <c r="FY117" s="564"/>
      <c r="FZ117" s="564"/>
      <c r="GA117" s="590"/>
      <c r="GB117" s="589"/>
      <c r="GC117" s="564"/>
      <c r="GD117" s="564"/>
      <c r="GE117" s="590"/>
      <c r="GF117" s="589"/>
      <c r="GG117" s="564"/>
      <c r="GH117" s="564"/>
      <c r="GI117" s="590"/>
      <c r="GJ117" s="589"/>
      <c r="GK117" s="564"/>
      <c r="GL117" s="564"/>
      <c r="GM117" s="590"/>
      <c r="GN117" s="589"/>
      <c r="GO117" s="564"/>
      <c r="GP117" s="564"/>
      <c r="GQ117" s="590"/>
      <c r="GR117" s="589"/>
      <c r="GS117" s="564"/>
      <c r="GT117" s="564"/>
      <c r="GU117" s="590"/>
      <c r="GV117" s="672"/>
      <c r="GW117" s="676"/>
      <c r="GX117" s="676"/>
      <c r="GY117" s="1366"/>
      <c r="GZ117" s="1367"/>
      <c r="HA117" s="1373"/>
      <c r="HB117" s="1373"/>
      <c r="HC117" s="1366"/>
      <c r="HD117" s="1367"/>
      <c r="HE117" s="1373"/>
      <c r="HF117" s="1373"/>
      <c r="HG117" s="1366"/>
      <c r="HI117" s="589"/>
      <c r="HJ117" s="564"/>
      <c r="HK117" s="564"/>
      <c r="HL117" s="590"/>
      <c r="HM117" s="589"/>
      <c r="HN117" s="564"/>
      <c r="HO117" s="564"/>
      <c r="HP117" s="590"/>
      <c r="HQ117" s="589"/>
      <c r="HR117" s="564"/>
      <c r="HS117" s="564"/>
      <c r="HT117" s="590"/>
    </row>
    <row r="118" spans="1:228">
      <c r="A118" s="649" t="s">
        <v>23</v>
      </c>
      <c r="B118" s="670">
        <v>2045</v>
      </c>
      <c r="C118" s="671">
        <f>+C117</f>
        <v>3454887.8767045364</v>
      </c>
      <c r="D118" s="671">
        <f>+D117</f>
        <v>445791.98409090913</v>
      </c>
      <c r="E118" s="671">
        <f t="shared" si="136"/>
        <v>3009095.892613627</v>
      </c>
      <c r="F118" s="653">
        <f>+C$29*E118+D118</f>
        <v>810427.06694424083</v>
      </c>
      <c r="G118" s="671">
        <f>+G117</f>
        <v>868805.62159090722</v>
      </c>
      <c r="H118" s="671">
        <f>+H117</f>
        <v>115840.74954545456</v>
      </c>
      <c r="I118" s="671">
        <f t="shared" si="137"/>
        <v>752964.87204545271</v>
      </c>
      <c r="J118" s="653">
        <f>+G$29*I118+H118</f>
        <v>207083.24174315855</v>
      </c>
      <c r="K118" s="672">
        <f>+K117</f>
        <v>2061583.3876704513</v>
      </c>
      <c r="L118" s="671">
        <f>+L117</f>
        <v>305419.76113636367</v>
      </c>
      <c r="M118" s="671">
        <f t="shared" si="138"/>
        <v>1756163.6265340876</v>
      </c>
      <c r="N118" s="653">
        <f>+K$29*M118+L118</f>
        <v>518227.49220174504</v>
      </c>
      <c r="O118" s="672">
        <f>+O117</f>
        <v>1053960.8106060571</v>
      </c>
      <c r="P118" s="671">
        <f>+P117</f>
        <v>119316.31818181818</v>
      </c>
      <c r="Q118" s="671">
        <f t="shared" si="139"/>
        <v>934644.49242423894</v>
      </c>
      <c r="R118" s="653">
        <f>+O$29*Q118+P118</f>
        <v>232574.31463520083</v>
      </c>
      <c r="S118" s="589">
        <f>+S117</f>
        <v>417929.22242423927</v>
      </c>
      <c r="T118" s="564">
        <f>+T117</f>
        <v>58315.705454545445</v>
      </c>
      <c r="U118" s="564">
        <f t="shared" si="140"/>
        <v>359613.51696969382</v>
      </c>
      <c r="V118" s="590">
        <f>+S$29*U118+T118</f>
        <v>101892.81606683903</v>
      </c>
      <c r="W118" s="589">
        <f>+W117</f>
        <v>6124093.5871212222</v>
      </c>
      <c r="X118" s="564">
        <f>+X117</f>
        <v>693293.61363636365</v>
      </c>
      <c r="Y118" s="564">
        <f t="shared" si="141"/>
        <v>5430799.9734848589</v>
      </c>
      <c r="Z118" s="590">
        <f>+W$29*Y118+X118</f>
        <v>1351385.0367619717</v>
      </c>
      <c r="AA118" s="589">
        <f>+AA117</f>
        <v>4019930.2178030279</v>
      </c>
      <c r="AB118" s="564">
        <f>+AB117</f>
        <v>450833.29545454547</v>
      </c>
      <c r="AC118" s="564">
        <f t="shared" si="142"/>
        <v>3569096.9223484825</v>
      </c>
      <c r="AD118" s="590">
        <f>+AA$29*AC118+AB118</f>
        <v>883327.97107677371</v>
      </c>
      <c r="AE118" s="589">
        <f>+AE117</f>
        <v>39082.034090909161</v>
      </c>
      <c r="AF118" s="564">
        <f>+AF117</f>
        <v>4597.886363636364</v>
      </c>
      <c r="AG118" s="564">
        <f t="shared" si="143"/>
        <v>34484.147727272793</v>
      </c>
      <c r="AH118" s="590">
        <f>+AE$29*AG118+AF118</f>
        <v>8776.5933614844998</v>
      </c>
      <c r="AI118" s="589">
        <f>+AI117</f>
        <v>2906216.4128787927</v>
      </c>
      <c r="AJ118" s="564">
        <f>+AJ117</f>
        <v>295547.43181818182</v>
      </c>
      <c r="AK118" s="564">
        <f t="shared" si="147"/>
        <v>2610668.9810606111</v>
      </c>
      <c r="AL118" s="590">
        <f>+AI$29*AK118+AJ118</f>
        <v>611902.08922487078</v>
      </c>
      <c r="AM118" s="589">
        <f>+AM117</f>
        <v>1053235.698977273</v>
      </c>
      <c r="AN118" s="564">
        <f>+AN117</f>
        <v>110866.91568181818</v>
      </c>
      <c r="AO118" s="564">
        <f t="shared" si="144"/>
        <v>942368.78329545481</v>
      </c>
      <c r="AP118" s="590">
        <f>+AM$29*AO118+AN118</f>
        <v>225060.92333003273</v>
      </c>
      <c r="AQ118" s="589">
        <f>+AQ117</f>
        <v>8823089.3134090919</v>
      </c>
      <c r="AR118" s="564">
        <f>+AR117</f>
        <v>904932.23727272719</v>
      </c>
      <c r="AS118" s="564">
        <f t="shared" si="145"/>
        <v>7918157.0761363646</v>
      </c>
      <c r="AT118" s="590">
        <f>+AQ$29*AS118+AR118</f>
        <v>1864435.6776881451</v>
      </c>
      <c r="AU118" s="671"/>
      <c r="AV118" s="671"/>
      <c r="AW118" s="671"/>
      <c r="AX118" s="653"/>
      <c r="AY118" s="671"/>
      <c r="AZ118" s="671"/>
      <c r="BA118" s="671"/>
      <c r="BB118" s="653"/>
      <c r="BC118" s="671"/>
      <c r="BD118" s="671"/>
      <c r="BE118" s="671"/>
      <c r="BF118" s="653"/>
      <c r="BG118" s="671"/>
      <c r="BH118" s="671"/>
      <c r="BI118" s="671"/>
      <c r="BJ118" s="653"/>
      <c r="BK118" s="671"/>
      <c r="BL118" s="671"/>
      <c r="BM118" s="671"/>
      <c r="BN118" s="653"/>
      <c r="BO118" s="671"/>
      <c r="BP118" s="671"/>
      <c r="BQ118" s="671"/>
      <c r="BR118" s="653"/>
      <c r="BS118" s="589">
        <f>+BS117</f>
        <v>83108.863636363909</v>
      </c>
      <c r="BT118" s="564">
        <f>+BT117</f>
        <v>8310.886363636364</v>
      </c>
      <c r="BU118" s="564">
        <f t="shared" si="146"/>
        <v>74797.977272727541</v>
      </c>
      <c r="BV118" s="590">
        <f>+BS$29*BU118+BT118</f>
        <v>17374.727335621184</v>
      </c>
      <c r="BW118" s="589">
        <f>+BW117</f>
        <v>5912622.5795454709</v>
      </c>
      <c r="BX118" s="564">
        <f>+BX117</f>
        <v>576841.22727272729</v>
      </c>
      <c r="BY118" s="564">
        <f t="shared" si="148"/>
        <v>5335781.3522727434</v>
      </c>
      <c r="BZ118" s="590">
        <f>+BW$29*BY118+BX118</f>
        <v>1190853.6837108438</v>
      </c>
      <c r="CA118" s="589">
        <f>+CA117</f>
        <v>557947.68000000133</v>
      </c>
      <c r="CB118" s="564">
        <f>+CB117</f>
        <v>54433.919999999998</v>
      </c>
      <c r="CC118" s="564">
        <f t="shared" si="149"/>
        <v>503513.76000000135</v>
      </c>
      <c r="CD118" s="590">
        <f>+CA$29*CC118+CB118</f>
        <v>115448.51978263559</v>
      </c>
      <c r="CE118" s="589">
        <f>+CE117</f>
        <v>48431.548181818391</v>
      </c>
      <c r="CF118" s="564">
        <f>+CF117</f>
        <v>4725.0290909090909</v>
      </c>
      <c r="CG118" s="564">
        <f t="shared" si="150"/>
        <v>43706.5190909093</v>
      </c>
      <c r="CH118" s="590">
        <f>+CE$29*CG118+CF118</f>
        <v>10021.2811143373</v>
      </c>
      <c r="CI118" s="589">
        <f>+CI117</f>
        <v>139080.68181818147</v>
      </c>
      <c r="CJ118" s="564">
        <f>+CJ117</f>
        <v>12362.727272727272</v>
      </c>
      <c r="CK118" s="564">
        <f t="shared" si="151"/>
        <v>126717.95454545421</v>
      </c>
      <c r="CL118" s="590">
        <f>+CI$29*CK118+CJ118</f>
        <v>26944.734556838863</v>
      </c>
      <c r="CM118" s="589">
        <f>+CM117</f>
        <v>7618143.4696022831</v>
      </c>
      <c r="CN118" s="564">
        <f>+CN117</f>
        <v>483691.64886363636</v>
      </c>
      <c r="CO118" s="564">
        <f t="shared" si="152"/>
        <v>7134451.8207386471</v>
      </c>
      <c r="CP118" s="590">
        <f>+CM$29*CO118+CN118</f>
        <v>1304685.2388512064</v>
      </c>
      <c r="CQ118" s="589">
        <f>+CQ117</f>
        <v>31779341.438011374</v>
      </c>
      <c r="CR118" s="564">
        <f>+CR117</f>
        <v>2017735.9643181816</v>
      </c>
      <c r="CS118" s="564">
        <f t="shared" si="153"/>
        <v>29761605.473693192</v>
      </c>
      <c r="CT118" s="590">
        <f>+CQ$29*CS118+CR118</f>
        <v>5442538.3087134883</v>
      </c>
      <c r="CU118" s="589">
        <f>+CU117</f>
        <v>10819125.960000021</v>
      </c>
      <c r="CV118" s="564">
        <f>+CV117</f>
        <v>676195.37250000006</v>
      </c>
      <c r="CW118" s="564">
        <f t="shared" si="154"/>
        <v>10142930.587500021</v>
      </c>
      <c r="CX118" s="590">
        <f>+CU$29*CW118+CV118</f>
        <v>1843388.2003806753</v>
      </c>
      <c r="CY118" s="589">
        <f>+CY117</f>
        <v>12106.443750000009</v>
      </c>
      <c r="CZ118" s="564">
        <f>+CZ117</f>
        <v>733.72386363636497</v>
      </c>
      <c r="DA118" s="564">
        <f t="shared" si="42"/>
        <v>11372.719886363644</v>
      </c>
      <c r="DB118" s="590">
        <f>+CY$29*DA118+CZ118</f>
        <v>2042.4340998296821</v>
      </c>
      <c r="DC118" s="589">
        <f>+DC117</f>
        <v>723623.43181818374</v>
      </c>
      <c r="DD118" s="564">
        <f>+DD117</f>
        <v>44530.672727272722</v>
      </c>
      <c r="DE118" s="564">
        <f t="shared" si="43"/>
        <v>679092.75909091101</v>
      </c>
      <c r="DF118" s="590">
        <f>+DC$29*DE118+DD118</f>
        <v>122676.94327884656</v>
      </c>
      <c r="DG118" s="589">
        <f>+DG117</f>
        <v>406551.32624999905</v>
      </c>
      <c r="DH118" s="564">
        <f>+DH117</f>
        <v>24639.474318181816</v>
      </c>
      <c r="DI118" s="564">
        <f t="shared" si="44"/>
        <v>381911.85193181725</v>
      </c>
      <c r="DJ118" s="590">
        <f>+DG$29*DI118+DH118</f>
        <v>68587.795822698128</v>
      </c>
      <c r="DK118" s="589">
        <f>+DK117</f>
        <v>8886150.7432954609</v>
      </c>
      <c r="DL118" s="564">
        <f>+DL117</f>
        <v>549658.80886363634</v>
      </c>
      <c r="DM118" s="564">
        <f t="shared" si="45"/>
        <v>8336491.9344318248</v>
      </c>
      <c r="DN118" s="590">
        <f>+DK$29*DM118+DL118</f>
        <v>1508976.5831117786</v>
      </c>
      <c r="DO118" s="589">
        <f>+DO117</f>
        <v>336341.41632575728</v>
      </c>
      <c r="DP118" s="564">
        <f>+DP117</f>
        <v>19592.703863636354</v>
      </c>
      <c r="DQ118" s="564">
        <f t="shared" si="134"/>
        <v>316748.71246212092</v>
      </c>
      <c r="DR118" s="590">
        <f>+DO$29*DQ118+DP118</f>
        <v>56042.408634548061</v>
      </c>
      <c r="DS118" s="589">
        <f>+DS117</f>
        <v>145175.67272727244</v>
      </c>
      <c r="DT118" s="564">
        <f>+DT117</f>
        <v>8295.7527272726966</v>
      </c>
      <c r="DU118" s="564">
        <f t="shared" si="61"/>
        <v>136879.91999999975</v>
      </c>
      <c r="DV118" s="590">
        <f>+DS$29*DU118+DT118</f>
        <v>24047.143267376792</v>
      </c>
      <c r="DW118" s="589">
        <f>+DW117</f>
        <v>21075.418806818132</v>
      </c>
      <c r="DX118" s="564">
        <f>+DX117</f>
        <v>1221.7634090909089</v>
      </c>
      <c r="DY118" s="564">
        <f t="shared" si="62"/>
        <v>19853.655397727223</v>
      </c>
      <c r="DZ118" s="590">
        <f>+DW$29*DY118+DX118</f>
        <v>3506.4131942328622</v>
      </c>
      <c r="EA118" s="589">
        <f>+EA117</f>
        <v>-127572.07017045544</v>
      </c>
      <c r="EB118" s="564">
        <f>+EB117</f>
        <v>-7120.3015909091364</v>
      </c>
      <c r="EC118" s="564">
        <f t="shared" si="63"/>
        <v>-120451.7685795463</v>
      </c>
      <c r="ED118" s="590">
        <f>+EA$29*EC118+EB118</f>
        <v>-20981.230558011666</v>
      </c>
      <c r="EE118" s="589">
        <f>+EE117</f>
        <v>3730111.4036363573</v>
      </c>
      <c r="EF118" s="564">
        <f>+EF117</f>
        <v>192108.74181818182</v>
      </c>
      <c r="EG118" s="564">
        <f t="shared" si="72"/>
        <v>3538002.6618181756</v>
      </c>
      <c r="EH118" s="590">
        <f>+EE$29*EG118+EF118</f>
        <v>599242.68562985281</v>
      </c>
      <c r="EI118" s="589">
        <f>+EI117</f>
        <v>152119.75996212102</v>
      </c>
      <c r="EJ118" s="564">
        <f>+EJ117</f>
        <v>7669.903863636363</v>
      </c>
      <c r="EK118" s="564">
        <f t="shared" si="74"/>
        <v>144449.85609848466</v>
      </c>
      <c r="EL118" s="590">
        <f>+EI$29*EK118+EJ118</f>
        <v>24292.401136202516</v>
      </c>
      <c r="EM118" s="589">
        <f>+EM117</f>
        <v>5212150.8636363689</v>
      </c>
      <c r="EN118" s="564">
        <f>+EN117</f>
        <v>260607.54318181818</v>
      </c>
      <c r="EO118" s="564">
        <f t="shared" si="76"/>
        <v>4951543.3204545509</v>
      </c>
      <c r="EP118" s="590">
        <f>+EM$29*EO118+EN118</f>
        <v>830403.99409093312</v>
      </c>
      <c r="EQ118" s="678">
        <f t="shared" si="94"/>
        <v>19985185.489188392</v>
      </c>
      <c r="ER118" s="675">
        <f>+EQ118</f>
        <v>19985185.489188392</v>
      </c>
      <c r="ES118" s="648"/>
      <c r="EV118" s="589"/>
      <c r="EW118" s="564"/>
      <c r="EX118" s="564"/>
      <c r="EY118" s="590"/>
      <c r="EZ118" s="589"/>
      <c r="FA118" s="564"/>
      <c r="FB118" s="564"/>
      <c r="FC118" s="590"/>
      <c r="FD118" s="589"/>
      <c r="FE118" s="564"/>
      <c r="FF118" s="564"/>
      <c r="FG118" s="590"/>
      <c r="FH118" s="589"/>
      <c r="FI118" s="564"/>
      <c r="FJ118" s="564"/>
      <c r="FK118" s="590"/>
      <c r="FL118" s="589"/>
      <c r="FM118" s="564"/>
      <c r="FN118" s="564"/>
      <c r="FO118" s="590"/>
      <c r="FP118" s="589"/>
      <c r="FQ118" s="564"/>
      <c r="FR118" s="564"/>
      <c r="FS118" s="590"/>
      <c r="FT118" s="589"/>
      <c r="FU118" s="564"/>
      <c r="FV118" s="564"/>
      <c r="FW118" s="590"/>
      <c r="FX118" s="589"/>
      <c r="FY118" s="564"/>
      <c r="FZ118" s="564"/>
      <c r="GA118" s="590"/>
      <c r="GB118" s="589"/>
      <c r="GC118" s="564"/>
      <c r="GD118" s="564"/>
      <c r="GE118" s="590"/>
      <c r="GF118" s="589"/>
      <c r="GG118" s="564"/>
      <c r="GH118" s="564"/>
      <c r="GI118" s="590"/>
      <c r="GJ118" s="589"/>
      <c r="GK118" s="564"/>
      <c r="GL118" s="564"/>
      <c r="GM118" s="590"/>
      <c r="GN118" s="589"/>
      <c r="GO118" s="564"/>
      <c r="GP118" s="564"/>
      <c r="GQ118" s="590"/>
      <c r="GR118" s="589"/>
      <c r="GS118" s="564"/>
      <c r="GT118" s="564"/>
      <c r="GU118" s="590"/>
      <c r="GV118" s="672"/>
      <c r="GW118" s="676"/>
      <c r="GX118" s="676"/>
      <c r="GY118" s="1366"/>
      <c r="GZ118" s="1367"/>
      <c r="HA118" s="1373"/>
      <c r="HB118" s="1373"/>
      <c r="HC118" s="1366"/>
      <c r="HD118" s="1367"/>
      <c r="HE118" s="1373"/>
      <c r="HF118" s="1373"/>
      <c r="HG118" s="1366"/>
      <c r="HI118" s="589"/>
      <c r="HJ118" s="564"/>
      <c r="HK118" s="564"/>
      <c r="HL118" s="590"/>
      <c r="HM118" s="589"/>
      <c r="HN118" s="564"/>
      <c r="HO118" s="564"/>
      <c r="HP118" s="590"/>
      <c r="HQ118" s="589"/>
      <c r="HR118" s="564"/>
      <c r="HS118" s="564"/>
      <c r="HT118" s="590"/>
    </row>
    <row r="119" spans="1:228">
      <c r="A119" s="649" t="s">
        <v>24</v>
      </c>
      <c r="B119" s="670">
        <v>2046</v>
      </c>
      <c r="C119" s="671">
        <f>+E118</f>
        <v>3009095.892613627</v>
      </c>
      <c r="D119" s="671">
        <f>+C$31</f>
        <v>445791.98409090913</v>
      </c>
      <c r="E119" s="671">
        <f t="shared" si="136"/>
        <v>2563303.9085227177</v>
      </c>
      <c r="F119" s="653">
        <f>+C$28*E119+D119</f>
        <v>740762.94064988918</v>
      </c>
      <c r="G119" s="671">
        <f>+I118</f>
        <v>752964.87204545271</v>
      </c>
      <c r="H119" s="671">
        <f>+G$31</f>
        <v>115840.74954545456</v>
      </c>
      <c r="I119" s="671">
        <f t="shared" si="137"/>
        <v>637124.12249999819</v>
      </c>
      <c r="J119" s="653">
        <f>+G$28*I119+H119</f>
        <v>189157.49955538014</v>
      </c>
      <c r="K119" s="672">
        <f>+M118</f>
        <v>1756163.6265340876</v>
      </c>
      <c r="L119" s="671">
        <f>+K$31</f>
        <v>305419.76113636367</v>
      </c>
      <c r="M119" s="671">
        <f t="shared" si="138"/>
        <v>1450743.8653977239</v>
      </c>
      <c r="N119" s="653">
        <f>+K$28*M119+L119</f>
        <v>472363.40924442653</v>
      </c>
      <c r="O119" s="672">
        <f>+Q118</f>
        <v>934644.49242423894</v>
      </c>
      <c r="P119" s="671">
        <f>+O$31</f>
        <v>119316.31818181818</v>
      </c>
      <c r="Q119" s="671">
        <f t="shared" si="139"/>
        <v>815328.17424242082</v>
      </c>
      <c r="R119" s="653">
        <f>+O$28*Q119+P119</f>
        <v>213139.81319001538</v>
      </c>
      <c r="S119" s="589">
        <f>+U118</f>
        <v>359613.51696969382</v>
      </c>
      <c r="T119" s="564">
        <f>+S$31</f>
        <v>58315.705454545445</v>
      </c>
      <c r="U119" s="564">
        <f t="shared" si="140"/>
        <v>301297.81151514838</v>
      </c>
      <c r="V119" s="590">
        <f>+S$28*U119+T119</f>
        <v>92987.405277673504</v>
      </c>
      <c r="W119" s="589">
        <f>+Y118</f>
        <v>5430799.9734848589</v>
      </c>
      <c r="X119" s="564">
        <f>+W$31</f>
        <v>693293.61363636365</v>
      </c>
      <c r="Y119" s="564">
        <f t="shared" si="141"/>
        <v>4737506.3598484956</v>
      </c>
      <c r="Z119" s="590">
        <f>+W$28*Y119+X119</f>
        <v>1238459.8649039031</v>
      </c>
      <c r="AA119" s="589">
        <f>+AC118</f>
        <v>3569096.9223484825</v>
      </c>
      <c r="AB119" s="564">
        <f>+AA$31</f>
        <v>450833.29545454547</v>
      </c>
      <c r="AC119" s="564">
        <f t="shared" si="142"/>
        <v>3118263.6268939371</v>
      </c>
      <c r="AD119" s="590">
        <f>+AA$28*AC119+AB119</f>
        <v>809665.9729883133</v>
      </c>
      <c r="AE119" s="589">
        <f>+AG118</f>
        <v>34484.147727272793</v>
      </c>
      <c r="AF119" s="564">
        <f>+AE$31</f>
        <v>4597.886363636364</v>
      </c>
      <c r="AG119" s="564">
        <f t="shared" si="143"/>
        <v>29886.261363636429</v>
      </c>
      <c r="AH119" s="590">
        <f>+AE$28*AG119+AF119</f>
        <v>8037.0334242297822</v>
      </c>
      <c r="AI119" s="589">
        <f>+AK118</f>
        <v>2610668.9810606111</v>
      </c>
      <c r="AJ119" s="564">
        <f>+AI$31</f>
        <v>295547.43181818182</v>
      </c>
      <c r="AK119" s="564">
        <f t="shared" si="147"/>
        <v>2315121.5492424294</v>
      </c>
      <c r="AL119" s="590">
        <f>+AI$28*AK119+AJ119</f>
        <v>561958.92351052351</v>
      </c>
      <c r="AM119" s="589">
        <f>+AO118</f>
        <v>942368.78329545481</v>
      </c>
      <c r="AN119" s="564">
        <f>+AM$31</f>
        <v>110866.91568181818</v>
      </c>
      <c r="AO119" s="564">
        <f t="shared" si="144"/>
        <v>831501.86761363666</v>
      </c>
      <c r="AP119" s="590">
        <f>+AM$28*AO119+AN119</f>
        <v>206551.59062616609</v>
      </c>
      <c r="AQ119" s="589">
        <f>+AS118</f>
        <v>7918157.0761363646</v>
      </c>
      <c r="AR119" s="564">
        <f>+AQ$31</f>
        <v>904932.23727272719</v>
      </c>
      <c r="AS119" s="564">
        <f t="shared" si="145"/>
        <v>7013224.8388636373</v>
      </c>
      <c r="AT119" s="590">
        <f>+AQ$28*AS119+AR119</f>
        <v>1711975.690998445</v>
      </c>
      <c r="AU119" s="671"/>
      <c r="AV119" s="671"/>
      <c r="AW119" s="671"/>
      <c r="AX119" s="653"/>
      <c r="AY119" s="671"/>
      <c r="AZ119" s="671"/>
      <c r="BA119" s="671"/>
      <c r="BB119" s="653"/>
      <c r="BC119" s="671"/>
      <c r="BD119" s="671"/>
      <c r="BE119" s="671"/>
      <c r="BF119" s="653"/>
      <c r="BG119" s="671"/>
      <c r="BH119" s="671"/>
      <c r="BI119" s="671"/>
      <c r="BJ119" s="653"/>
      <c r="BK119" s="671"/>
      <c r="BL119" s="671"/>
      <c r="BM119" s="671"/>
      <c r="BN119" s="653"/>
      <c r="BO119" s="671"/>
      <c r="BP119" s="671"/>
      <c r="BQ119" s="671"/>
      <c r="BR119" s="653"/>
      <c r="BS119" s="589">
        <f>+BU118</f>
        <v>74797.977272727541</v>
      </c>
      <c r="BT119" s="564">
        <f>+BS$31</f>
        <v>8310.886363636364</v>
      </c>
      <c r="BU119" s="564">
        <f t="shared" si="146"/>
        <v>66487.090909091174</v>
      </c>
      <c r="BV119" s="590">
        <f>+BS$28*BU119+BT119</f>
        <v>15961.856168298009</v>
      </c>
      <c r="BW119" s="589">
        <f>+BY118</f>
        <v>5335781.3522727434</v>
      </c>
      <c r="BX119" s="564">
        <f>+BW$31</f>
        <v>576841.22727272729</v>
      </c>
      <c r="BY119" s="564">
        <f t="shared" si="148"/>
        <v>4758940.1250000158</v>
      </c>
      <c r="BZ119" s="590">
        <f>+BW$28*BY119+BX119</f>
        <v>1124473.9586905071</v>
      </c>
      <c r="CA119" s="589">
        <f>+CC118</f>
        <v>503513.76000000135</v>
      </c>
      <c r="CB119" s="564">
        <f>+CA$31</f>
        <v>54433.919999999998</v>
      </c>
      <c r="CC119" s="564">
        <f t="shared" si="149"/>
        <v>449079.84000000136</v>
      </c>
      <c r="CD119" s="590">
        <f>+CA$28*CC119+CB119</f>
        <v>106111.56522018638</v>
      </c>
      <c r="CE119" s="589">
        <f>+CG118</f>
        <v>43706.5190909093</v>
      </c>
      <c r="CF119" s="564">
        <f>+CE$31</f>
        <v>4725.0290909090909</v>
      </c>
      <c r="CG119" s="564">
        <f t="shared" si="150"/>
        <v>38981.490000000209</v>
      </c>
      <c r="CH119" s="590">
        <f>+CE$28*CG119+CF119</f>
        <v>9210.8051844746551</v>
      </c>
      <c r="CI119" s="589">
        <f>+CK118</f>
        <v>126717.95454545421</v>
      </c>
      <c r="CJ119" s="564">
        <f>+CI$31</f>
        <v>12362.727272727272</v>
      </c>
      <c r="CK119" s="564">
        <f t="shared" si="151"/>
        <v>114355.22727272694</v>
      </c>
      <c r="CL119" s="590">
        <f>+CI$28*CK119+CJ119</f>
        <v>25522.099699852362</v>
      </c>
      <c r="CM119" s="589">
        <f>+CO118</f>
        <v>7134451.8207386471</v>
      </c>
      <c r="CN119" s="564">
        <f>+CM$31</f>
        <v>483691.64886363636</v>
      </c>
      <c r="CO119" s="564">
        <f t="shared" si="152"/>
        <v>6650760.1718750112</v>
      </c>
      <c r="CP119" s="590">
        <f>+CM$28*CO119+CN119</f>
        <v>1249024.6564791678</v>
      </c>
      <c r="CQ119" s="589">
        <f>+CS118</f>
        <v>29761605.473693192</v>
      </c>
      <c r="CR119" s="564">
        <f>+CQ$31</f>
        <v>2017735.9643181816</v>
      </c>
      <c r="CS119" s="564">
        <f t="shared" si="153"/>
        <v>27743869.50937501</v>
      </c>
      <c r="CT119" s="590">
        <f>+CQ$28*CS119+CR119</f>
        <v>5210348.3192629591</v>
      </c>
      <c r="CU119" s="589">
        <f>+CW118</f>
        <v>10142930.587500021</v>
      </c>
      <c r="CV119" s="564">
        <f>+CU$31</f>
        <v>676195.37250000006</v>
      </c>
      <c r="CW119" s="564">
        <f t="shared" si="154"/>
        <v>9466735.2150000203</v>
      </c>
      <c r="CX119" s="590">
        <f>+CU$28*CW119+CV119</f>
        <v>1765575.3451886303</v>
      </c>
      <c r="CY119" s="589">
        <f>+DA118</f>
        <v>11372.719886363644</v>
      </c>
      <c r="CZ119" s="564">
        <f>+CY$31</f>
        <v>733.72386363636497</v>
      </c>
      <c r="DA119" s="564">
        <f t="shared" si="42"/>
        <v>10638.996022727279</v>
      </c>
      <c r="DB119" s="590">
        <f>+CY$28*DA119+CZ119</f>
        <v>1958.0011813655969</v>
      </c>
      <c r="DC119" s="589">
        <f>+DE118</f>
        <v>679092.75909091101</v>
      </c>
      <c r="DD119" s="564">
        <f>+DC$31</f>
        <v>44530.672727272722</v>
      </c>
      <c r="DE119" s="564">
        <f t="shared" si="43"/>
        <v>634562.08636363829</v>
      </c>
      <c r="DF119" s="590">
        <f>+DC$28*DE119+DD119</f>
        <v>117552.59766890731</v>
      </c>
      <c r="DG119" s="589">
        <f>+DI118</f>
        <v>381911.85193181725</v>
      </c>
      <c r="DH119" s="564">
        <f>+DG$31</f>
        <v>24639.474318181816</v>
      </c>
      <c r="DI119" s="564">
        <f t="shared" si="44"/>
        <v>357272.37761363544</v>
      </c>
      <c r="DJ119" s="590">
        <f>+DG$28*DI119+DH119</f>
        <v>65752.420241761589</v>
      </c>
      <c r="DK119" s="589">
        <f>+DM118</f>
        <v>8336491.9344318248</v>
      </c>
      <c r="DL119" s="564">
        <f>+DK$31</f>
        <v>549658.80886363634</v>
      </c>
      <c r="DM119" s="564">
        <f t="shared" si="45"/>
        <v>7786833.1255681887</v>
      </c>
      <c r="DN119" s="590">
        <f>+DK$28*DM119+DL119</f>
        <v>1445724.8617327802</v>
      </c>
      <c r="DO119" s="589">
        <f>+DQ118</f>
        <v>316748.71246212092</v>
      </c>
      <c r="DP119" s="564">
        <f>+DO$31</f>
        <v>19592.703863636354</v>
      </c>
      <c r="DQ119" s="564">
        <f t="shared" si="134"/>
        <v>297156.00859848456</v>
      </c>
      <c r="DR119" s="590">
        <f>+DO$28*DQ119+DP119</f>
        <v>53787.787720883411</v>
      </c>
      <c r="DS119" s="589">
        <f>+DU118</f>
        <v>136879.91999999975</v>
      </c>
      <c r="DT119" s="564">
        <f>+DS$31</f>
        <v>8295.7527272726966</v>
      </c>
      <c r="DU119" s="564">
        <f t="shared" si="61"/>
        <v>128584.16727272705</v>
      </c>
      <c r="DV119" s="590">
        <f>+DS$28*DU119+DT119</f>
        <v>23092.513537673512</v>
      </c>
      <c r="DW119" s="589">
        <f>+DY118</f>
        <v>19853.655397727223</v>
      </c>
      <c r="DX119" s="564">
        <f>+DW$31</f>
        <v>1221.7634090909089</v>
      </c>
      <c r="DY119" s="564">
        <f t="shared" si="62"/>
        <v>18631.891988636315</v>
      </c>
      <c r="DZ119" s="590">
        <f>+DW$28*DY119+DX119</f>
        <v>3365.8193613010499</v>
      </c>
      <c r="EA119" s="589">
        <f>+EC118</f>
        <v>-120451.7685795463</v>
      </c>
      <c r="EB119" s="564">
        <f>+EA$31</f>
        <v>-7120.3015909091364</v>
      </c>
      <c r="EC119" s="564">
        <f t="shared" si="63"/>
        <v>-113331.46698863717</v>
      </c>
      <c r="ED119" s="590">
        <f>+EA$28*EC119+EB119</f>
        <v>-20161.865298872599</v>
      </c>
      <c r="EE119" s="589">
        <f>+EG118</f>
        <v>3538002.6618181756</v>
      </c>
      <c r="EF119" s="564">
        <f>+EE$31</f>
        <v>192108.74181818182</v>
      </c>
      <c r="EG119" s="564">
        <f t="shared" si="72"/>
        <v>3345893.9199999939</v>
      </c>
      <c r="EH119" s="590">
        <f>+EE$28*EG119+EF119</f>
        <v>577135.86515139102</v>
      </c>
      <c r="EI119" s="589">
        <f>+EK118</f>
        <v>144449.85609848466</v>
      </c>
      <c r="EJ119" s="564">
        <f>+EI$31</f>
        <v>7669.903863636363</v>
      </c>
      <c r="EK119" s="564">
        <f t="shared" si="74"/>
        <v>136779.95223484829</v>
      </c>
      <c r="EL119" s="590">
        <f>+EI$28*EK119+EJ119</f>
        <v>23409.790661552983</v>
      </c>
      <c r="EM119" s="589">
        <f>+EO118</f>
        <v>4951543.3204545509</v>
      </c>
      <c r="EN119" s="564">
        <f>+EM$31</f>
        <v>260607.54318181818</v>
      </c>
      <c r="EO119" s="564">
        <f t="shared" si="76"/>
        <v>4690935.7772727329</v>
      </c>
      <c r="EP119" s="590">
        <f>+EM$28*EO119+EN119</f>
        <v>800414.7072009797</v>
      </c>
      <c r="EQ119" s="678">
        <f t="shared" si="94"/>
        <v>18843321.249422766</v>
      </c>
      <c r="ER119" s="652"/>
      <c r="ES119" s="674">
        <f>+EQ119</f>
        <v>18843321.249422766</v>
      </c>
      <c r="EV119" s="589"/>
      <c r="EW119" s="564"/>
      <c r="EX119" s="564"/>
      <c r="EY119" s="590"/>
      <c r="EZ119" s="589"/>
      <c r="FA119" s="564"/>
      <c r="FB119" s="564"/>
      <c r="FC119" s="590"/>
      <c r="FD119" s="589"/>
      <c r="FE119" s="564"/>
      <c r="FF119" s="564"/>
      <c r="FG119" s="590"/>
      <c r="FH119" s="589"/>
      <c r="FI119" s="564"/>
      <c r="FJ119" s="564"/>
      <c r="FK119" s="590"/>
      <c r="FL119" s="589"/>
      <c r="FM119" s="564"/>
      <c r="FN119" s="564"/>
      <c r="FO119" s="590"/>
      <c r="FP119" s="589"/>
      <c r="FQ119" s="564"/>
      <c r="FR119" s="564"/>
      <c r="FS119" s="590"/>
      <c r="FT119" s="589"/>
      <c r="FU119" s="564"/>
      <c r="FV119" s="564"/>
      <c r="FW119" s="590"/>
      <c r="FX119" s="589"/>
      <c r="FY119" s="564"/>
      <c r="FZ119" s="564"/>
      <c r="GA119" s="590"/>
      <c r="GB119" s="589"/>
      <c r="GC119" s="564"/>
      <c r="GD119" s="564"/>
      <c r="GE119" s="590"/>
      <c r="GF119" s="589"/>
      <c r="GG119" s="564"/>
      <c r="GH119" s="564"/>
      <c r="GI119" s="590"/>
      <c r="GJ119" s="589"/>
      <c r="GK119" s="564"/>
      <c r="GL119" s="564"/>
      <c r="GM119" s="590"/>
      <c r="GN119" s="589"/>
      <c r="GO119" s="564"/>
      <c r="GP119" s="564"/>
      <c r="GQ119" s="590"/>
      <c r="GR119" s="589"/>
      <c r="GS119" s="564"/>
      <c r="GT119" s="564"/>
      <c r="GU119" s="590"/>
      <c r="GV119" s="672"/>
      <c r="GW119" s="676"/>
      <c r="GX119" s="676"/>
      <c r="GY119" s="1366"/>
      <c r="GZ119" s="1367"/>
      <c r="HA119" s="1373"/>
      <c r="HB119" s="1373"/>
      <c r="HC119" s="1366"/>
      <c r="HD119" s="1367"/>
      <c r="HE119" s="1373"/>
      <c r="HF119" s="1373"/>
      <c r="HG119" s="1366"/>
      <c r="HI119" s="589"/>
      <c r="HJ119" s="564"/>
      <c r="HK119" s="564"/>
      <c r="HL119" s="590"/>
      <c r="HM119" s="589"/>
      <c r="HN119" s="564"/>
      <c r="HO119" s="564"/>
      <c r="HP119" s="590"/>
      <c r="HQ119" s="589"/>
      <c r="HR119" s="564"/>
      <c r="HS119" s="564"/>
      <c r="HT119" s="590"/>
    </row>
    <row r="120" spans="1:228">
      <c r="A120" s="649" t="s">
        <v>23</v>
      </c>
      <c r="B120" s="670">
        <v>2046</v>
      </c>
      <c r="C120" s="671">
        <f>+C119</f>
        <v>3009095.892613627</v>
      </c>
      <c r="D120" s="671">
        <f>+D119</f>
        <v>445791.98409090913</v>
      </c>
      <c r="E120" s="671">
        <f t="shared" si="136"/>
        <v>2563303.9085227177</v>
      </c>
      <c r="F120" s="653">
        <f>+C$29*E120+D120</f>
        <v>756407.05466967297</v>
      </c>
      <c r="G120" s="671">
        <f>+G119</f>
        <v>752964.87204545271</v>
      </c>
      <c r="H120" s="671">
        <f>+H119</f>
        <v>115840.74954545456</v>
      </c>
      <c r="I120" s="671">
        <f t="shared" si="137"/>
        <v>637124.12249999819</v>
      </c>
      <c r="J120" s="653">
        <f>+G$29*I120+H120</f>
        <v>193045.93525120406</v>
      </c>
      <c r="K120" s="672">
        <f>+K119</f>
        <v>1756163.6265340876</v>
      </c>
      <c r="L120" s="671">
        <f>+L119</f>
        <v>305419.76113636367</v>
      </c>
      <c r="M120" s="671">
        <f t="shared" si="138"/>
        <v>1450743.8653977239</v>
      </c>
      <c r="N120" s="653">
        <f>+K$29*M120+L120</f>
        <v>481217.45201646129</v>
      </c>
      <c r="O120" s="672">
        <f>+O119</f>
        <v>934644.49242423894</v>
      </c>
      <c r="P120" s="671">
        <f>+P119</f>
        <v>119316.31818181818</v>
      </c>
      <c r="Q120" s="671">
        <f t="shared" si="139"/>
        <v>815328.17424242082</v>
      </c>
      <c r="R120" s="653">
        <f>+O$29*Q120+P120</f>
        <v>218115.84700285408</v>
      </c>
      <c r="S120" s="589">
        <f>+S119</f>
        <v>359613.51696969382</v>
      </c>
      <c r="T120" s="564">
        <f>+T119</f>
        <v>58315.705454545445</v>
      </c>
      <c r="U120" s="564">
        <f t="shared" si="140"/>
        <v>301297.81151514838</v>
      </c>
      <c r="V120" s="590">
        <f>+S$29*U120+T120</f>
        <v>94826.257589169734</v>
      </c>
      <c r="W120" s="589">
        <f>+W119</f>
        <v>5430799.9734848589</v>
      </c>
      <c r="X120" s="564">
        <f>+X119</f>
        <v>693293.61363636365</v>
      </c>
      <c r="Y120" s="564">
        <f t="shared" si="141"/>
        <v>4737506.3598484956</v>
      </c>
      <c r="Z120" s="590">
        <f>+W$29*Y120+X120</f>
        <v>1267373.36572466</v>
      </c>
      <c r="AA120" s="589">
        <f>+AA119</f>
        <v>3569096.9223484825</v>
      </c>
      <c r="AB120" s="564">
        <f>+AB119</f>
        <v>450833.29545454547</v>
      </c>
      <c r="AC120" s="564">
        <f t="shared" si="142"/>
        <v>3118263.6268939371</v>
      </c>
      <c r="AD120" s="590">
        <f>+AA$29*AC120+AB120</f>
        <v>828697.06468238705</v>
      </c>
      <c r="AE120" s="589">
        <f>+AE119</f>
        <v>34484.147727272793</v>
      </c>
      <c r="AF120" s="564">
        <f>+AF119</f>
        <v>4597.886363636364</v>
      </c>
      <c r="AG120" s="564">
        <f t="shared" si="143"/>
        <v>29886.261363636429</v>
      </c>
      <c r="AH120" s="590">
        <f>+AE$29*AG120+AF120</f>
        <v>8219.4324284380818</v>
      </c>
      <c r="AI120" s="589">
        <f>+AI119</f>
        <v>2610668.9810606111</v>
      </c>
      <c r="AJ120" s="564">
        <f>+AJ119</f>
        <v>295547.43181818182</v>
      </c>
      <c r="AK120" s="564">
        <f t="shared" si="147"/>
        <v>2315121.5492424294</v>
      </c>
      <c r="AL120" s="590">
        <f>+AI$29*AK120+AJ120</f>
        <v>576088.35442411364</v>
      </c>
      <c r="AM120" s="589">
        <f>+AM119</f>
        <v>942368.78329545481</v>
      </c>
      <c r="AN120" s="564">
        <f>+AN119</f>
        <v>110866.91568181818</v>
      </c>
      <c r="AO120" s="564">
        <f t="shared" si="144"/>
        <v>831501.86761363666</v>
      </c>
      <c r="AP120" s="590">
        <f>+AM$29*AO120+AN120</f>
        <v>211626.33419494866</v>
      </c>
      <c r="AQ120" s="589">
        <f>+AQ119</f>
        <v>7918157.0761363646</v>
      </c>
      <c r="AR120" s="564">
        <f>+AR119</f>
        <v>904932.23727272719</v>
      </c>
      <c r="AS120" s="564">
        <f t="shared" si="145"/>
        <v>7013224.8388636373</v>
      </c>
      <c r="AT120" s="590">
        <f>+AQ$29*AS120+AR120</f>
        <v>1754778.1416406687</v>
      </c>
      <c r="AU120" s="671"/>
      <c r="AV120" s="671"/>
      <c r="AW120" s="671"/>
      <c r="AX120" s="653"/>
      <c r="AY120" s="671"/>
      <c r="AZ120" s="671"/>
      <c r="BA120" s="671"/>
      <c r="BB120" s="653"/>
      <c r="BC120" s="671"/>
      <c r="BD120" s="671"/>
      <c r="BE120" s="671"/>
      <c r="BF120" s="653"/>
      <c r="BG120" s="671"/>
      <c r="BH120" s="671"/>
      <c r="BI120" s="671"/>
      <c r="BJ120" s="653"/>
      <c r="BK120" s="671"/>
      <c r="BL120" s="671"/>
      <c r="BM120" s="671"/>
      <c r="BN120" s="653"/>
      <c r="BO120" s="671"/>
      <c r="BP120" s="671"/>
      <c r="BQ120" s="671"/>
      <c r="BR120" s="653"/>
      <c r="BS120" s="589">
        <f>+BS119</f>
        <v>74797.977272727541</v>
      </c>
      <c r="BT120" s="564">
        <f>+BT119</f>
        <v>8310.886363636364</v>
      </c>
      <c r="BU120" s="564">
        <f t="shared" si="146"/>
        <v>66487.090909091174</v>
      </c>
      <c r="BV120" s="590">
        <f>+BS$29*BU120+BT120</f>
        <v>16367.633894289542</v>
      </c>
      <c r="BW120" s="589">
        <f>+BW119</f>
        <v>5335781.3522727434</v>
      </c>
      <c r="BX120" s="564">
        <f>+BX119</f>
        <v>576841.22727272729</v>
      </c>
      <c r="BY120" s="564">
        <f t="shared" si="148"/>
        <v>4758940.1250000158</v>
      </c>
      <c r="BZ120" s="590">
        <f>+BW$29*BY120+BX120</f>
        <v>1124473.9586905071</v>
      </c>
      <c r="CA120" s="589">
        <f>+CA119</f>
        <v>503513.76000000135</v>
      </c>
      <c r="CB120" s="564">
        <f>+CB119</f>
        <v>54433.919999999998</v>
      </c>
      <c r="CC120" s="564">
        <f t="shared" si="149"/>
        <v>449079.84000000136</v>
      </c>
      <c r="CD120" s="590">
        <f>+CA$29*CC120+CB120</f>
        <v>108852.34683316149</v>
      </c>
      <c r="CE120" s="589">
        <f>+CE119</f>
        <v>43706.5190909093</v>
      </c>
      <c r="CF120" s="564">
        <f>+CF119</f>
        <v>4725.0290909090909</v>
      </c>
      <c r="CG120" s="564">
        <f t="shared" si="150"/>
        <v>38981.490000000209</v>
      </c>
      <c r="CH120" s="590">
        <f>+CE$29*CG120+CF120</f>
        <v>9448.7133280207399</v>
      </c>
      <c r="CI120" s="589">
        <f>+CI119</f>
        <v>126717.95454545421</v>
      </c>
      <c r="CJ120" s="564">
        <f>+CJ119</f>
        <v>12362.727272727272</v>
      </c>
      <c r="CK120" s="564">
        <f t="shared" si="151"/>
        <v>114355.22727272694</v>
      </c>
      <c r="CL120" s="590">
        <f>+CI$29*CK120+CJ120</f>
        <v>25522.099699852362</v>
      </c>
      <c r="CM120" s="589">
        <f>+CM119</f>
        <v>7134451.8207386471</v>
      </c>
      <c r="CN120" s="564">
        <f>+CN119</f>
        <v>483691.64886363636</v>
      </c>
      <c r="CO120" s="564">
        <f t="shared" si="152"/>
        <v>6650760.1718750112</v>
      </c>
      <c r="CP120" s="590">
        <f>+CM$29*CO120+CN120</f>
        <v>1249024.6564791678</v>
      </c>
      <c r="CQ120" s="589">
        <f>+CQ119</f>
        <v>29761605.473693192</v>
      </c>
      <c r="CR120" s="564">
        <f>+CR119</f>
        <v>2017735.9643181816</v>
      </c>
      <c r="CS120" s="564">
        <f t="shared" si="153"/>
        <v>27743869.50937501</v>
      </c>
      <c r="CT120" s="590">
        <f>+CQ$29*CS120+CR120</f>
        <v>5210348.3192629591</v>
      </c>
      <c r="CU120" s="589">
        <f>+CU119</f>
        <v>10142930.587500021</v>
      </c>
      <c r="CV120" s="564">
        <f>+CV119</f>
        <v>676195.37250000006</v>
      </c>
      <c r="CW120" s="564">
        <f t="shared" si="154"/>
        <v>9466735.2150000203</v>
      </c>
      <c r="CX120" s="590">
        <f>+CU$29*CW120+CV120</f>
        <v>1765575.3451886303</v>
      </c>
      <c r="CY120" s="589">
        <f>+CY119</f>
        <v>11372.719886363644</v>
      </c>
      <c r="CZ120" s="564">
        <f>+CZ119</f>
        <v>733.72386363636497</v>
      </c>
      <c r="DA120" s="564">
        <f t="shared" si="42"/>
        <v>10638.996022727279</v>
      </c>
      <c r="DB120" s="590">
        <f>+CY$29*DA120+CZ120</f>
        <v>1958.0011813655969</v>
      </c>
      <c r="DC120" s="589">
        <f>+DC119</f>
        <v>679092.75909091101</v>
      </c>
      <c r="DD120" s="564">
        <f>+DD119</f>
        <v>44530.672727272722</v>
      </c>
      <c r="DE120" s="564">
        <f t="shared" si="43"/>
        <v>634562.08636363829</v>
      </c>
      <c r="DF120" s="590">
        <f>+DC$29*DE120+DD120</f>
        <v>117552.59766890731</v>
      </c>
      <c r="DG120" s="589">
        <f>+DG119</f>
        <v>381911.85193181725</v>
      </c>
      <c r="DH120" s="564">
        <f>+DH119</f>
        <v>24639.474318181816</v>
      </c>
      <c r="DI120" s="564">
        <f t="shared" si="44"/>
        <v>357272.37761363544</v>
      </c>
      <c r="DJ120" s="590">
        <f>+DG$29*DI120+DH120</f>
        <v>65752.420241761589</v>
      </c>
      <c r="DK120" s="589">
        <f>+DK119</f>
        <v>8336491.9344318248</v>
      </c>
      <c r="DL120" s="564">
        <f>+DL119</f>
        <v>549658.80886363634</v>
      </c>
      <c r="DM120" s="564">
        <f t="shared" si="45"/>
        <v>7786833.1255681887</v>
      </c>
      <c r="DN120" s="590">
        <f>+DK$29*DM120+DL120</f>
        <v>1445724.8617327802</v>
      </c>
      <c r="DO120" s="589">
        <f>+DO119</f>
        <v>316748.71246212092</v>
      </c>
      <c r="DP120" s="564">
        <f>+DP119</f>
        <v>19592.703863636354</v>
      </c>
      <c r="DQ120" s="564">
        <f t="shared" si="134"/>
        <v>297156.00859848456</v>
      </c>
      <c r="DR120" s="590">
        <f>+DO$29*DQ120+DP120</f>
        <v>53787.787720883411</v>
      </c>
      <c r="DS120" s="589">
        <f>+DS119</f>
        <v>136879.91999999975</v>
      </c>
      <c r="DT120" s="564">
        <f>+DT119</f>
        <v>8295.7527272726966</v>
      </c>
      <c r="DU120" s="564">
        <f t="shared" si="61"/>
        <v>128584.16727272705</v>
      </c>
      <c r="DV120" s="590">
        <f>+DS$29*DU120+DT120</f>
        <v>23092.513537673512</v>
      </c>
      <c r="DW120" s="589">
        <f>+DW119</f>
        <v>19853.655397727223</v>
      </c>
      <c r="DX120" s="564">
        <f>+DX119</f>
        <v>1221.7634090909089</v>
      </c>
      <c r="DY120" s="564">
        <f t="shared" si="62"/>
        <v>18631.891988636315</v>
      </c>
      <c r="DZ120" s="590">
        <f>+DW$29*DY120+DX120</f>
        <v>3365.8193613010499</v>
      </c>
      <c r="EA120" s="589">
        <f>+EA119</f>
        <v>-120451.7685795463</v>
      </c>
      <c r="EB120" s="564">
        <f>+EB119</f>
        <v>-7120.3015909091364</v>
      </c>
      <c r="EC120" s="564">
        <f t="shared" si="63"/>
        <v>-113331.46698863717</v>
      </c>
      <c r="ED120" s="590">
        <f>+EA$29*EC120+EB120</f>
        <v>-20161.865298872599</v>
      </c>
      <c r="EE120" s="589">
        <f>+EE119</f>
        <v>3538002.6618181756</v>
      </c>
      <c r="EF120" s="564">
        <f>+EF119</f>
        <v>192108.74181818182</v>
      </c>
      <c r="EG120" s="564">
        <f t="shared" si="72"/>
        <v>3345893.9199999939</v>
      </c>
      <c r="EH120" s="590">
        <f>+EE$29*EG120+EF120</f>
        <v>577135.86515139102</v>
      </c>
      <c r="EI120" s="589">
        <f>+EI119</f>
        <v>144449.85609848466</v>
      </c>
      <c r="EJ120" s="564">
        <f>+EJ119</f>
        <v>7669.903863636363</v>
      </c>
      <c r="EK120" s="564">
        <f t="shared" si="74"/>
        <v>136779.95223484829</v>
      </c>
      <c r="EL120" s="590">
        <f>+EI$29*EK120+EJ120</f>
        <v>23409.790661552983</v>
      </c>
      <c r="EM120" s="589">
        <f>+EM119</f>
        <v>4951543.3204545509</v>
      </c>
      <c r="EN120" s="564">
        <f>+EN119</f>
        <v>260607.54318181818</v>
      </c>
      <c r="EO120" s="564">
        <f t="shared" si="76"/>
        <v>4690935.7772727329</v>
      </c>
      <c r="EP120" s="590">
        <f>+EM$29*EO120+EN120</f>
        <v>800414.7072009797</v>
      </c>
      <c r="EQ120" s="678">
        <f t="shared" si="94"/>
        <v>18992040.812160894</v>
      </c>
      <c r="ER120" s="675">
        <f>+EQ120</f>
        <v>18992040.812160894</v>
      </c>
      <c r="ES120" s="648"/>
      <c r="EV120" s="589"/>
      <c r="EW120" s="564"/>
      <c r="EX120" s="564"/>
      <c r="EY120" s="590"/>
      <c r="EZ120" s="589"/>
      <c r="FA120" s="564"/>
      <c r="FB120" s="564"/>
      <c r="FC120" s="590"/>
      <c r="FD120" s="589"/>
      <c r="FE120" s="564"/>
      <c r="FF120" s="564"/>
      <c r="FG120" s="590"/>
      <c r="FH120" s="589"/>
      <c r="FI120" s="564"/>
      <c r="FJ120" s="564"/>
      <c r="FK120" s="590"/>
      <c r="FL120" s="589"/>
      <c r="FM120" s="564"/>
      <c r="FN120" s="564"/>
      <c r="FO120" s="590"/>
      <c r="FP120" s="589"/>
      <c r="FQ120" s="564"/>
      <c r="FR120" s="564"/>
      <c r="FS120" s="590"/>
      <c r="FT120" s="589"/>
      <c r="FU120" s="564"/>
      <c r="FV120" s="564"/>
      <c r="FW120" s="590"/>
      <c r="FX120" s="589"/>
      <c r="FY120" s="564"/>
      <c r="FZ120" s="564"/>
      <c r="GA120" s="590"/>
      <c r="GB120" s="589"/>
      <c r="GC120" s="564"/>
      <c r="GD120" s="564"/>
      <c r="GE120" s="590"/>
      <c r="GF120" s="589"/>
      <c r="GG120" s="564"/>
      <c r="GH120" s="564"/>
      <c r="GI120" s="590"/>
      <c r="GJ120" s="589"/>
      <c r="GK120" s="564"/>
      <c r="GL120" s="564"/>
      <c r="GM120" s="590"/>
      <c r="GN120" s="589"/>
      <c r="GO120" s="564"/>
      <c r="GP120" s="564"/>
      <c r="GQ120" s="590"/>
      <c r="GR120" s="589"/>
      <c r="GS120" s="564"/>
      <c r="GT120" s="564"/>
      <c r="GU120" s="590"/>
      <c r="GV120" s="672"/>
      <c r="GW120" s="676"/>
      <c r="GX120" s="676"/>
      <c r="GY120" s="1366"/>
      <c r="GZ120" s="1367"/>
      <c r="HA120" s="1373"/>
      <c r="HB120" s="1373"/>
      <c r="HC120" s="1366"/>
      <c r="HD120" s="1367"/>
      <c r="HE120" s="1373"/>
      <c r="HF120" s="1373"/>
      <c r="HG120" s="1366"/>
      <c r="HI120" s="589"/>
      <c r="HJ120" s="564"/>
      <c r="HK120" s="564"/>
      <c r="HL120" s="590"/>
      <c r="HM120" s="589"/>
      <c r="HN120" s="564"/>
      <c r="HO120" s="564"/>
      <c r="HP120" s="590"/>
      <c r="HQ120" s="589"/>
      <c r="HR120" s="564"/>
      <c r="HS120" s="564"/>
      <c r="HT120" s="590"/>
    </row>
    <row r="121" spans="1:228">
      <c r="A121" s="649" t="s">
        <v>24</v>
      </c>
      <c r="B121" s="670">
        <v>2047</v>
      </c>
      <c r="C121" s="671">
        <f>+E120</f>
        <v>2563303.9085227177</v>
      </c>
      <c r="D121" s="671">
        <f>+C$31</f>
        <v>445791.98409090913</v>
      </c>
      <c r="E121" s="671">
        <f t="shared" si="136"/>
        <v>2117511.9244318083</v>
      </c>
      <c r="F121" s="653">
        <f>+C$28*E121+D121</f>
        <v>689463.64385702286</v>
      </c>
      <c r="G121" s="671">
        <f>+I120</f>
        <v>637124.12249999819</v>
      </c>
      <c r="H121" s="671">
        <f>+G$31</f>
        <v>115840.74954545456</v>
      </c>
      <c r="I121" s="671">
        <f t="shared" si="137"/>
        <v>521283.37295454362</v>
      </c>
      <c r="J121" s="653">
        <f>+G$28*I121+H121</f>
        <v>175827.18137175727</v>
      </c>
      <c r="K121" s="672">
        <f>+M120</f>
        <v>1450743.8653977239</v>
      </c>
      <c r="L121" s="671">
        <f>+K$31</f>
        <v>305419.76113636367</v>
      </c>
      <c r="M121" s="671">
        <f t="shared" si="138"/>
        <v>1145324.1042613601</v>
      </c>
      <c r="N121" s="653">
        <f>+K$28*M121+L121</f>
        <v>437217.37806378165</v>
      </c>
      <c r="O121" s="672">
        <f>+Q120</f>
        <v>815328.17424242082</v>
      </c>
      <c r="P121" s="671">
        <f>+O$31</f>
        <v>119316.31818181818</v>
      </c>
      <c r="Q121" s="671">
        <f t="shared" si="139"/>
        <v>696011.8560606027</v>
      </c>
      <c r="R121" s="653">
        <f>+O$28*Q121+P121</f>
        <v>199409.54562784015</v>
      </c>
      <c r="S121" s="589">
        <f>+U120</f>
        <v>301297.81151514838</v>
      </c>
      <c r="T121" s="564">
        <f>+S$31</f>
        <v>58315.705454545445</v>
      </c>
      <c r="U121" s="564">
        <f t="shared" si="140"/>
        <v>242982.10606060294</v>
      </c>
      <c r="V121" s="590">
        <f>+S$28*U121+T121</f>
        <v>86276.753699003486</v>
      </c>
      <c r="W121" s="589">
        <f>+Y120</f>
        <v>4737506.3598484956</v>
      </c>
      <c r="X121" s="564">
        <f>+W$31</f>
        <v>693293.61363636365</v>
      </c>
      <c r="Y121" s="564">
        <f t="shared" si="141"/>
        <v>4044212.7462121318</v>
      </c>
      <c r="Z121" s="590">
        <f>+W$28*Y121+X121</f>
        <v>1158679.4378891415</v>
      </c>
      <c r="AA121" s="589">
        <f>+AC120</f>
        <v>3118263.6268939371</v>
      </c>
      <c r="AB121" s="564">
        <f>+AA$31</f>
        <v>450833.29545454547</v>
      </c>
      <c r="AC121" s="564">
        <f t="shared" si="142"/>
        <v>2667430.3314393917</v>
      </c>
      <c r="AD121" s="590">
        <f>+AA$28*AC121+AB121</f>
        <v>757786.54973041918</v>
      </c>
      <c r="AE121" s="589">
        <f>+AG120</f>
        <v>29886.261363636429</v>
      </c>
      <c r="AF121" s="564">
        <f>+AE$31</f>
        <v>4597.886363636364</v>
      </c>
      <c r="AG121" s="564">
        <f t="shared" si="143"/>
        <v>25288.375000000065</v>
      </c>
      <c r="AH121" s="590">
        <f>+AE$28*AG121+AF121</f>
        <v>7507.9338764461809</v>
      </c>
      <c r="AI121" s="589">
        <f>+AK120</f>
        <v>2315121.5492424294</v>
      </c>
      <c r="AJ121" s="564">
        <f>+AI$31</f>
        <v>295547.43181818182</v>
      </c>
      <c r="AK121" s="564">
        <f t="shared" si="147"/>
        <v>2019574.1174242476</v>
      </c>
      <c r="AL121" s="590">
        <f>+AI$28*AK121+AJ121</f>
        <v>527948.94584767148</v>
      </c>
      <c r="AM121" s="589">
        <f>+AO120</f>
        <v>831501.86761363666</v>
      </c>
      <c r="AN121" s="564">
        <f>+AM$31</f>
        <v>110866.91568181818</v>
      </c>
      <c r="AO121" s="564">
        <f t="shared" si="144"/>
        <v>720634.9519318185</v>
      </c>
      <c r="AP121" s="590">
        <f>+AM$28*AO121+AN121</f>
        <v>193793.63396691973</v>
      </c>
      <c r="AQ121" s="589">
        <f>+AS120</f>
        <v>7013224.8388636373</v>
      </c>
      <c r="AR121" s="564">
        <f>+AQ$31</f>
        <v>904932.23727272719</v>
      </c>
      <c r="AS121" s="564">
        <f t="shared" si="145"/>
        <v>6108292.60159091</v>
      </c>
      <c r="AT121" s="590">
        <f>+AQ$28*AS121+AR121</f>
        <v>1607841.0518080299</v>
      </c>
      <c r="AU121" s="671"/>
      <c r="AV121" s="671"/>
      <c r="AW121" s="671"/>
      <c r="AX121" s="653"/>
      <c r="AY121" s="671"/>
      <c r="AZ121" s="671"/>
      <c r="BA121" s="671"/>
      <c r="BB121" s="653"/>
      <c r="BC121" s="671"/>
      <c r="BD121" s="671"/>
      <c r="BE121" s="671"/>
      <c r="BF121" s="653"/>
      <c r="BG121" s="671"/>
      <c r="BH121" s="671"/>
      <c r="BI121" s="671"/>
      <c r="BJ121" s="653"/>
      <c r="BK121" s="671"/>
      <c r="BL121" s="671"/>
      <c r="BM121" s="671"/>
      <c r="BN121" s="653"/>
      <c r="BO121" s="671"/>
      <c r="BP121" s="671"/>
      <c r="BQ121" s="671"/>
      <c r="BR121" s="653"/>
      <c r="BS121" s="589">
        <f>+BU120</f>
        <v>66487.090909091174</v>
      </c>
      <c r="BT121" s="564">
        <f>+BS$31</f>
        <v>8310.886363636364</v>
      </c>
      <c r="BU121" s="564">
        <f t="shared" si="146"/>
        <v>58176.204545454806</v>
      </c>
      <c r="BV121" s="590">
        <f>+BS$28*BU121+BT121</f>
        <v>15005.484942715306</v>
      </c>
      <c r="BW121" s="589">
        <f>+BY120</f>
        <v>4758940.1250000158</v>
      </c>
      <c r="BX121" s="564">
        <f>+BW$31</f>
        <v>576841.22727272729</v>
      </c>
      <c r="BY121" s="564">
        <f t="shared" si="148"/>
        <v>4182098.8977272883</v>
      </c>
      <c r="BZ121" s="590">
        <f>+BW$28*BY121+BX121</f>
        <v>1058094.2336701704</v>
      </c>
      <c r="CA121" s="589">
        <f>+CC120</f>
        <v>449079.84000000136</v>
      </c>
      <c r="CB121" s="564">
        <f>+CA$31</f>
        <v>54433.919999999998</v>
      </c>
      <c r="CC121" s="564">
        <f t="shared" si="149"/>
        <v>394645.92000000138</v>
      </c>
      <c r="CD121" s="590">
        <f>+CA$28*CC121+CB121</f>
        <v>99847.608223800169</v>
      </c>
      <c r="CE121" s="589">
        <f>+CG120</f>
        <v>38981.490000000209</v>
      </c>
      <c r="CF121" s="564">
        <f>+CE$31</f>
        <v>4725.0290909090909</v>
      </c>
      <c r="CG121" s="564">
        <f t="shared" si="150"/>
        <v>34256.460909091118</v>
      </c>
      <c r="CH121" s="590">
        <f>+CE$28*CG121+CF121</f>
        <v>8667.0747488909528</v>
      </c>
      <c r="CI121" s="589">
        <f>+CK120</f>
        <v>114355.22727272694</v>
      </c>
      <c r="CJ121" s="564">
        <f>+CI$31</f>
        <v>12362.727272727272</v>
      </c>
      <c r="CK121" s="564">
        <f t="shared" si="151"/>
        <v>101992.49999999968</v>
      </c>
      <c r="CL121" s="590">
        <f>+CI$28*CK121+CJ121</f>
        <v>24099.464842865862</v>
      </c>
      <c r="CM121" s="589">
        <f>+CO120</f>
        <v>6650760.1718750112</v>
      </c>
      <c r="CN121" s="564">
        <f>+CM$31</f>
        <v>483691.64886363636</v>
      </c>
      <c r="CO121" s="564">
        <f t="shared" si="152"/>
        <v>6167068.5230113752</v>
      </c>
      <c r="CP121" s="590">
        <f>+CM$28*CO121+CN121</f>
        <v>1193364.0741071294</v>
      </c>
      <c r="CQ121" s="589">
        <f>+CS120</f>
        <v>27743869.50937501</v>
      </c>
      <c r="CR121" s="564">
        <f>+CQ$31</f>
        <v>2017735.9643181816</v>
      </c>
      <c r="CS121" s="564">
        <f t="shared" si="153"/>
        <v>25726133.545056827</v>
      </c>
      <c r="CT121" s="590">
        <f>+CQ$28*CS121+CR121</f>
        <v>4978158.3298124298</v>
      </c>
      <c r="CU121" s="589">
        <f>+CW120</f>
        <v>9466735.2150000203</v>
      </c>
      <c r="CV121" s="564">
        <f>+CU$31</f>
        <v>676195.37250000006</v>
      </c>
      <c r="CW121" s="564">
        <f t="shared" si="154"/>
        <v>8790539.8425000198</v>
      </c>
      <c r="CX121" s="590">
        <f>+CU$28*CW121+CV121</f>
        <v>1687762.4899965855</v>
      </c>
      <c r="CY121" s="589">
        <f>+DA120</f>
        <v>10638.996022727279</v>
      </c>
      <c r="CZ121" s="564">
        <f>+CY$31</f>
        <v>733.72386363636497</v>
      </c>
      <c r="DA121" s="564">
        <f t="shared" si="42"/>
        <v>9905.2721590909132</v>
      </c>
      <c r="DB121" s="590">
        <f>+CY$28*DA121+CZ121</f>
        <v>1873.5682629015118</v>
      </c>
      <c r="DC121" s="589">
        <f>+DE120</f>
        <v>634562.08636363829</v>
      </c>
      <c r="DD121" s="564">
        <f>+DC$31</f>
        <v>44530.672727272722</v>
      </c>
      <c r="DE121" s="564">
        <f t="shared" si="43"/>
        <v>590031.41363636556</v>
      </c>
      <c r="DF121" s="590">
        <f>+DC$28*DE121+DD121</f>
        <v>112428.25205896806</v>
      </c>
      <c r="DG121" s="589">
        <f>+DI120</f>
        <v>357272.37761363544</v>
      </c>
      <c r="DH121" s="564">
        <f>+DG$31</f>
        <v>24639.474318181816</v>
      </c>
      <c r="DI121" s="564">
        <f t="shared" si="44"/>
        <v>332632.90329545364</v>
      </c>
      <c r="DJ121" s="590">
        <f>+DG$28*DI121+DH121</f>
        <v>62917.04466082505</v>
      </c>
      <c r="DK121" s="589">
        <f>+DM120</f>
        <v>7786833.1255681887</v>
      </c>
      <c r="DL121" s="564">
        <f>+DK$31</f>
        <v>549658.80886363634</v>
      </c>
      <c r="DM121" s="564">
        <f t="shared" si="45"/>
        <v>7237174.3167045526</v>
      </c>
      <c r="DN121" s="590">
        <f>+DK$28*DM121+DL121</f>
        <v>1382473.1403537821</v>
      </c>
      <c r="DO121" s="589">
        <f>+DQ120</f>
        <v>297156.00859848456</v>
      </c>
      <c r="DP121" s="564">
        <f>+DO$31</f>
        <v>19592.703863636354</v>
      </c>
      <c r="DQ121" s="564">
        <f t="shared" si="134"/>
        <v>277563.30473484821</v>
      </c>
      <c r="DR121" s="590">
        <f>+DO$28*DQ121+DP121</f>
        <v>51533.166807218775</v>
      </c>
      <c r="DS121" s="589">
        <f>+DU120</f>
        <v>128584.16727272705</v>
      </c>
      <c r="DT121" s="564">
        <f>+DS$31</f>
        <v>8295.7527272726966</v>
      </c>
      <c r="DU121" s="564">
        <f t="shared" si="61"/>
        <v>120288.41454545435</v>
      </c>
      <c r="DV121" s="590">
        <f>+DS$28*DU121+DT121</f>
        <v>22137.883807970236</v>
      </c>
      <c r="DW121" s="589">
        <f>+DY120</f>
        <v>18631.891988636315</v>
      </c>
      <c r="DX121" s="564">
        <f>+DW$31</f>
        <v>1221.7634090909089</v>
      </c>
      <c r="DY121" s="564">
        <f t="shared" si="62"/>
        <v>17410.128579545406</v>
      </c>
      <c r="DZ121" s="590">
        <f>+DW$28*DY121+DX121</f>
        <v>3225.2255283692366</v>
      </c>
      <c r="EA121" s="589">
        <f>+EC120</f>
        <v>-113331.46698863717</v>
      </c>
      <c r="EB121" s="564">
        <f>+EA$31</f>
        <v>-7120.3015909091364</v>
      </c>
      <c r="EC121" s="564">
        <f t="shared" si="63"/>
        <v>-106211.16539772804</v>
      </c>
      <c r="ED121" s="590">
        <f>+EA$28*EC121+EB121</f>
        <v>-19342.500039733535</v>
      </c>
      <c r="EE121" s="589">
        <f>+EG120</f>
        <v>3345893.9199999939</v>
      </c>
      <c r="EF121" s="564">
        <f>+EE$31</f>
        <v>192108.74181818182</v>
      </c>
      <c r="EG121" s="564">
        <f t="shared" si="72"/>
        <v>3153785.1781818122</v>
      </c>
      <c r="EH121" s="590">
        <f>+EE$28*EG121+EF121</f>
        <v>555029.04467292922</v>
      </c>
      <c r="EI121" s="589">
        <f>+EK120</f>
        <v>136779.95223484829</v>
      </c>
      <c r="EJ121" s="564">
        <f>+EI$31</f>
        <v>7669.903863636363</v>
      </c>
      <c r="EK121" s="564">
        <f t="shared" si="74"/>
        <v>129110.04837121192</v>
      </c>
      <c r="EL121" s="590">
        <f>+EI$28*EK121+EJ121</f>
        <v>22527.18018690345</v>
      </c>
      <c r="EM121" s="589">
        <f>+EO120</f>
        <v>4690935.7772727329</v>
      </c>
      <c r="EN121" s="564">
        <f>+EM$31</f>
        <v>260607.54318181818</v>
      </c>
      <c r="EO121" s="564">
        <f t="shared" si="76"/>
        <v>4430328.2340909149</v>
      </c>
      <c r="EP121" s="590">
        <f>+EM$28*EO121+EN121</f>
        <v>770425.42031102639</v>
      </c>
      <c r="EQ121" s="678">
        <f t="shared" si="94"/>
        <v>17871978.242693786</v>
      </c>
      <c r="ER121" s="652"/>
      <c r="ES121" s="674">
        <f>+EQ121</f>
        <v>17871978.242693786</v>
      </c>
      <c r="EV121" s="589"/>
      <c r="EW121" s="564"/>
      <c r="EX121" s="564"/>
      <c r="EY121" s="590"/>
      <c r="EZ121" s="589"/>
      <c r="FA121" s="564"/>
      <c r="FB121" s="564"/>
      <c r="FC121" s="590"/>
      <c r="FD121" s="589"/>
      <c r="FE121" s="564"/>
      <c r="FF121" s="564"/>
      <c r="FG121" s="590"/>
      <c r="FH121" s="589"/>
      <c r="FI121" s="564"/>
      <c r="FJ121" s="564"/>
      <c r="FK121" s="590"/>
      <c r="FL121" s="589"/>
      <c r="FM121" s="564"/>
      <c r="FN121" s="564"/>
      <c r="FO121" s="590"/>
      <c r="FP121" s="589"/>
      <c r="FQ121" s="564"/>
      <c r="FR121" s="564"/>
      <c r="FS121" s="590"/>
      <c r="FT121" s="589"/>
      <c r="FU121" s="564"/>
      <c r="FV121" s="564"/>
      <c r="FW121" s="590"/>
      <c r="FX121" s="589"/>
      <c r="FY121" s="564"/>
      <c r="FZ121" s="564"/>
      <c r="GA121" s="590"/>
      <c r="GB121" s="589"/>
      <c r="GC121" s="564"/>
      <c r="GD121" s="564"/>
      <c r="GE121" s="590"/>
      <c r="GF121" s="589"/>
      <c r="GG121" s="564"/>
      <c r="GH121" s="564"/>
      <c r="GI121" s="590"/>
      <c r="GJ121" s="589"/>
      <c r="GK121" s="564"/>
      <c r="GL121" s="564"/>
      <c r="GM121" s="590"/>
      <c r="GN121" s="589"/>
      <c r="GO121" s="564"/>
      <c r="GP121" s="564"/>
      <c r="GQ121" s="590"/>
      <c r="GR121" s="589"/>
      <c r="GS121" s="564"/>
      <c r="GT121" s="564"/>
      <c r="GU121" s="590"/>
      <c r="GV121" s="672"/>
      <c r="GW121" s="676"/>
      <c r="GX121" s="676"/>
      <c r="GY121" s="1366"/>
      <c r="GZ121" s="1367"/>
      <c r="HA121" s="1373"/>
      <c r="HB121" s="1373"/>
      <c r="HC121" s="1366"/>
      <c r="HD121" s="1367"/>
      <c r="HE121" s="1373"/>
      <c r="HF121" s="1373"/>
      <c r="HG121" s="1366"/>
      <c r="HI121" s="589"/>
      <c r="HJ121" s="564"/>
      <c r="HK121" s="564"/>
      <c r="HL121" s="590"/>
      <c r="HM121" s="589"/>
      <c r="HN121" s="564"/>
      <c r="HO121" s="564"/>
      <c r="HP121" s="590"/>
      <c r="HQ121" s="589"/>
      <c r="HR121" s="564"/>
      <c r="HS121" s="564"/>
      <c r="HT121" s="590"/>
    </row>
    <row r="122" spans="1:228">
      <c r="A122" s="649" t="s">
        <v>23</v>
      </c>
      <c r="B122" s="670">
        <v>2047</v>
      </c>
      <c r="C122" s="671">
        <f>+C121</f>
        <v>2563303.9085227177</v>
      </c>
      <c r="D122" s="671">
        <f>+D121</f>
        <v>445791.98409090913</v>
      </c>
      <c r="E122" s="671">
        <f t="shared" si="136"/>
        <v>2117511.9244318083</v>
      </c>
      <c r="F122" s="653">
        <f>+C$29*E122+D122</f>
        <v>702387.04239510512</v>
      </c>
      <c r="G122" s="671">
        <f>+G121</f>
        <v>637124.12249999819</v>
      </c>
      <c r="H122" s="671">
        <f>+H121</f>
        <v>115840.74954545456</v>
      </c>
      <c r="I122" s="671">
        <f t="shared" si="137"/>
        <v>521283.37295454362</v>
      </c>
      <c r="J122" s="653">
        <f>+G$29*I122+H122</f>
        <v>179008.62875924955</v>
      </c>
      <c r="K122" s="672">
        <f>+K121</f>
        <v>1450743.8653977239</v>
      </c>
      <c r="L122" s="671">
        <f>+L121</f>
        <v>305419.76113636367</v>
      </c>
      <c r="M122" s="671">
        <f t="shared" si="138"/>
        <v>1145324.1042613601</v>
      </c>
      <c r="N122" s="653">
        <f>+K$29*M122+L122</f>
        <v>444207.41183117742</v>
      </c>
      <c r="O122" s="672">
        <f>+O121</f>
        <v>815328.17424242082</v>
      </c>
      <c r="P122" s="671">
        <f>+P121</f>
        <v>119316.31818181818</v>
      </c>
      <c r="Q122" s="671">
        <f t="shared" si="139"/>
        <v>696011.8560606027</v>
      </c>
      <c r="R122" s="653">
        <f>+O$29*Q122+P122</f>
        <v>203657.37937050732</v>
      </c>
      <c r="S122" s="589">
        <f>+S121</f>
        <v>301297.81151514838</v>
      </c>
      <c r="T122" s="564">
        <f>+T121</f>
        <v>58315.705454545445</v>
      </c>
      <c r="U122" s="564">
        <f t="shared" si="140"/>
        <v>242982.10606060294</v>
      </c>
      <c r="V122" s="590">
        <f>+S$29*U122+T122</f>
        <v>87759.699111500449</v>
      </c>
      <c r="W122" s="589">
        <f>+W121</f>
        <v>4737506.3598484956</v>
      </c>
      <c r="X122" s="564">
        <f>+X121</f>
        <v>693293.61363636365</v>
      </c>
      <c r="Y122" s="564">
        <f t="shared" si="141"/>
        <v>4044212.7462121318</v>
      </c>
      <c r="Z122" s="590">
        <f>+W$29*Y122+X122</f>
        <v>1183361.6946873486</v>
      </c>
      <c r="AA122" s="589">
        <f>+AA121</f>
        <v>3118263.6268939371</v>
      </c>
      <c r="AB122" s="564">
        <f>+AB121</f>
        <v>450833.29545454547</v>
      </c>
      <c r="AC122" s="564">
        <f t="shared" si="142"/>
        <v>2667430.3314393917</v>
      </c>
      <c r="AD122" s="590">
        <f>+AA$29*AC122+AB122</f>
        <v>774066.15828800015</v>
      </c>
      <c r="AE122" s="589">
        <f>+AE121</f>
        <v>29886.261363636429</v>
      </c>
      <c r="AF122" s="564">
        <f>+AF121</f>
        <v>4597.886363636364</v>
      </c>
      <c r="AG122" s="564">
        <f t="shared" si="143"/>
        <v>25288.375000000065</v>
      </c>
      <c r="AH122" s="590">
        <f>+AE$29*AG122+AF122</f>
        <v>7662.2714953916657</v>
      </c>
      <c r="AI122" s="589">
        <f>+AI121</f>
        <v>2315121.5492424294</v>
      </c>
      <c r="AJ122" s="564">
        <f>+AJ121</f>
        <v>295547.43181818182</v>
      </c>
      <c r="AK122" s="564">
        <f t="shared" si="147"/>
        <v>2019574.1174242476</v>
      </c>
      <c r="AL122" s="590">
        <f>+AI$29*AK122+AJ122</f>
        <v>540274.6196233565</v>
      </c>
      <c r="AM122" s="589">
        <f>+AM121</f>
        <v>831501.86761363666</v>
      </c>
      <c r="AN122" s="564">
        <f>+AN121</f>
        <v>110866.91568181818</v>
      </c>
      <c r="AO122" s="564">
        <f t="shared" si="144"/>
        <v>720634.9519318185</v>
      </c>
      <c r="AP122" s="590">
        <f>+AM$29*AO122+AN122</f>
        <v>198191.74505986462</v>
      </c>
      <c r="AQ122" s="589">
        <f>+AQ121</f>
        <v>7013224.8388636373</v>
      </c>
      <c r="AR122" s="564">
        <f>+AR121</f>
        <v>904932.23727272719</v>
      </c>
      <c r="AS122" s="564">
        <f t="shared" si="145"/>
        <v>6108292.60159091</v>
      </c>
      <c r="AT122" s="590">
        <f>+AQ$29*AS122+AR122</f>
        <v>1645120.6055931924</v>
      </c>
      <c r="AU122" s="671"/>
      <c r="AV122" s="671"/>
      <c r="AW122" s="671"/>
      <c r="AX122" s="653"/>
      <c r="AY122" s="671"/>
      <c r="AZ122" s="671"/>
      <c r="BA122" s="671"/>
      <c r="BB122" s="653"/>
      <c r="BC122" s="671"/>
      <c r="BD122" s="671"/>
      <c r="BE122" s="671"/>
      <c r="BF122" s="653"/>
      <c r="BG122" s="671"/>
      <c r="BH122" s="671"/>
      <c r="BI122" s="671"/>
      <c r="BJ122" s="653"/>
      <c r="BK122" s="671"/>
      <c r="BL122" s="671"/>
      <c r="BM122" s="671"/>
      <c r="BN122" s="653"/>
      <c r="BO122" s="671"/>
      <c r="BP122" s="671"/>
      <c r="BQ122" s="671"/>
      <c r="BR122" s="653"/>
      <c r="BS122" s="589">
        <f>+BS121</f>
        <v>66487.090909091174</v>
      </c>
      <c r="BT122" s="564">
        <f>+BT121</f>
        <v>8310.886363636364</v>
      </c>
      <c r="BU122" s="564">
        <f t="shared" si="146"/>
        <v>58176.204545454806</v>
      </c>
      <c r="BV122" s="590">
        <f>+BS$29*BU122+BT122</f>
        <v>15360.540452957897</v>
      </c>
      <c r="BW122" s="589">
        <f>+BW121</f>
        <v>4758940.1250000158</v>
      </c>
      <c r="BX122" s="564">
        <f>+BX121</f>
        <v>576841.22727272729</v>
      </c>
      <c r="BY122" s="564">
        <f t="shared" si="148"/>
        <v>4182098.8977272883</v>
      </c>
      <c r="BZ122" s="590">
        <f>+BW$29*BY122+BX122</f>
        <v>1058094.2336701704</v>
      </c>
      <c r="CA122" s="589">
        <f>+CA121</f>
        <v>449079.84000000136</v>
      </c>
      <c r="CB122" s="564">
        <f>+CB121</f>
        <v>54433.919999999998</v>
      </c>
      <c r="CC122" s="564">
        <f t="shared" si="149"/>
        <v>394645.92000000138</v>
      </c>
      <c r="CD122" s="590">
        <f>+CA$29*CC122+CB122</f>
        <v>102256.17388368738</v>
      </c>
      <c r="CE122" s="589">
        <f>+CE121</f>
        <v>38981.490000000209</v>
      </c>
      <c r="CF122" s="564">
        <f>+CF121</f>
        <v>4725.0290909090909</v>
      </c>
      <c r="CG122" s="564">
        <f t="shared" si="150"/>
        <v>34256.460909091118</v>
      </c>
      <c r="CH122" s="590">
        <f>+CE$29*CG122+CF122</f>
        <v>8876.1455417041798</v>
      </c>
      <c r="CI122" s="589">
        <f>+CI121</f>
        <v>114355.22727272694</v>
      </c>
      <c r="CJ122" s="564">
        <f>+CJ121</f>
        <v>12362.727272727272</v>
      </c>
      <c r="CK122" s="564">
        <f t="shared" si="151"/>
        <v>101992.49999999968</v>
      </c>
      <c r="CL122" s="590">
        <f>+CI$29*CK122+CJ122</f>
        <v>24099.464842865862</v>
      </c>
      <c r="CM122" s="589">
        <f>+CM121</f>
        <v>6650760.1718750112</v>
      </c>
      <c r="CN122" s="564">
        <f>+CN121</f>
        <v>483691.64886363636</v>
      </c>
      <c r="CO122" s="564">
        <f t="shared" si="152"/>
        <v>6167068.5230113752</v>
      </c>
      <c r="CP122" s="590">
        <f>+CM$29*CO122+CN122</f>
        <v>1193364.0741071294</v>
      </c>
      <c r="CQ122" s="589">
        <f>+CQ121</f>
        <v>27743869.50937501</v>
      </c>
      <c r="CR122" s="564">
        <f>+CR121</f>
        <v>2017735.9643181816</v>
      </c>
      <c r="CS122" s="564">
        <f t="shared" si="153"/>
        <v>25726133.545056827</v>
      </c>
      <c r="CT122" s="590">
        <f>+CQ$29*CS122+CR122</f>
        <v>4978158.3298124298</v>
      </c>
      <c r="CU122" s="589">
        <f>+CU121</f>
        <v>9466735.2150000203</v>
      </c>
      <c r="CV122" s="564">
        <f>+CV121</f>
        <v>676195.37250000006</v>
      </c>
      <c r="CW122" s="564">
        <f t="shared" si="154"/>
        <v>8790539.8425000198</v>
      </c>
      <c r="CX122" s="590">
        <f>+CU$29*CW122+CV122</f>
        <v>1687762.4899965855</v>
      </c>
      <c r="CY122" s="589">
        <f>+CY121</f>
        <v>10638.996022727279</v>
      </c>
      <c r="CZ122" s="564">
        <f>+CZ121</f>
        <v>733.72386363636497</v>
      </c>
      <c r="DA122" s="564">
        <f t="shared" si="42"/>
        <v>9905.2721590909132</v>
      </c>
      <c r="DB122" s="590">
        <f>+CY$29*DA122+CZ122</f>
        <v>1873.5682629015118</v>
      </c>
      <c r="DC122" s="589">
        <f>+DC121</f>
        <v>634562.08636363829</v>
      </c>
      <c r="DD122" s="564">
        <f>+DD121</f>
        <v>44530.672727272722</v>
      </c>
      <c r="DE122" s="564">
        <f t="shared" si="43"/>
        <v>590031.41363636556</v>
      </c>
      <c r="DF122" s="590">
        <f>+DC$29*DE122+DD122</f>
        <v>112428.25205896806</v>
      </c>
      <c r="DG122" s="589">
        <f>+DG121</f>
        <v>357272.37761363544</v>
      </c>
      <c r="DH122" s="564">
        <f>+DH121</f>
        <v>24639.474318181816</v>
      </c>
      <c r="DI122" s="564">
        <f t="shared" si="44"/>
        <v>332632.90329545364</v>
      </c>
      <c r="DJ122" s="590">
        <f>+DG$29*DI122+DH122</f>
        <v>62917.04466082505</v>
      </c>
      <c r="DK122" s="589">
        <f>+DK121</f>
        <v>7786833.1255681887</v>
      </c>
      <c r="DL122" s="564">
        <f>+DL121</f>
        <v>549658.80886363634</v>
      </c>
      <c r="DM122" s="564">
        <f t="shared" si="45"/>
        <v>7237174.3167045526</v>
      </c>
      <c r="DN122" s="590">
        <f>+DK$29*DM122+DL122</f>
        <v>1382473.1403537821</v>
      </c>
      <c r="DO122" s="589">
        <f>+DO121</f>
        <v>297156.00859848456</v>
      </c>
      <c r="DP122" s="564">
        <f>+DP121</f>
        <v>19592.703863636354</v>
      </c>
      <c r="DQ122" s="564">
        <f t="shared" si="134"/>
        <v>277563.30473484821</v>
      </c>
      <c r="DR122" s="590">
        <f>+DO$29*DQ122+DP122</f>
        <v>51533.166807218775</v>
      </c>
      <c r="DS122" s="589">
        <f>+DS121</f>
        <v>128584.16727272705</v>
      </c>
      <c r="DT122" s="564">
        <f>+DT121</f>
        <v>8295.7527272726966</v>
      </c>
      <c r="DU122" s="564">
        <f t="shared" si="61"/>
        <v>120288.41454545435</v>
      </c>
      <c r="DV122" s="590">
        <f>+DS$29*DU122+DT122</f>
        <v>22137.883807970236</v>
      </c>
      <c r="DW122" s="589">
        <f>+DW121</f>
        <v>18631.891988636315</v>
      </c>
      <c r="DX122" s="564">
        <f>+DX121</f>
        <v>1221.7634090909089</v>
      </c>
      <c r="DY122" s="564">
        <f t="shared" si="62"/>
        <v>17410.128579545406</v>
      </c>
      <c r="DZ122" s="590">
        <f>+DW$29*DY122+DX122</f>
        <v>3225.2255283692366</v>
      </c>
      <c r="EA122" s="589">
        <f>+EA121</f>
        <v>-113331.46698863717</v>
      </c>
      <c r="EB122" s="564">
        <f>+EB121</f>
        <v>-7120.3015909091364</v>
      </c>
      <c r="EC122" s="564">
        <f t="shared" si="63"/>
        <v>-106211.16539772804</v>
      </c>
      <c r="ED122" s="590">
        <f>+EA$29*EC122+EB122</f>
        <v>-19342.500039733535</v>
      </c>
      <c r="EE122" s="589">
        <f>+EE121</f>
        <v>3345893.9199999939</v>
      </c>
      <c r="EF122" s="564">
        <f>+EF121</f>
        <v>192108.74181818182</v>
      </c>
      <c r="EG122" s="564">
        <f t="shared" si="72"/>
        <v>3153785.1781818122</v>
      </c>
      <c r="EH122" s="590">
        <f>+EE$29*EG122+EF122</f>
        <v>555029.04467292922</v>
      </c>
      <c r="EI122" s="589">
        <f>+EI121</f>
        <v>136779.95223484829</v>
      </c>
      <c r="EJ122" s="564">
        <f>+EJ121</f>
        <v>7669.903863636363</v>
      </c>
      <c r="EK122" s="564">
        <f t="shared" si="74"/>
        <v>129110.04837121192</v>
      </c>
      <c r="EL122" s="590">
        <f>+EI$29*EK122+EJ122</f>
        <v>22527.18018690345</v>
      </c>
      <c r="EM122" s="589">
        <f>+EM121</f>
        <v>4690935.7772727329</v>
      </c>
      <c r="EN122" s="564">
        <f>+EN121</f>
        <v>260607.54318181818</v>
      </c>
      <c r="EO122" s="564">
        <f t="shared" si="76"/>
        <v>4430328.2340909149</v>
      </c>
      <c r="EP122" s="590">
        <f>+EM$29*EO122+EN122</f>
        <v>770425.42031102639</v>
      </c>
      <c r="EQ122" s="678">
        <f t="shared" si="94"/>
        <v>17998896.135133389</v>
      </c>
      <c r="ER122" s="675">
        <f>+EQ122</f>
        <v>17998896.135133389</v>
      </c>
      <c r="ES122" s="648"/>
      <c r="EV122" s="589"/>
      <c r="EW122" s="564"/>
      <c r="EX122" s="564"/>
      <c r="EY122" s="590"/>
      <c r="EZ122" s="589"/>
      <c r="FA122" s="564"/>
      <c r="FB122" s="564"/>
      <c r="FC122" s="590"/>
      <c r="FD122" s="589"/>
      <c r="FE122" s="564"/>
      <c r="FF122" s="564"/>
      <c r="FG122" s="590"/>
      <c r="FH122" s="589"/>
      <c r="FI122" s="564"/>
      <c r="FJ122" s="564"/>
      <c r="FK122" s="590"/>
      <c r="FL122" s="589"/>
      <c r="FM122" s="564"/>
      <c r="FN122" s="564"/>
      <c r="FO122" s="590"/>
      <c r="FP122" s="589"/>
      <c r="FQ122" s="564"/>
      <c r="FR122" s="564"/>
      <c r="FS122" s="590"/>
      <c r="FT122" s="589"/>
      <c r="FU122" s="564"/>
      <c r="FV122" s="564"/>
      <c r="FW122" s="590"/>
      <c r="FX122" s="589"/>
      <c r="FY122" s="564"/>
      <c r="FZ122" s="564"/>
      <c r="GA122" s="590"/>
      <c r="GB122" s="589"/>
      <c r="GC122" s="564"/>
      <c r="GD122" s="564"/>
      <c r="GE122" s="590"/>
      <c r="GF122" s="589"/>
      <c r="GG122" s="564"/>
      <c r="GH122" s="564"/>
      <c r="GI122" s="590"/>
      <c r="GJ122" s="589"/>
      <c r="GK122" s="564"/>
      <c r="GL122" s="564"/>
      <c r="GM122" s="590"/>
      <c r="GN122" s="589"/>
      <c r="GO122" s="564"/>
      <c r="GP122" s="564"/>
      <c r="GQ122" s="590"/>
      <c r="GR122" s="589"/>
      <c r="GS122" s="564"/>
      <c r="GT122" s="564"/>
      <c r="GU122" s="590"/>
      <c r="GV122" s="672"/>
      <c r="GW122" s="676"/>
      <c r="GX122" s="676"/>
      <c r="GY122" s="1366"/>
      <c r="GZ122" s="1367"/>
      <c r="HA122" s="1373"/>
      <c r="HB122" s="1373"/>
      <c r="HC122" s="1366"/>
      <c r="HD122" s="1367"/>
      <c r="HE122" s="1373"/>
      <c r="HF122" s="1373"/>
      <c r="HG122" s="1366"/>
      <c r="HI122" s="589"/>
      <c r="HJ122" s="564"/>
      <c r="HK122" s="564"/>
      <c r="HL122" s="590"/>
      <c r="HM122" s="589"/>
      <c r="HN122" s="564"/>
      <c r="HO122" s="564"/>
      <c r="HP122" s="590"/>
      <c r="HQ122" s="589"/>
      <c r="HR122" s="564"/>
      <c r="HS122" s="564"/>
      <c r="HT122" s="590"/>
    </row>
    <row r="123" spans="1:228">
      <c r="A123" s="649" t="s">
        <v>24</v>
      </c>
      <c r="B123" s="670">
        <v>2048</v>
      </c>
      <c r="C123" s="671">
        <f>+E122</f>
        <v>2117511.9244318083</v>
      </c>
      <c r="D123" s="671">
        <f>+C$31</f>
        <v>445791.98409090913</v>
      </c>
      <c r="E123" s="671">
        <f t="shared" si="136"/>
        <v>1671719.9403408992</v>
      </c>
      <c r="F123" s="653">
        <f>+C$28*E123+D123</f>
        <v>638164.34706415655</v>
      </c>
      <c r="G123" s="671">
        <f>+I122</f>
        <v>521283.37295454362</v>
      </c>
      <c r="H123" s="671">
        <f>+G$31</f>
        <v>115840.74954545456</v>
      </c>
      <c r="I123" s="671">
        <f t="shared" si="137"/>
        <v>405442.62340908905</v>
      </c>
      <c r="J123" s="653">
        <f>+G$28*I123+H123</f>
        <v>162496.86318813439</v>
      </c>
      <c r="K123" s="672">
        <f>+M122</f>
        <v>1145324.1042613601</v>
      </c>
      <c r="L123" s="671">
        <f>+K$31</f>
        <v>305419.76113636367</v>
      </c>
      <c r="M123" s="671">
        <f t="shared" si="138"/>
        <v>839904.34312499641</v>
      </c>
      <c r="N123" s="653">
        <f>+K$28*M123+L123</f>
        <v>402071.34688313672</v>
      </c>
      <c r="O123" s="672">
        <f>+Q122</f>
        <v>696011.8560606027</v>
      </c>
      <c r="P123" s="671">
        <f>+O$31</f>
        <v>119316.31818181818</v>
      </c>
      <c r="Q123" s="671">
        <f t="shared" si="139"/>
        <v>576695.53787878458</v>
      </c>
      <c r="R123" s="653">
        <f>+O$28*Q123+P123</f>
        <v>185679.27806566487</v>
      </c>
      <c r="S123" s="589">
        <f>+U122</f>
        <v>242982.10606060294</v>
      </c>
      <c r="T123" s="564">
        <f>+S$31</f>
        <v>58315.705454545445</v>
      </c>
      <c r="U123" s="564">
        <f t="shared" si="140"/>
        <v>184666.40060605749</v>
      </c>
      <c r="V123" s="590">
        <f>+S$28*U123+T123</f>
        <v>79566.102120333468</v>
      </c>
      <c r="W123" s="589">
        <f>+Y122</f>
        <v>4044212.7462121318</v>
      </c>
      <c r="X123" s="564">
        <f>+W$31</f>
        <v>693293.61363636365</v>
      </c>
      <c r="Y123" s="564">
        <f t="shared" si="141"/>
        <v>3350919.132575768</v>
      </c>
      <c r="Z123" s="590">
        <f>+W$28*Y123+X123</f>
        <v>1078899.0108743799</v>
      </c>
      <c r="AA123" s="589">
        <f>+AC122</f>
        <v>2667430.3314393917</v>
      </c>
      <c r="AB123" s="564">
        <f>+AA$31</f>
        <v>450833.29545454547</v>
      </c>
      <c r="AC123" s="564">
        <f t="shared" si="142"/>
        <v>2216597.0359848463</v>
      </c>
      <c r="AD123" s="590">
        <f>+AA$28*AC123+AB123</f>
        <v>705907.12647252495</v>
      </c>
      <c r="AE123" s="589">
        <f>+AG122</f>
        <v>25288.375000000065</v>
      </c>
      <c r="AF123" s="564">
        <f>+AE$31</f>
        <v>4597.886363636364</v>
      </c>
      <c r="AG123" s="564">
        <f t="shared" si="143"/>
        <v>20690.488636363702</v>
      </c>
      <c r="AH123" s="590">
        <f>+AE$28*AG123+AF123</f>
        <v>6978.8343286625786</v>
      </c>
      <c r="AI123" s="589">
        <f>+AK122</f>
        <v>2019574.1174242476</v>
      </c>
      <c r="AJ123" s="564">
        <f>+AI$31</f>
        <v>295547.43181818182</v>
      </c>
      <c r="AK123" s="564">
        <f t="shared" si="147"/>
        <v>1724026.6856060657</v>
      </c>
      <c r="AL123" s="590">
        <f>+AI$28*AK123+AJ123</f>
        <v>493938.96818481945</v>
      </c>
      <c r="AM123" s="589">
        <f>+AO122</f>
        <v>720634.9519318185</v>
      </c>
      <c r="AN123" s="564">
        <f>+AM$31</f>
        <v>110866.91568181818</v>
      </c>
      <c r="AO123" s="564">
        <f t="shared" si="144"/>
        <v>609768.03625000035</v>
      </c>
      <c r="AP123" s="590">
        <f>+AM$28*AO123+AN123</f>
        <v>181035.67730767332</v>
      </c>
      <c r="AQ123" s="589">
        <f>+AS122</f>
        <v>6108292.60159091</v>
      </c>
      <c r="AR123" s="564">
        <f>+AQ$31</f>
        <v>904932.23727272719</v>
      </c>
      <c r="AS123" s="564">
        <f t="shared" si="145"/>
        <v>5203360.3643181827</v>
      </c>
      <c r="AT123" s="590">
        <f>+AQ$28*AS123+AR123</f>
        <v>1503706.4126176145</v>
      </c>
      <c r="AU123" s="671"/>
      <c r="AV123" s="671"/>
      <c r="AW123" s="671"/>
      <c r="AX123" s="653"/>
      <c r="AY123" s="671"/>
      <c r="AZ123" s="671"/>
      <c r="BA123" s="671"/>
      <c r="BB123" s="653"/>
      <c r="BC123" s="671"/>
      <c r="BD123" s="671"/>
      <c r="BE123" s="671"/>
      <c r="BF123" s="653"/>
      <c r="BG123" s="671"/>
      <c r="BH123" s="671"/>
      <c r="BI123" s="671"/>
      <c r="BJ123" s="653"/>
      <c r="BK123" s="671"/>
      <c r="BL123" s="671"/>
      <c r="BM123" s="671"/>
      <c r="BN123" s="653"/>
      <c r="BO123" s="671"/>
      <c r="BP123" s="671"/>
      <c r="BQ123" s="671"/>
      <c r="BR123" s="653"/>
      <c r="BS123" s="589">
        <f>+BU122</f>
        <v>58176.204545454806</v>
      </c>
      <c r="BT123" s="564">
        <f>+BS$31</f>
        <v>8310.886363636364</v>
      </c>
      <c r="BU123" s="564">
        <f t="shared" si="146"/>
        <v>49865.318181818438</v>
      </c>
      <c r="BV123" s="590">
        <f>+BS$28*BU123+BT123</f>
        <v>14049.113717132605</v>
      </c>
      <c r="BW123" s="589">
        <f>+BY122</f>
        <v>4182098.8977272883</v>
      </c>
      <c r="BX123" s="564">
        <f>+BW$31</f>
        <v>576841.22727272729</v>
      </c>
      <c r="BY123" s="564">
        <f t="shared" si="148"/>
        <v>3605257.6704545608</v>
      </c>
      <c r="BZ123" s="590">
        <f>+BW$28*BY123+BX123</f>
        <v>991714.5086498335</v>
      </c>
      <c r="CA123" s="589">
        <f>+CC122</f>
        <v>394645.92000000138</v>
      </c>
      <c r="CB123" s="564">
        <f>+CA$31</f>
        <v>54433.919999999998</v>
      </c>
      <c r="CC123" s="564">
        <f t="shared" si="149"/>
        <v>340212.0000000014</v>
      </c>
      <c r="CD123" s="590">
        <f>+CA$28*CC123+CB123</f>
        <v>93583.651227413968</v>
      </c>
      <c r="CE123" s="589">
        <f>+CG122</f>
        <v>34256.460909091118</v>
      </c>
      <c r="CF123" s="564">
        <f>+CE$31</f>
        <v>4725.0290909090909</v>
      </c>
      <c r="CG123" s="564">
        <f t="shared" si="150"/>
        <v>29531.431818182027</v>
      </c>
      <c r="CH123" s="590">
        <f>+CE$28*CG123+CF123</f>
        <v>8123.3443133072506</v>
      </c>
      <c r="CI123" s="589">
        <f>+CK122</f>
        <v>101992.49999999968</v>
      </c>
      <c r="CJ123" s="564">
        <f>+CI$31</f>
        <v>12362.727272727272</v>
      </c>
      <c r="CK123" s="564">
        <f t="shared" si="151"/>
        <v>89629.772727272415</v>
      </c>
      <c r="CL123" s="590">
        <f>+CI$28*CK123+CJ123</f>
        <v>22676.829985879362</v>
      </c>
      <c r="CM123" s="589">
        <f>+CO122</f>
        <v>6167068.5230113752</v>
      </c>
      <c r="CN123" s="564">
        <f>+CM$31</f>
        <v>483691.64886363636</v>
      </c>
      <c r="CO123" s="564">
        <f t="shared" si="152"/>
        <v>5683376.8741477393</v>
      </c>
      <c r="CP123" s="590">
        <f>+CM$28*CO123+CN123</f>
        <v>1137703.4917350907</v>
      </c>
      <c r="CQ123" s="589">
        <f>+CS122</f>
        <v>25726133.545056827</v>
      </c>
      <c r="CR123" s="564">
        <f>+CQ$31</f>
        <v>2017735.9643181816</v>
      </c>
      <c r="CS123" s="564">
        <f t="shared" si="153"/>
        <v>23708397.580738645</v>
      </c>
      <c r="CT123" s="590">
        <f>+CQ$28*CS123+CR123</f>
        <v>4745968.3403619006</v>
      </c>
      <c r="CU123" s="589">
        <f>+CW122</f>
        <v>8790539.8425000198</v>
      </c>
      <c r="CV123" s="564">
        <f>+CU$31</f>
        <v>676195.37250000006</v>
      </c>
      <c r="CW123" s="564">
        <f t="shared" si="154"/>
        <v>8114344.4700000193</v>
      </c>
      <c r="CX123" s="590">
        <f>+CU$28*CW123+CV123</f>
        <v>1609949.6348045405</v>
      </c>
      <c r="CY123" s="589">
        <f>+DA122</f>
        <v>9905.2721590909132</v>
      </c>
      <c r="CZ123" s="564">
        <f>+CY$31</f>
        <v>733.72386363636497</v>
      </c>
      <c r="DA123" s="564">
        <f t="shared" si="42"/>
        <v>9171.5482954545478</v>
      </c>
      <c r="DB123" s="590">
        <f>+CY$28*DA123+CZ123</f>
        <v>1789.1353444374267</v>
      </c>
      <c r="DC123" s="589">
        <f>+DE122</f>
        <v>590031.41363636556</v>
      </c>
      <c r="DD123" s="564">
        <f>+DC$31</f>
        <v>44530.672727272722</v>
      </c>
      <c r="DE123" s="564">
        <f t="shared" si="43"/>
        <v>545500.74090909283</v>
      </c>
      <c r="DF123" s="590">
        <f>+DC$28*DE123+DD123</f>
        <v>107303.90644902881</v>
      </c>
      <c r="DG123" s="589">
        <f>+DI122</f>
        <v>332632.90329545364</v>
      </c>
      <c r="DH123" s="564">
        <f>+DG$31</f>
        <v>24639.474318181816</v>
      </c>
      <c r="DI123" s="564">
        <f t="shared" si="44"/>
        <v>307993.42897727183</v>
      </c>
      <c r="DJ123" s="590">
        <f>+DG$28*DI123+DH123</f>
        <v>60081.66907988851</v>
      </c>
      <c r="DK123" s="589">
        <f>+DM122</f>
        <v>7237174.3167045526</v>
      </c>
      <c r="DL123" s="564">
        <f>+DK$31</f>
        <v>549658.80886363634</v>
      </c>
      <c r="DM123" s="564">
        <f t="shared" si="45"/>
        <v>6687515.5078409165</v>
      </c>
      <c r="DN123" s="590">
        <f>+DK$28*DM123+DL123</f>
        <v>1319221.4189747837</v>
      </c>
      <c r="DO123" s="589">
        <f>+DQ122</f>
        <v>277563.30473484821</v>
      </c>
      <c r="DP123" s="564">
        <f>+DO$31</f>
        <v>19592.703863636354</v>
      </c>
      <c r="DQ123" s="564">
        <f t="shared" si="134"/>
        <v>257970.60087121185</v>
      </c>
      <c r="DR123" s="590">
        <f>+DO$28*DQ123+DP123</f>
        <v>49278.545893554132</v>
      </c>
      <c r="DS123" s="589">
        <f>+DU122</f>
        <v>120288.41454545435</v>
      </c>
      <c r="DT123" s="564">
        <f>+DS$31</f>
        <v>8295.7527272726966</v>
      </c>
      <c r="DU123" s="564">
        <f t="shared" si="61"/>
        <v>111992.66181818164</v>
      </c>
      <c r="DV123" s="590">
        <f>+DS$28*DU123+DT123</f>
        <v>21183.25407826696</v>
      </c>
      <c r="DW123" s="589">
        <f>+DY122</f>
        <v>17410.128579545406</v>
      </c>
      <c r="DX123" s="564">
        <f>+DW$31</f>
        <v>1221.7634090909089</v>
      </c>
      <c r="DY123" s="564">
        <f t="shared" si="62"/>
        <v>16188.365170454497</v>
      </c>
      <c r="DZ123" s="590">
        <f>+DW$28*DY123+DX123</f>
        <v>3084.6316954374238</v>
      </c>
      <c r="EA123" s="589">
        <f>+EC122</f>
        <v>-106211.16539772804</v>
      </c>
      <c r="EB123" s="564">
        <f>+EA$31</f>
        <v>-7120.3015909091364</v>
      </c>
      <c r="EC123" s="564">
        <f t="shared" si="63"/>
        <v>-99090.863806818903</v>
      </c>
      <c r="ED123" s="590">
        <f>+EA$28*EC123+EB123</f>
        <v>-18523.134780594472</v>
      </c>
      <c r="EE123" s="589">
        <f>+EG122</f>
        <v>3153785.1781818122</v>
      </c>
      <c r="EF123" s="564">
        <f>+EE$31</f>
        <v>192108.74181818182</v>
      </c>
      <c r="EG123" s="564">
        <f t="shared" si="72"/>
        <v>2961676.4363636305</v>
      </c>
      <c r="EH123" s="590">
        <f>+EE$28*EG123+EF123</f>
        <v>532922.22419446742</v>
      </c>
      <c r="EI123" s="589">
        <f>+EK122</f>
        <v>129110.04837121192</v>
      </c>
      <c r="EJ123" s="564">
        <f>+EI$31</f>
        <v>7669.903863636363</v>
      </c>
      <c r="EK123" s="564">
        <f t="shared" si="74"/>
        <v>121440.14450757555</v>
      </c>
      <c r="EL123" s="590">
        <f>+EI$28*EK123+EJ123</f>
        <v>21644.56971225392</v>
      </c>
      <c r="EM123" s="589">
        <f>+EO122</f>
        <v>4430328.2340909149</v>
      </c>
      <c r="EN123" s="564">
        <f>+EM$31</f>
        <v>260607.54318181818</v>
      </c>
      <c r="EO123" s="564">
        <f t="shared" si="76"/>
        <v>4169720.690909097</v>
      </c>
      <c r="EP123" s="590">
        <f>+EM$28*EO123+EN123</f>
        <v>740436.13342107297</v>
      </c>
      <c r="EQ123" s="678">
        <f t="shared" si="94"/>
        <v>16900635.235964797</v>
      </c>
      <c r="ER123" s="652"/>
      <c r="ES123" s="674">
        <f>+EQ123</f>
        <v>16900635.235964797</v>
      </c>
      <c r="EV123" s="589"/>
      <c r="EW123" s="564"/>
      <c r="EX123" s="564"/>
      <c r="EY123" s="590"/>
      <c r="EZ123" s="589"/>
      <c r="FA123" s="564"/>
      <c r="FB123" s="564"/>
      <c r="FC123" s="590"/>
      <c r="FD123" s="589"/>
      <c r="FE123" s="564"/>
      <c r="FF123" s="564"/>
      <c r="FG123" s="590"/>
      <c r="FH123" s="589"/>
      <c r="FI123" s="564"/>
      <c r="FJ123" s="564"/>
      <c r="FK123" s="590"/>
      <c r="FL123" s="589"/>
      <c r="FM123" s="564"/>
      <c r="FN123" s="564"/>
      <c r="FO123" s="590"/>
      <c r="FP123" s="589"/>
      <c r="FQ123" s="564"/>
      <c r="FR123" s="564"/>
      <c r="FS123" s="590"/>
      <c r="FT123" s="589"/>
      <c r="FU123" s="564"/>
      <c r="FV123" s="564"/>
      <c r="FW123" s="590"/>
      <c r="FX123" s="589"/>
      <c r="FY123" s="564"/>
      <c r="FZ123" s="564"/>
      <c r="GA123" s="590"/>
      <c r="GB123" s="589"/>
      <c r="GC123" s="564"/>
      <c r="GD123" s="564"/>
      <c r="GE123" s="590"/>
      <c r="GF123" s="589"/>
      <c r="GG123" s="564"/>
      <c r="GH123" s="564"/>
      <c r="GI123" s="590"/>
      <c r="GJ123" s="589"/>
      <c r="GK123" s="564"/>
      <c r="GL123" s="564"/>
      <c r="GM123" s="590"/>
      <c r="GN123" s="589"/>
      <c r="GO123" s="564"/>
      <c r="GP123" s="564"/>
      <c r="GQ123" s="590"/>
      <c r="GR123" s="589"/>
      <c r="GS123" s="564"/>
      <c r="GT123" s="564"/>
      <c r="GU123" s="590"/>
      <c r="GV123" s="672"/>
      <c r="GW123" s="676"/>
      <c r="GX123" s="676"/>
      <c r="GY123" s="1366"/>
      <c r="GZ123" s="1367"/>
      <c r="HA123" s="1373"/>
      <c r="HB123" s="1373"/>
      <c r="HC123" s="1366"/>
      <c r="HD123" s="1367"/>
      <c r="HE123" s="1373"/>
      <c r="HF123" s="1373"/>
      <c r="HG123" s="1366"/>
      <c r="HI123" s="589"/>
      <c r="HJ123" s="564"/>
      <c r="HK123" s="564"/>
      <c r="HL123" s="590"/>
      <c r="HM123" s="589"/>
      <c r="HN123" s="564"/>
      <c r="HO123" s="564"/>
      <c r="HP123" s="590"/>
      <c r="HQ123" s="589"/>
      <c r="HR123" s="564"/>
      <c r="HS123" s="564"/>
      <c r="HT123" s="590"/>
    </row>
    <row r="124" spans="1:228">
      <c r="A124" s="649" t="s">
        <v>23</v>
      </c>
      <c r="B124" s="670">
        <v>2048</v>
      </c>
      <c r="C124" s="671">
        <f>+C123</f>
        <v>2117511.9244318083</v>
      </c>
      <c r="D124" s="671">
        <f>+D123</f>
        <v>445791.98409090913</v>
      </c>
      <c r="E124" s="671">
        <f t="shared" si="136"/>
        <v>1671719.9403408992</v>
      </c>
      <c r="F124" s="653">
        <f>+C$29*E124+D124</f>
        <v>648367.03012053727</v>
      </c>
      <c r="G124" s="671">
        <f>+G123</f>
        <v>521283.37295454362</v>
      </c>
      <c r="H124" s="671">
        <f>+H123</f>
        <v>115840.74954545456</v>
      </c>
      <c r="I124" s="671">
        <f t="shared" si="137"/>
        <v>405442.62340908905</v>
      </c>
      <c r="J124" s="653">
        <f>+G$29*I124+H124</f>
        <v>164971.32226729507</v>
      </c>
      <c r="K124" s="672">
        <f>+K123</f>
        <v>1145324.1042613601</v>
      </c>
      <c r="L124" s="671">
        <f>+L123</f>
        <v>305419.76113636367</v>
      </c>
      <c r="M124" s="671">
        <f t="shared" si="138"/>
        <v>839904.34312499641</v>
      </c>
      <c r="N124" s="653">
        <f>+K$29*M124+L124</f>
        <v>407197.37164589367</v>
      </c>
      <c r="O124" s="672">
        <f>+O123</f>
        <v>696011.8560606027</v>
      </c>
      <c r="P124" s="671">
        <f>+P123</f>
        <v>119316.31818181818</v>
      </c>
      <c r="Q124" s="671">
        <f t="shared" si="139"/>
        <v>576695.53787878458</v>
      </c>
      <c r="R124" s="653">
        <f>+O$29*Q124+P124</f>
        <v>189198.91173816053</v>
      </c>
      <c r="S124" s="589">
        <f>+S123</f>
        <v>242982.10606060294</v>
      </c>
      <c r="T124" s="564">
        <f>+T123</f>
        <v>58315.705454545445</v>
      </c>
      <c r="U124" s="564">
        <f t="shared" si="140"/>
        <v>184666.40060605749</v>
      </c>
      <c r="V124" s="590">
        <f>+S$29*U124+T124</f>
        <v>80693.14063383115</v>
      </c>
      <c r="W124" s="589">
        <f>+W123</f>
        <v>4044212.7462121318</v>
      </c>
      <c r="X124" s="564">
        <f>+X123</f>
        <v>693293.61363636365</v>
      </c>
      <c r="Y124" s="564">
        <f t="shared" si="141"/>
        <v>3350919.132575768</v>
      </c>
      <c r="Z124" s="590">
        <f>+W$29*Y124+X124</f>
        <v>1099350.0236500371</v>
      </c>
      <c r="AA124" s="589">
        <f>+AA123</f>
        <v>2667430.3314393917</v>
      </c>
      <c r="AB124" s="564">
        <f>+AB123</f>
        <v>450833.29545454547</v>
      </c>
      <c r="AC124" s="564">
        <f t="shared" si="142"/>
        <v>2216597.0359848463</v>
      </c>
      <c r="AD124" s="590">
        <f>+AA$29*AC124+AB124</f>
        <v>719435.25189361349</v>
      </c>
      <c r="AE124" s="589">
        <f>+AE123</f>
        <v>25288.375000000065</v>
      </c>
      <c r="AF124" s="564">
        <f>+AF123</f>
        <v>4597.886363636364</v>
      </c>
      <c r="AG124" s="564">
        <f t="shared" si="143"/>
        <v>20690.488636363702</v>
      </c>
      <c r="AH124" s="590">
        <f>+AE$29*AG124+AF124</f>
        <v>7105.1105623452486</v>
      </c>
      <c r="AI124" s="589">
        <f>+AI123</f>
        <v>2019574.1174242476</v>
      </c>
      <c r="AJ124" s="564">
        <f>+AJ123</f>
        <v>295547.43181818182</v>
      </c>
      <c r="AK124" s="564">
        <f t="shared" si="147"/>
        <v>1724026.6856060657</v>
      </c>
      <c r="AL124" s="590">
        <f>+AI$29*AK124+AJ124</f>
        <v>504460.8848225993</v>
      </c>
      <c r="AM124" s="589">
        <f>+AM123</f>
        <v>720634.9519318185</v>
      </c>
      <c r="AN124" s="564">
        <f>+AN123</f>
        <v>110866.91568181818</v>
      </c>
      <c r="AO124" s="564">
        <f t="shared" si="144"/>
        <v>609768.03625000035</v>
      </c>
      <c r="AP124" s="590">
        <f>+AM$29*AO124+AN124</f>
        <v>184757.15592478059</v>
      </c>
      <c r="AQ124" s="589">
        <f>+AQ123</f>
        <v>6108292.60159091</v>
      </c>
      <c r="AR124" s="564">
        <f>+AR123</f>
        <v>904932.23727272719</v>
      </c>
      <c r="AS124" s="564">
        <f t="shared" si="145"/>
        <v>5203360.3643181827</v>
      </c>
      <c r="AT124" s="590">
        <f>+AQ$29*AS124+AR124</f>
        <v>1535463.069545716</v>
      </c>
      <c r="AU124" s="671"/>
      <c r="AV124" s="671"/>
      <c r="AW124" s="671"/>
      <c r="AX124" s="653"/>
      <c r="AY124" s="671"/>
      <c r="AZ124" s="671"/>
      <c r="BA124" s="671"/>
      <c r="BB124" s="653"/>
      <c r="BC124" s="671"/>
      <c r="BD124" s="671"/>
      <c r="BE124" s="671"/>
      <c r="BF124" s="653"/>
      <c r="BG124" s="671"/>
      <c r="BH124" s="671"/>
      <c r="BI124" s="671"/>
      <c r="BJ124" s="653"/>
      <c r="BK124" s="671"/>
      <c r="BL124" s="671"/>
      <c r="BM124" s="671"/>
      <c r="BN124" s="653"/>
      <c r="BO124" s="671"/>
      <c r="BP124" s="671"/>
      <c r="BQ124" s="671"/>
      <c r="BR124" s="653"/>
      <c r="BS124" s="589">
        <f>+BS123</f>
        <v>58176.204545454806</v>
      </c>
      <c r="BT124" s="564">
        <f>+BT123</f>
        <v>8310.886363636364</v>
      </c>
      <c r="BU124" s="564">
        <f t="shared" si="146"/>
        <v>49865.318181818438</v>
      </c>
      <c r="BV124" s="590">
        <f>+BS$29*BU124+BT124</f>
        <v>14353.447011626253</v>
      </c>
      <c r="BW124" s="589">
        <f>+BW123</f>
        <v>4182098.8977272883</v>
      </c>
      <c r="BX124" s="564">
        <f>+BX123</f>
        <v>576841.22727272729</v>
      </c>
      <c r="BY124" s="564">
        <f t="shared" si="148"/>
        <v>3605257.6704545608</v>
      </c>
      <c r="BZ124" s="590">
        <f>+BW$29*BY124+BX124</f>
        <v>991714.5086498335</v>
      </c>
      <c r="CA124" s="589">
        <f>+CA123</f>
        <v>394645.92000000138</v>
      </c>
      <c r="CB124" s="564">
        <f>+CB123</f>
        <v>54433.919999999998</v>
      </c>
      <c r="CC124" s="564">
        <f t="shared" si="149"/>
        <v>340212.0000000014</v>
      </c>
      <c r="CD124" s="590">
        <f>+CA$29*CC124+CB124</f>
        <v>95660.000934213298</v>
      </c>
      <c r="CE124" s="589">
        <f>+CE123</f>
        <v>34256.460909091118</v>
      </c>
      <c r="CF124" s="564">
        <f>+CF123</f>
        <v>4725.0290909090909</v>
      </c>
      <c r="CG124" s="564">
        <f t="shared" si="150"/>
        <v>29531.431818182027</v>
      </c>
      <c r="CH124" s="590">
        <f>+CE$29*CG124+CF124</f>
        <v>8303.5777553876196</v>
      </c>
      <c r="CI124" s="589">
        <f>+CI123</f>
        <v>101992.49999999968</v>
      </c>
      <c r="CJ124" s="564">
        <f>+CJ123</f>
        <v>12362.727272727272</v>
      </c>
      <c r="CK124" s="564">
        <f t="shared" si="151"/>
        <v>89629.772727272415</v>
      </c>
      <c r="CL124" s="590">
        <f>+CI$29*CK124+CJ124</f>
        <v>22676.829985879362</v>
      </c>
      <c r="CM124" s="589">
        <f>+CM123</f>
        <v>6167068.5230113752</v>
      </c>
      <c r="CN124" s="564">
        <f>+CN123</f>
        <v>483691.64886363636</v>
      </c>
      <c r="CO124" s="564">
        <f t="shared" si="152"/>
        <v>5683376.8741477393</v>
      </c>
      <c r="CP124" s="590">
        <f>+CM$29*CO124+CN124</f>
        <v>1137703.4917350907</v>
      </c>
      <c r="CQ124" s="589">
        <f>+CQ123</f>
        <v>25726133.545056827</v>
      </c>
      <c r="CR124" s="564">
        <f>+CR123</f>
        <v>2017735.9643181816</v>
      </c>
      <c r="CS124" s="564">
        <f t="shared" si="153"/>
        <v>23708397.580738645</v>
      </c>
      <c r="CT124" s="590">
        <f>+CQ$29*CS124+CR124</f>
        <v>4745968.3403619006</v>
      </c>
      <c r="CU124" s="589">
        <f>+CU123</f>
        <v>8790539.8425000198</v>
      </c>
      <c r="CV124" s="564">
        <f>+CV123</f>
        <v>676195.37250000006</v>
      </c>
      <c r="CW124" s="564">
        <f t="shared" si="154"/>
        <v>8114344.4700000193</v>
      </c>
      <c r="CX124" s="590">
        <f>+CU$29*CW124+CV124</f>
        <v>1609949.6348045405</v>
      </c>
      <c r="CY124" s="589">
        <f>+CY123</f>
        <v>9905.2721590909132</v>
      </c>
      <c r="CZ124" s="564">
        <f>+CZ123</f>
        <v>733.72386363636497</v>
      </c>
      <c r="DA124" s="564">
        <f t="shared" si="42"/>
        <v>9171.5482954545478</v>
      </c>
      <c r="DB124" s="590">
        <f>+CY$29*DA124+CZ124</f>
        <v>1789.1353444374267</v>
      </c>
      <c r="DC124" s="589">
        <f>+DC123</f>
        <v>590031.41363636556</v>
      </c>
      <c r="DD124" s="564">
        <f>+DD123</f>
        <v>44530.672727272722</v>
      </c>
      <c r="DE124" s="564">
        <f t="shared" si="43"/>
        <v>545500.74090909283</v>
      </c>
      <c r="DF124" s="590">
        <f>+DC$29*DE124+DD124</f>
        <v>107303.90644902881</v>
      </c>
      <c r="DG124" s="589">
        <f>+DG123</f>
        <v>332632.90329545364</v>
      </c>
      <c r="DH124" s="564">
        <f>+DH123</f>
        <v>24639.474318181816</v>
      </c>
      <c r="DI124" s="564">
        <f t="shared" si="44"/>
        <v>307993.42897727183</v>
      </c>
      <c r="DJ124" s="590">
        <f>+DG$29*DI124+DH124</f>
        <v>60081.66907988851</v>
      </c>
      <c r="DK124" s="589">
        <f>+DK123</f>
        <v>7237174.3167045526</v>
      </c>
      <c r="DL124" s="564">
        <f>+DL123</f>
        <v>549658.80886363634</v>
      </c>
      <c r="DM124" s="564">
        <f t="shared" si="45"/>
        <v>6687515.5078409165</v>
      </c>
      <c r="DN124" s="590">
        <f>+DK$29*DM124+DL124</f>
        <v>1319221.4189747837</v>
      </c>
      <c r="DO124" s="589">
        <f>+DO123</f>
        <v>277563.30473484821</v>
      </c>
      <c r="DP124" s="564">
        <f>+DP123</f>
        <v>19592.703863636354</v>
      </c>
      <c r="DQ124" s="564">
        <f t="shared" si="134"/>
        <v>257970.60087121185</v>
      </c>
      <c r="DR124" s="590">
        <f>+DO$29*DQ124+DP124</f>
        <v>49278.545893554132</v>
      </c>
      <c r="DS124" s="589">
        <f>+DS123</f>
        <v>120288.41454545435</v>
      </c>
      <c r="DT124" s="564">
        <f>+DT123</f>
        <v>8295.7527272726966</v>
      </c>
      <c r="DU124" s="564">
        <f t="shared" si="61"/>
        <v>111992.66181818164</v>
      </c>
      <c r="DV124" s="590">
        <f>+DS$29*DU124+DT124</f>
        <v>21183.25407826696</v>
      </c>
      <c r="DW124" s="589">
        <f>+DW123</f>
        <v>17410.128579545406</v>
      </c>
      <c r="DX124" s="564">
        <f>+DX123</f>
        <v>1221.7634090909089</v>
      </c>
      <c r="DY124" s="564">
        <f t="shared" si="62"/>
        <v>16188.365170454497</v>
      </c>
      <c r="DZ124" s="590">
        <f>+DW$29*DY124+DX124</f>
        <v>3084.6316954374238</v>
      </c>
      <c r="EA124" s="589">
        <f>+EA123</f>
        <v>-106211.16539772804</v>
      </c>
      <c r="EB124" s="564">
        <f>+EB123</f>
        <v>-7120.3015909091364</v>
      </c>
      <c r="EC124" s="564">
        <f t="shared" si="63"/>
        <v>-99090.863806818903</v>
      </c>
      <c r="ED124" s="590">
        <f>+EA$29*EC124+EB124</f>
        <v>-18523.134780594472</v>
      </c>
      <c r="EE124" s="589">
        <f>+EE123</f>
        <v>3153785.1781818122</v>
      </c>
      <c r="EF124" s="564">
        <f>+EF123</f>
        <v>192108.74181818182</v>
      </c>
      <c r="EG124" s="564">
        <f t="shared" si="72"/>
        <v>2961676.4363636305</v>
      </c>
      <c r="EH124" s="590">
        <f>+EE$29*EG124+EF124</f>
        <v>532922.22419446742</v>
      </c>
      <c r="EI124" s="589">
        <f>+EI123</f>
        <v>129110.04837121192</v>
      </c>
      <c r="EJ124" s="564">
        <f>+EJ123</f>
        <v>7669.903863636363</v>
      </c>
      <c r="EK124" s="564">
        <f t="shared" si="74"/>
        <v>121440.14450757555</v>
      </c>
      <c r="EL124" s="590">
        <f>+EI$29*EK124+EJ124</f>
        <v>21644.56971225392</v>
      </c>
      <c r="EM124" s="589">
        <f>+EM123</f>
        <v>4430328.2340909149</v>
      </c>
      <c r="EN124" s="564">
        <f>+EN123</f>
        <v>260607.54318181818</v>
      </c>
      <c r="EO124" s="564">
        <f t="shared" si="76"/>
        <v>4169720.690909097</v>
      </c>
      <c r="EP124" s="590">
        <f>+EM$29*EO124+EN124</f>
        <v>740436.13342107297</v>
      </c>
      <c r="EQ124" s="678">
        <f t="shared" si="94"/>
        <v>17005751.458105881</v>
      </c>
      <c r="ER124" s="675">
        <f>+EQ124</f>
        <v>17005751.458105881</v>
      </c>
      <c r="ES124" s="648"/>
      <c r="EV124" s="589"/>
      <c r="EW124" s="564"/>
      <c r="EX124" s="564"/>
      <c r="EY124" s="590"/>
      <c r="EZ124" s="589"/>
      <c r="FA124" s="564"/>
      <c r="FB124" s="564"/>
      <c r="FC124" s="590"/>
      <c r="FD124" s="589"/>
      <c r="FE124" s="564"/>
      <c r="FF124" s="564"/>
      <c r="FG124" s="590"/>
      <c r="FH124" s="589"/>
      <c r="FI124" s="564"/>
      <c r="FJ124" s="564"/>
      <c r="FK124" s="590"/>
      <c r="FL124" s="589"/>
      <c r="FM124" s="564"/>
      <c r="FN124" s="564"/>
      <c r="FO124" s="590"/>
      <c r="FP124" s="589"/>
      <c r="FQ124" s="564"/>
      <c r="FR124" s="564"/>
      <c r="FS124" s="590"/>
      <c r="FT124" s="589"/>
      <c r="FU124" s="564"/>
      <c r="FV124" s="564"/>
      <c r="FW124" s="590"/>
      <c r="FX124" s="589"/>
      <c r="FY124" s="564"/>
      <c r="FZ124" s="564"/>
      <c r="GA124" s="590"/>
      <c r="GB124" s="589"/>
      <c r="GC124" s="564"/>
      <c r="GD124" s="564"/>
      <c r="GE124" s="590"/>
      <c r="GF124" s="589"/>
      <c r="GG124" s="564"/>
      <c r="GH124" s="564"/>
      <c r="GI124" s="590"/>
      <c r="GJ124" s="589"/>
      <c r="GK124" s="564"/>
      <c r="GL124" s="564"/>
      <c r="GM124" s="590"/>
      <c r="GN124" s="589"/>
      <c r="GO124" s="564"/>
      <c r="GP124" s="564"/>
      <c r="GQ124" s="590"/>
      <c r="GR124" s="589"/>
      <c r="GS124" s="564"/>
      <c r="GT124" s="564"/>
      <c r="GU124" s="590"/>
      <c r="GV124" s="672"/>
      <c r="GW124" s="676"/>
      <c r="GX124" s="676"/>
      <c r="GY124" s="1366"/>
      <c r="GZ124" s="1367"/>
      <c r="HA124" s="1373"/>
      <c r="HB124" s="1373"/>
      <c r="HC124" s="1366"/>
      <c r="HD124" s="1367"/>
      <c r="HE124" s="1373"/>
      <c r="HF124" s="1373"/>
      <c r="HG124" s="1366"/>
      <c r="HI124" s="589"/>
      <c r="HJ124" s="564"/>
      <c r="HK124" s="564"/>
      <c r="HL124" s="590"/>
      <c r="HM124" s="589"/>
      <c r="HN124" s="564"/>
      <c r="HO124" s="564"/>
      <c r="HP124" s="590"/>
      <c r="HQ124" s="589"/>
      <c r="HR124" s="564"/>
      <c r="HS124" s="564"/>
      <c r="HT124" s="590"/>
    </row>
    <row r="125" spans="1:228">
      <c r="A125" s="649" t="s">
        <v>24</v>
      </c>
      <c r="B125" s="670">
        <v>2049</v>
      </c>
      <c r="C125" s="671">
        <f>+E124</f>
        <v>1671719.9403408992</v>
      </c>
      <c r="D125" s="671">
        <f>+C$31</f>
        <v>445791.98409090913</v>
      </c>
      <c r="E125" s="671">
        <f t="shared" si="136"/>
        <v>1225927.95624999</v>
      </c>
      <c r="F125" s="653">
        <f>+C$28*E125+D125</f>
        <v>586865.05027129024</v>
      </c>
      <c r="G125" s="671">
        <f>+I124</f>
        <v>405442.62340908905</v>
      </c>
      <c r="H125" s="671">
        <f>+G$31</f>
        <v>115840.74954545456</v>
      </c>
      <c r="I125" s="671">
        <f t="shared" si="137"/>
        <v>289601.87386363448</v>
      </c>
      <c r="J125" s="653">
        <f>+G$28*I125+H125</f>
        <v>149166.54500451151</v>
      </c>
      <c r="K125" s="672">
        <f>+M124</f>
        <v>839904.34312499641</v>
      </c>
      <c r="L125" s="671">
        <f>+K$31</f>
        <v>305419.76113636367</v>
      </c>
      <c r="M125" s="671">
        <f t="shared" si="138"/>
        <v>534484.58198863268</v>
      </c>
      <c r="N125" s="653">
        <f>+K$28*M125+L125</f>
        <v>366925.31570249179</v>
      </c>
      <c r="O125" s="672">
        <f>+Q124</f>
        <v>576695.53787878458</v>
      </c>
      <c r="P125" s="671">
        <f>+O$31</f>
        <v>119316.31818181818</v>
      </c>
      <c r="Q125" s="671">
        <f t="shared" si="139"/>
        <v>457379.21969696641</v>
      </c>
      <c r="R125" s="653">
        <f>+O$28*Q125+P125</f>
        <v>171949.01050348964</v>
      </c>
      <c r="S125" s="589">
        <f>+U124</f>
        <v>184666.40060605749</v>
      </c>
      <c r="T125" s="564">
        <f>+S$31</f>
        <v>58315.705454545445</v>
      </c>
      <c r="U125" s="564">
        <f t="shared" si="140"/>
        <v>126350.69515151205</v>
      </c>
      <c r="V125" s="590">
        <f>+S$28*U125+T125</f>
        <v>72855.450541663464</v>
      </c>
      <c r="W125" s="589">
        <f>+Y124</f>
        <v>3350919.132575768</v>
      </c>
      <c r="X125" s="564">
        <f>+W$31</f>
        <v>693293.61363636365</v>
      </c>
      <c r="Y125" s="564">
        <f t="shared" si="141"/>
        <v>2657625.5189394043</v>
      </c>
      <c r="Z125" s="590">
        <f>+W$28*Y125+X125</f>
        <v>999118.58385961805</v>
      </c>
      <c r="AA125" s="589">
        <f>+AC124</f>
        <v>2216597.0359848463</v>
      </c>
      <c r="AB125" s="564">
        <f>+AA$31</f>
        <v>450833.29545454547</v>
      </c>
      <c r="AC125" s="564">
        <f t="shared" si="142"/>
        <v>1765763.7405303009</v>
      </c>
      <c r="AD125" s="590">
        <f>+AA$28*AC125+AB125</f>
        <v>654027.70321463072</v>
      </c>
      <c r="AE125" s="589">
        <f>+AG124</f>
        <v>20690.488636363702</v>
      </c>
      <c r="AF125" s="564">
        <f>+AE$31</f>
        <v>4597.886363636364</v>
      </c>
      <c r="AG125" s="564">
        <f t="shared" si="143"/>
        <v>16092.602272727338</v>
      </c>
      <c r="AH125" s="590">
        <f>+AE$28*AG125+AF125</f>
        <v>6449.7347808789773</v>
      </c>
      <c r="AI125" s="589">
        <f>+AK124</f>
        <v>1724026.6856060657</v>
      </c>
      <c r="AJ125" s="564">
        <f>+AI$31</f>
        <v>295547.43181818182</v>
      </c>
      <c r="AK125" s="564">
        <f t="shared" si="147"/>
        <v>1428479.2537878838</v>
      </c>
      <c r="AL125" s="590">
        <f>+AI$28*AK125+AJ125</f>
        <v>459928.99052196741</v>
      </c>
      <c r="AM125" s="589">
        <f>+AO124</f>
        <v>609768.03625000035</v>
      </c>
      <c r="AN125" s="564">
        <f>+AM$31</f>
        <v>110866.91568181818</v>
      </c>
      <c r="AO125" s="564">
        <f t="shared" si="144"/>
        <v>498901.1205681822</v>
      </c>
      <c r="AP125" s="590">
        <f>+AM$28*AO125+AN125</f>
        <v>168277.72064842697</v>
      </c>
      <c r="AQ125" s="589">
        <f>+AS124</f>
        <v>5203360.3643181827</v>
      </c>
      <c r="AR125" s="564">
        <f>+AQ$31</f>
        <v>904932.23727272719</v>
      </c>
      <c r="AS125" s="564">
        <f t="shared" si="145"/>
        <v>4298428.1270454554</v>
      </c>
      <c r="AT125" s="590">
        <f>+AQ$28*AS125+AR125</f>
        <v>1399571.7734271996</v>
      </c>
      <c r="AU125" s="671"/>
      <c r="AV125" s="671"/>
      <c r="AW125" s="671"/>
      <c r="AX125" s="653"/>
      <c r="AY125" s="671"/>
      <c r="AZ125" s="671"/>
      <c r="BA125" s="671"/>
      <c r="BB125" s="653"/>
      <c r="BC125" s="671"/>
      <c r="BD125" s="671"/>
      <c r="BE125" s="671"/>
      <c r="BF125" s="653"/>
      <c r="BG125" s="671"/>
      <c r="BH125" s="671"/>
      <c r="BI125" s="671"/>
      <c r="BJ125" s="653"/>
      <c r="BK125" s="671"/>
      <c r="BL125" s="671"/>
      <c r="BM125" s="671"/>
      <c r="BN125" s="653"/>
      <c r="BO125" s="671"/>
      <c r="BP125" s="671"/>
      <c r="BQ125" s="671"/>
      <c r="BR125" s="653"/>
      <c r="BS125" s="589">
        <f>+BU124</f>
        <v>49865.318181818438</v>
      </c>
      <c r="BT125" s="564">
        <f>+BS$31</f>
        <v>8310.886363636364</v>
      </c>
      <c r="BU125" s="564">
        <f t="shared" si="146"/>
        <v>41554.431818182071</v>
      </c>
      <c r="BV125" s="590">
        <f>+BS$28*BU125+BT125</f>
        <v>13092.742491549903</v>
      </c>
      <c r="BW125" s="589">
        <f>+BY124</f>
        <v>3605257.6704545608</v>
      </c>
      <c r="BX125" s="564">
        <f>+BW$31</f>
        <v>576841.22727272729</v>
      </c>
      <c r="BY125" s="564">
        <f t="shared" si="148"/>
        <v>3028416.4431818333</v>
      </c>
      <c r="BZ125" s="590">
        <f>+BW$28*BY125+BX125</f>
        <v>925334.78362949681</v>
      </c>
      <c r="CA125" s="589">
        <f>+CC124</f>
        <v>340212.0000000014</v>
      </c>
      <c r="CB125" s="564">
        <f>+CA$31</f>
        <v>54433.919999999998</v>
      </c>
      <c r="CC125" s="564">
        <f t="shared" si="149"/>
        <v>285778.08000000141</v>
      </c>
      <c r="CD125" s="590">
        <f>+CA$28*CC125+CB125</f>
        <v>87319.694231027766</v>
      </c>
      <c r="CE125" s="589">
        <f>+CG124</f>
        <v>29531.431818182027</v>
      </c>
      <c r="CF125" s="564">
        <f>+CE$31</f>
        <v>4725.0290909090909</v>
      </c>
      <c r="CG125" s="564">
        <f t="shared" si="150"/>
        <v>24806.402727272936</v>
      </c>
      <c r="CH125" s="590">
        <f>+CE$28*CG125+CF125</f>
        <v>7579.6138777235483</v>
      </c>
      <c r="CI125" s="589">
        <f>+CK124</f>
        <v>89629.772727272415</v>
      </c>
      <c r="CJ125" s="564">
        <f>+CI$31</f>
        <v>12362.727272727272</v>
      </c>
      <c r="CK125" s="564">
        <f t="shared" si="151"/>
        <v>77267.04545454515</v>
      </c>
      <c r="CL125" s="590">
        <f>+CI$28*CK125+CJ125</f>
        <v>21254.195128892865</v>
      </c>
      <c r="CM125" s="589">
        <f>+CO124</f>
        <v>5683376.8741477393</v>
      </c>
      <c r="CN125" s="564">
        <f>+CM$31</f>
        <v>483691.64886363636</v>
      </c>
      <c r="CO125" s="564">
        <f t="shared" si="152"/>
        <v>5199685.2252841033</v>
      </c>
      <c r="CP125" s="590">
        <f>+CM$28*CO125+CN125</f>
        <v>1082042.9093630523</v>
      </c>
      <c r="CQ125" s="589">
        <f>+CS124</f>
        <v>23708397.580738645</v>
      </c>
      <c r="CR125" s="564">
        <f>+CQ$31</f>
        <v>2017735.9643181816</v>
      </c>
      <c r="CS125" s="564">
        <f t="shared" si="153"/>
        <v>21690661.616420463</v>
      </c>
      <c r="CT125" s="590">
        <f>+CQ$28*CS125+CR125</f>
        <v>4513778.3509113714</v>
      </c>
      <c r="CU125" s="589">
        <f>+CW124</f>
        <v>8114344.4700000193</v>
      </c>
      <c r="CV125" s="564">
        <f>+CU$31</f>
        <v>676195.37250000006</v>
      </c>
      <c r="CW125" s="564">
        <f t="shared" si="154"/>
        <v>7438149.0975000188</v>
      </c>
      <c r="CX125" s="590">
        <f>+CU$28*CW125+CV125</f>
        <v>1532136.7796124956</v>
      </c>
      <c r="CY125" s="589">
        <f>+DA124</f>
        <v>9171.5482954545478</v>
      </c>
      <c r="CZ125" s="564">
        <f>+CY$31</f>
        <v>733.72386363636497</v>
      </c>
      <c r="DA125" s="564">
        <f t="shared" ref="DA125:DA150" si="155">+CY125-CZ125</f>
        <v>8437.8244318181823</v>
      </c>
      <c r="DB125" s="590">
        <f>+CY$28*DA125+CZ125</f>
        <v>1704.7024259733416</v>
      </c>
      <c r="DC125" s="589">
        <f>+DE124</f>
        <v>545500.74090909283</v>
      </c>
      <c r="DD125" s="564">
        <f>+DC$31</f>
        <v>44530.672727272722</v>
      </c>
      <c r="DE125" s="564">
        <f t="shared" ref="DE125:DE150" si="156">+DC125-DD125</f>
        <v>500970.0681818201</v>
      </c>
      <c r="DF125" s="590">
        <f>+DC$28*DE125+DD125</f>
        <v>102179.56083908955</v>
      </c>
      <c r="DG125" s="589">
        <f>+DI124</f>
        <v>307993.42897727183</v>
      </c>
      <c r="DH125" s="564">
        <f>+DG$31</f>
        <v>24639.474318181816</v>
      </c>
      <c r="DI125" s="564">
        <f t="shared" ref="DI125:DI150" si="157">+DG125-DH125</f>
        <v>283353.95465909003</v>
      </c>
      <c r="DJ125" s="590">
        <f>+DG$28*DI125+DH125</f>
        <v>57246.293498951964</v>
      </c>
      <c r="DK125" s="589">
        <f>+DM124</f>
        <v>6687515.5078409165</v>
      </c>
      <c r="DL125" s="564">
        <f>+DK$31</f>
        <v>549658.80886363634</v>
      </c>
      <c r="DM125" s="564">
        <f t="shared" ref="DM125:DM150" si="158">+DK125-DL125</f>
        <v>6137856.6989772804</v>
      </c>
      <c r="DN125" s="590">
        <f>+DK$28*DM125+DL125</f>
        <v>1255969.6975957854</v>
      </c>
      <c r="DO125" s="589">
        <f>+DQ124</f>
        <v>257970.60087121185</v>
      </c>
      <c r="DP125" s="564">
        <f>+DO$31</f>
        <v>19592.703863636354</v>
      </c>
      <c r="DQ125" s="564">
        <f t="shared" si="134"/>
        <v>238377.89700757549</v>
      </c>
      <c r="DR125" s="590">
        <f>+DO$28*DQ125+DP125</f>
        <v>47023.924979889489</v>
      </c>
      <c r="DS125" s="589">
        <f>+DU124</f>
        <v>111992.66181818164</v>
      </c>
      <c r="DT125" s="564">
        <f>+DS$31</f>
        <v>8295.7527272726966</v>
      </c>
      <c r="DU125" s="564">
        <f t="shared" si="61"/>
        <v>103696.90909090894</v>
      </c>
      <c r="DV125" s="590">
        <f>+DS$28*DU125+DT125</f>
        <v>20228.624348563681</v>
      </c>
      <c r="DW125" s="589">
        <f>+DY124</f>
        <v>16188.365170454497</v>
      </c>
      <c r="DX125" s="564">
        <f>+DW$31</f>
        <v>1221.7634090909089</v>
      </c>
      <c r="DY125" s="564">
        <f t="shared" si="62"/>
        <v>14966.601761363589</v>
      </c>
      <c r="DZ125" s="590">
        <f>+DW$28*DY125+DX125</f>
        <v>2944.037862505611</v>
      </c>
      <c r="EA125" s="589">
        <f>+EC124</f>
        <v>-99090.863806818903</v>
      </c>
      <c r="EB125" s="564">
        <f>+EA$31</f>
        <v>-7120.3015909091364</v>
      </c>
      <c r="EC125" s="564">
        <f t="shared" si="63"/>
        <v>-91970.562215909769</v>
      </c>
      <c r="ED125" s="590">
        <f>+EA$28*EC125+EB125</f>
        <v>-17703.769521455404</v>
      </c>
      <c r="EE125" s="589">
        <f>+EG124</f>
        <v>2961676.4363636305</v>
      </c>
      <c r="EF125" s="564">
        <f>+EE$31</f>
        <v>192108.74181818182</v>
      </c>
      <c r="EG125" s="564">
        <f t="shared" si="72"/>
        <v>2769567.6945454488</v>
      </c>
      <c r="EH125" s="590">
        <f>+EE$28*EG125+EF125</f>
        <v>510815.40371600562</v>
      </c>
      <c r="EI125" s="589">
        <f>+EK124</f>
        <v>121440.14450757555</v>
      </c>
      <c r="EJ125" s="564">
        <f>+EI$31</f>
        <v>7669.903863636363</v>
      </c>
      <c r="EK125" s="564">
        <f t="shared" si="74"/>
        <v>113770.24064393918</v>
      </c>
      <c r="EL125" s="590">
        <f>+EI$28*EK125+EJ125</f>
        <v>20761.959237604387</v>
      </c>
      <c r="EM125" s="589">
        <f>+EO124</f>
        <v>4169720.690909097</v>
      </c>
      <c r="EN125" s="564">
        <f>+EM$31</f>
        <v>260607.54318181818</v>
      </c>
      <c r="EO125" s="564">
        <f t="shared" si="76"/>
        <v>3909113.147727279</v>
      </c>
      <c r="EP125" s="590">
        <f>+EM$28*EO125+EN125</f>
        <v>710446.84653111966</v>
      </c>
      <c r="EQ125" s="678">
        <f t="shared" si="94"/>
        <v>15929292.229235807</v>
      </c>
      <c r="ER125" s="652"/>
      <c r="ES125" s="674">
        <f>+EQ125</f>
        <v>15929292.229235807</v>
      </c>
      <c r="EV125" s="589"/>
      <c r="EW125" s="564"/>
      <c r="EX125" s="564"/>
      <c r="EY125" s="590"/>
      <c r="EZ125" s="589"/>
      <c r="FA125" s="564"/>
      <c r="FB125" s="564"/>
      <c r="FC125" s="590"/>
      <c r="FD125" s="589"/>
      <c r="FE125" s="564"/>
      <c r="FF125" s="564"/>
      <c r="FG125" s="590"/>
      <c r="FH125" s="589"/>
      <c r="FI125" s="564"/>
      <c r="FJ125" s="564"/>
      <c r="FK125" s="590"/>
      <c r="FL125" s="589"/>
      <c r="FM125" s="564"/>
      <c r="FN125" s="564"/>
      <c r="FO125" s="590"/>
      <c r="FP125" s="589"/>
      <c r="FQ125" s="564"/>
      <c r="FR125" s="564"/>
      <c r="FS125" s="590"/>
      <c r="FT125" s="589"/>
      <c r="FU125" s="564"/>
      <c r="FV125" s="564"/>
      <c r="FW125" s="590"/>
      <c r="FX125" s="589"/>
      <c r="FY125" s="564"/>
      <c r="FZ125" s="564"/>
      <c r="GA125" s="590"/>
      <c r="GB125" s="589"/>
      <c r="GC125" s="564"/>
      <c r="GD125" s="564"/>
      <c r="GE125" s="590"/>
      <c r="GF125" s="589"/>
      <c r="GG125" s="564"/>
      <c r="GH125" s="564"/>
      <c r="GI125" s="590"/>
      <c r="GJ125" s="589"/>
      <c r="GK125" s="564"/>
      <c r="GL125" s="564"/>
      <c r="GM125" s="590"/>
      <c r="GN125" s="589"/>
      <c r="GO125" s="564"/>
      <c r="GP125" s="564"/>
      <c r="GQ125" s="590"/>
      <c r="GR125" s="589"/>
      <c r="GS125" s="564"/>
      <c r="GT125" s="564"/>
      <c r="GU125" s="590"/>
      <c r="GV125" s="672"/>
      <c r="GW125" s="676"/>
      <c r="GX125" s="676"/>
      <c r="GY125" s="1366"/>
      <c r="GZ125" s="1367"/>
      <c r="HA125" s="1373"/>
      <c r="HB125" s="1373"/>
      <c r="HC125" s="1366"/>
      <c r="HD125" s="1367"/>
      <c r="HE125" s="1373"/>
      <c r="HF125" s="1373"/>
      <c r="HG125" s="1366"/>
      <c r="HI125" s="589"/>
      <c r="HJ125" s="564"/>
      <c r="HK125" s="564"/>
      <c r="HL125" s="590"/>
      <c r="HM125" s="589"/>
      <c r="HN125" s="564"/>
      <c r="HO125" s="564"/>
      <c r="HP125" s="590"/>
      <c r="HQ125" s="589"/>
      <c r="HR125" s="564"/>
      <c r="HS125" s="564"/>
      <c r="HT125" s="590"/>
    </row>
    <row r="126" spans="1:228">
      <c r="A126" s="649" t="s">
        <v>23</v>
      </c>
      <c r="B126" s="670">
        <v>2049</v>
      </c>
      <c r="C126" s="671">
        <f>+C125</f>
        <v>1671719.9403408992</v>
      </c>
      <c r="D126" s="671">
        <f>+D125</f>
        <v>445791.98409090913</v>
      </c>
      <c r="E126" s="671">
        <f t="shared" si="136"/>
        <v>1225927.95624999</v>
      </c>
      <c r="F126" s="653">
        <f>+C$29*E126+D126</f>
        <v>594347.01784596941</v>
      </c>
      <c r="G126" s="671">
        <f>+G125</f>
        <v>405442.62340908905</v>
      </c>
      <c r="H126" s="671">
        <f>+H125</f>
        <v>115840.74954545456</v>
      </c>
      <c r="I126" s="671">
        <f t="shared" si="137"/>
        <v>289601.87386363448</v>
      </c>
      <c r="J126" s="653">
        <f>+G$29*I126+H126</f>
        <v>150934.01577534055</v>
      </c>
      <c r="K126" s="672">
        <f>+K125</f>
        <v>839904.34312499641</v>
      </c>
      <c r="L126" s="671">
        <f>+L125</f>
        <v>305419.76113636367</v>
      </c>
      <c r="M126" s="671">
        <f t="shared" si="138"/>
        <v>534484.58198863268</v>
      </c>
      <c r="N126" s="653">
        <f>+K$29*M126+L126</f>
        <v>370187.33146060986</v>
      </c>
      <c r="O126" s="672">
        <f>+O125</f>
        <v>576695.53787878458</v>
      </c>
      <c r="P126" s="671">
        <f>+P125</f>
        <v>119316.31818181818</v>
      </c>
      <c r="Q126" s="671">
        <f t="shared" si="139"/>
        <v>457379.21969696641</v>
      </c>
      <c r="R126" s="653">
        <f>+O$29*Q126+P126</f>
        <v>174740.44410581375</v>
      </c>
      <c r="S126" s="589">
        <f>+S125</f>
        <v>184666.40060605749</v>
      </c>
      <c r="T126" s="564">
        <f>+T125</f>
        <v>58315.705454545445</v>
      </c>
      <c r="U126" s="564">
        <f t="shared" si="140"/>
        <v>126350.69515151205</v>
      </c>
      <c r="V126" s="590">
        <f>+S$29*U126+T126</f>
        <v>73626.582156161865</v>
      </c>
      <c r="W126" s="589">
        <f>+W125</f>
        <v>3350919.132575768</v>
      </c>
      <c r="X126" s="564">
        <f>+X125</f>
        <v>693293.61363636365</v>
      </c>
      <c r="Y126" s="564">
        <f t="shared" si="141"/>
        <v>2657625.5189394043</v>
      </c>
      <c r="Z126" s="590">
        <f>+W$29*Y126+X126</f>
        <v>1015338.3526127256</v>
      </c>
      <c r="AA126" s="589">
        <f>+AA125</f>
        <v>2216597.0359848463</v>
      </c>
      <c r="AB126" s="564">
        <f>+AB125</f>
        <v>450833.29545454547</v>
      </c>
      <c r="AC126" s="564">
        <f t="shared" si="142"/>
        <v>1765763.7405303009</v>
      </c>
      <c r="AD126" s="590">
        <f>+AA$29*AC126+AB126</f>
        <v>664804.34549922671</v>
      </c>
      <c r="AE126" s="589">
        <f>+AE125</f>
        <v>20690.488636363702</v>
      </c>
      <c r="AF126" s="564">
        <f>+AF125</f>
        <v>4597.886363636364</v>
      </c>
      <c r="AG126" s="564">
        <f t="shared" si="143"/>
        <v>16092.602272727338</v>
      </c>
      <c r="AH126" s="590">
        <f>+AE$29*AG126+AF126</f>
        <v>6547.9496292988315</v>
      </c>
      <c r="AI126" s="589">
        <f>+AI125</f>
        <v>1724026.6856060657</v>
      </c>
      <c r="AJ126" s="564">
        <f>+AJ125</f>
        <v>295547.43181818182</v>
      </c>
      <c r="AK126" s="564">
        <f t="shared" si="147"/>
        <v>1428479.2537878838</v>
      </c>
      <c r="AL126" s="590">
        <f>+AI$29*AK126+AJ126</f>
        <v>468647.1500218421</v>
      </c>
      <c r="AM126" s="589">
        <f>+AM125</f>
        <v>609768.03625000035</v>
      </c>
      <c r="AN126" s="564">
        <f>+AN125</f>
        <v>110866.91568181818</v>
      </c>
      <c r="AO126" s="564">
        <f t="shared" si="144"/>
        <v>498901.1205681822</v>
      </c>
      <c r="AP126" s="590">
        <f>+AM$29*AO126+AN126</f>
        <v>171322.56678969652</v>
      </c>
      <c r="AQ126" s="589">
        <f>+AQ125</f>
        <v>5203360.3643181827</v>
      </c>
      <c r="AR126" s="564">
        <f>+AR125</f>
        <v>904932.23727272719</v>
      </c>
      <c r="AS126" s="564">
        <f t="shared" si="145"/>
        <v>4298428.1270454554</v>
      </c>
      <c r="AT126" s="590">
        <f>+AQ$29*AS126+AR126</f>
        <v>1425805.5334982397</v>
      </c>
      <c r="AU126" s="671"/>
      <c r="AV126" s="671"/>
      <c r="AW126" s="671"/>
      <c r="AX126" s="653"/>
      <c r="AY126" s="671"/>
      <c r="AZ126" s="671"/>
      <c r="BA126" s="671"/>
      <c r="BB126" s="653"/>
      <c r="BC126" s="671"/>
      <c r="BD126" s="671"/>
      <c r="BE126" s="671"/>
      <c r="BF126" s="653"/>
      <c r="BG126" s="671"/>
      <c r="BH126" s="671"/>
      <c r="BI126" s="671"/>
      <c r="BJ126" s="653"/>
      <c r="BK126" s="671"/>
      <c r="BL126" s="671"/>
      <c r="BM126" s="671"/>
      <c r="BN126" s="653"/>
      <c r="BO126" s="671"/>
      <c r="BP126" s="671"/>
      <c r="BQ126" s="671"/>
      <c r="BR126" s="653"/>
      <c r="BS126" s="589">
        <f>+BS125</f>
        <v>49865.318181818438</v>
      </c>
      <c r="BT126" s="564">
        <f>+BT125</f>
        <v>8310.886363636364</v>
      </c>
      <c r="BU126" s="564">
        <f t="shared" si="146"/>
        <v>41554.431818182071</v>
      </c>
      <c r="BV126" s="590">
        <f>+BS$29*BU126+BT126</f>
        <v>13346.35357029461</v>
      </c>
      <c r="BW126" s="589">
        <f>+BW125</f>
        <v>3605257.6704545608</v>
      </c>
      <c r="BX126" s="564">
        <f>+BX125</f>
        <v>576841.22727272729</v>
      </c>
      <c r="BY126" s="564">
        <f t="shared" si="148"/>
        <v>3028416.4431818333</v>
      </c>
      <c r="BZ126" s="590">
        <f>+BW$29*BY126+BX126</f>
        <v>925334.78362949681</v>
      </c>
      <c r="CA126" s="589">
        <f>+CA125</f>
        <v>340212.0000000014</v>
      </c>
      <c r="CB126" s="564">
        <f>+CB125</f>
        <v>54433.919999999998</v>
      </c>
      <c r="CC126" s="564">
        <f t="shared" si="149"/>
        <v>285778.08000000141</v>
      </c>
      <c r="CD126" s="590">
        <f>+CA$29*CC126+CB126</f>
        <v>89063.827984739197</v>
      </c>
      <c r="CE126" s="589">
        <f>+CE125</f>
        <v>29531.431818182027</v>
      </c>
      <c r="CF126" s="564">
        <f>+CF125</f>
        <v>4725.0290909090909</v>
      </c>
      <c r="CG126" s="564">
        <f t="shared" si="150"/>
        <v>24806.402727272936</v>
      </c>
      <c r="CH126" s="590">
        <f>+CE$29*CG126+CF126</f>
        <v>7731.0099690710585</v>
      </c>
      <c r="CI126" s="589">
        <f>+CI125</f>
        <v>89629.772727272415</v>
      </c>
      <c r="CJ126" s="564">
        <f>+CJ125</f>
        <v>12362.727272727272</v>
      </c>
      <c r="CK126" s="564">
        <f t="shared" si="151"/>
        <v>77267.04545454515</v>
      </c>
      <c r="CL126" s="590">
        <f>+CI$29*CK126+CJ126</f>
        <v>21254.195128892865</v>
      </c>
      <c r="CM126" s="589">
        <f>+CM125</f>
        <v>5683376.8741477393</v>
      </c>
      <c r="CN126" s="564">
        <f>+CN125</f>
        <v>483691.64886363636</v>
      </c>
      <c r="CO126" s="564">
        <f t="shared" si="152"/>
        <v>5199685.2252841033</v>
      </c>
      <c r="CP126" s="590">
        <f>+CM$29*CO126+CN126</f>
        <v>1082042.9093630523</v>
      </c>
      <c r="CQ126" s="589">
        <f>+CQ125</f>
        <v>23708397.580738645</v>
      </c>
      <c r="CR126" s="564">
        <f>+CR125</f>
        <v>2017735.9643181816</v>
      </c>
      <c r="CS126" s="564">
        <f t="shared" si="153"/>
        <v>21690661.616420463</v>
      </c>
      <c r="CT126" s="590">
        <f>+CQ$29*CS126+CR126</f>
        <v>4513778.3509113714</v>
      </c>
      <c r="CU126" s="589">
        <f>+CU125</f>
        <v>8114344.4700000193</v>
      </c>
      <c r="CV126" s="564">
        <f>+CV125</f>
        <v>676195.37250000006</v>
      </c>
      <c r="CW126" s="564">
        <f t="shared" si="154"/>
        <v>7438149.0975000188</v>
      </c>
      <c r="CX126" s="590">
        <f>+CU$29*CW126+CV126</f>
        <v>1532136.7796124956</v>
      </c>
      <c r="CY126" s="589">
        <f>+CY125</f>
        <v>9171.5482954545478</v>
      </c>
      <c r="CZ126" s="564">
        <f>+CZ125</f>
        <v>733.72386363636497</v>
      </c>
      <c r="DA126" s="564">
        <f t="shared" si="155"/>
        <v>8437.8244318181823</v>
      </c>
      <c r="DB126" s="590">
        <f>+CY$29*DA126+CZ126</f>
        <v>1704.7024259733416</v>
      </c>
      <c r="DC126" s="589">
        <f>+DC125</f>
        <v>545500.74090909283</v>
      </c>
      <c r="DD126" s="564">
        <f>+DD125</f>
        <v>44530.672727272722</v>
      </c>
      <c r="DE126" s="564">
        <f t="shared" si="156"/>
        <v>500970.0681818201</v>
      </c>
      <c r="DF126" s="590">
        <f>+DC$29*DE126+DD126</f>
        <v>102179.56083908955</v>
      </c>
      <c r="DG126" s="589">
        <f>+DG125</f>
        <v>307993.42897727183</v>
      </c>
      <c r="DH126" s="564">
        <f>+DH125</f>
        <v>24639.474318181816</v>
      </c>
      <c r="DI126" s="564">
        <f t="shared" si="157"/>
        <v>283353.95465909003</v>
      </c>
      <c r="DJ126" s="590">
        <f>+DG$29*DI126+DH126</f>
        <v>57246.293498951964</v>
      </c>
      <c r="DK126" s="589">
        <f>+DK125</f>
        <v>6687515.5078409165</v>
      </c>
      <c r="DL126" s="564">
        <f>+DL125</f>
        <v>549658.80886363634</v>
      </c>
      <c r="DM126" s="564">
        <f t="shared" si="158"/>
        <v>6137856.6989772804</v>
      </c>
      <c r="DN126" s="590">
        <f>+DK$29*DM126+DL126</f>
        <v>1255969.6975957854</v>
      </c>
      <c r="DO126" s="589">
        <f>+DO125</f>
        <v>257970.60087121185</v>
      </c>
      <c r="DP126" s="564">
        <f>+DP125</f>
        <v>19592.703863636354</v>
      </c>
      <c r="DQ126" s="564">
        <f t="shared" si="134"/>
        <v>238377.89700757549</v>
      </c>
      <c r="DR126" s="590">
        <f>+DO$29*DQ126+DP126</f>
        <v>47023.924979889489</v>
      </c>
      <c r="DS126" s="589">
        <f>+DS125</f>
        <v>111992.66181818164</v>
      </c>
      <c r="DT126" s="564">
        <f>+DT125</f>
        <v>8295.7527272726966</v>
      </c>
      <c r="DU126" s="564">
        <f t="shared" si="61"/>
        <v>103696.90909090894</v>
      </c>
      <c r="DV126" s="590">
        <f>+DS$29*DU126+DT126</f>
        <v>20228.624348563681</v>
      </c>
      <c r="DW126" s="589">
        <f>+DW125</f>
        <v>16188.365170454497</v>
      </c>
      <c r="DX126" s="564">
        <f>+DX125</f>
        <v>1221.7634090909089</v>
      </c>
      <c r="DY126" s="564">
        <f t="shared" si="62"/>
        <v>14966.601761363589</v>
      </c>
      <c r="DZ126" s="590">
        <f>+DW$29*DY126+DX126</f>
        <v>2944.037862505611</v>
      </c>
      <c r="EA126" s="589">
        <f>+EA125</f>
        <v>-99090.863806818903</v>
      </c>
      <c r="EB126" s="564">
        <f>+EB125</f>
        <v>-7120.3015909091364</v>
      </c>
      <c r="EC126" s="564">
        <f t="shared" si="63"/>
        <v>-91970.562215909769</v>
      </c>
      <c r="ED126" s="590">
        <f>+EA$29*EC126+EB126</f>
        <v>-17703.769521455404</v>
      </c>
      <c r="EE126" s="589">
        <f>+EE125</f>
        <v>2961676.4363636305</v>
      </c>
      <c r="EF126" s="564">
        <f>+EF125</f>
        <v>192108.74181818182</v>
      </c>
      <c r="EG126" s="564">
        <f t="shared" si="72"/>
        <v>2769567.6945454488</v>
      </c>
      <c r="EH126" s="590">
        <f>+EE$29*EG126+EF126</f>
        <v>510815.40371600562</v>
      </c>
      <c r="EI126" s="589">
        <f>+EI125</f>
        <v>121440.14450757555</v>
      </c>
      <c r="EJ126" s="564">
        <f>+EJ125</f>
        <v>7669.903863636363</v>
      </c>
      <c r="EK126" s="564">
        <f t="shared" si="74"/>
        <v>113770.24064393918</v>
      </c>
      <c r="EL126" s="590">
        <f>+EI$29*EK126+EJ126</f>
        <v>20761.959237604387</v>
      </c>
      <c r="EM126" s="589">
        <f>+EM125</f>
        <v>4169720.690909097</v>
      </c>
      <c r="EN126" s="564">
        <f>+EN125</f>
        <v>260607.54318181818</v>
      </c>
      <c r="EO126" s="564">
        <f t="shared" si="76"/>
        <v>3909113.147727279</v>
      </c>
      <c r="EP126" s="590">
        <f>+EM$29*EO126+EN126</f>
        <v>710446.84653111966</v>
      </c>
      <c r="EQ126" s="678">
        <f t="shared" si="94"/>
        <v>16012606.78107837</v>
      </c>
      <c r="ER126" s="675">
        <f>+EQ126</f>
        <v>16012606.78107837</v>
      </c>
      <c r="ES126" s="648"/>
      <c r="EV126" s="589"/>
      <c r="EW126" s="564"/>
      <c r="EX126" s="564"/>
      <c r="EY126" s="590"/>
      <c r="EZ126" s="589"/>
      <c r="FA126" s="564"/>
      <c r="FB126" s="564"/>
      <c r="FC126" s="590"/>
      <c r="FD126" s="589"/>
      <c r="FE126" s="564"/>
      <c r="FF126" s="564"/>
      <c r="FG126" s="590"/>
      <c r="FH126" s="589"/>
      <c r="FI126" s="564"/>
      <c r="FJ126" s="564"/>
      <c r="FK126" s="590"/>
      <c r="FL126" s="589"/>
      <c r="FM126" s="564"/>
      <c r="FN126" s="564"/>
      <c r="FO126" s="590"/>
      <c r="FP126" s="589"/>
      <c r="FQ126" s="564"/>
      <c r="FR126" s="564"/>
      <c r="FS126" s="590"/>
      <c r="FT126" s="589"/>
      <c r="FU126" s="564"/>
      <c r="FV126" s="564"/>
      <c r="FW126" s="590"/>
      <c r="FX126" s="589"/>
      <c r="FY126" s="564"/>
      <c r="FZ126" s="564"/>
      <c r="GA126" s="590"/>
      <c r="GB126" s="589"/>
      <c r="GC126" s="564"/>
      <c r="GD126" s="564"/>
      <c r="GE126" s="590"/>
      <c r="GF126" s="589"/>
      <c r="GG126" s="564"/>
      <c r="GH126" s="564"/>
      <c r="GI126" s="590"/>
      <c r="GJ126" s="589"/>
      <c r="GK126" s="564"/>
      <c r="GL126" s="564"/>
      <c r="GM126" s="590"/>
      <c r="GN126" s="589"/>
      <c r="GO126" s="564"/>
      <c r="GP126" s="564"/>
      <c r="GQ126" s="590"/>
      <c r="GR126" s="589"/>
      <c r="GS126" s="564"/>
      <c r="GT126" s="564"/>
      <c r="GU126" s="590"/>
      <c r="GV126" s="672"/>
      <c r="GW126" s="676"/>
      <c r="GX126" s="676"/>
      <c r="GY126" s="1366"/>
      <c r="GZ126" s="1367"/>
      <c r="HA126" s="1373"/>
      <c r="HB126" s="1373"/>
      <c r="HC126" s="1366"/>
      <c r="HD126" s="1367"/>
      <c r="HE126" s="1373"/>
      <c r="HF126" s="1373"/>
      <c r="HG126" s="1366"/>
      <c r="HI126" s="589"/>
      <c r="HJ126" s="564"/>
      <c r="HK126" s="564"/>
      <c r="HL126" s="590"/>
      <c r="HM126" s="589"/>
      <c r="HN126" s="564"/>
      <c r="HO126" s="564"/>
      <c r="HP126" s="590"/>
      <c r="HQ126" s="589"/>
      <c r="HR126" s="564"/>
      <c r="HS126" s="564"/>
      <c r="HT126" s="590"/>
    </row>
    <row r="127" spans="1:228">
      <c r="A127" s="649" t="s">
        <v>24</v>
      </c>
      <c r="B127" s="670">
        <v>2050</v>
      </c>
      <c r="C127" s="671">
        <f>+E126</f>
        <v>1225927.95624999</v>
      </c>
      <c r="D127" s="671">
        <f>+C$31</f>
        <v>445791.98409090913</v>
      </c>
      <c r="E127" s="671">
        <f t="shared" si="136"/>
        <v>780135.97215908091</v>
      </c>
      <c r="F127" s="653">
        <f>+C$28*E127+D127</f>
        <v>535565.75347842393</v>
      </c>
      <c r="G127" s="671">
        <f>+I126</f>
        <v>289601.87386363448</v>
      </c>
      <c r="H127" s="671">
        <f>+G$31</f>
        <v>115840.74954545456</v>
      </c>
      <c r="I127" s="671">
        <f t="shared" si="137"/>
        <v>173761.12431817991</v>
      </c>
      <c r="J127" s="653">
        <f>+G$28*I127+H127</f>
        <v>135836.22682088864</v>
      </c>
      <c r="K127" s="672">
        <f>+M126</f>
        <v>534484.58198863268</v>
      </c>
      <c r="L127" s="671">
        <f>+K$31</f>
        <v>305419.76113636367</v>
      </c>
      <c r="M127" s="671">
        <f t="shared" si="138"/>
        <v>229064.82085226901</v>
      </c>
      <c r="N127" s="653">
        <f>+K$28*M127+L127</f>
        <v>331779.28452184692</v>
      </c>
      <c r="O127" s="672">
        <f>+Q126</f>
        <v>457379.21969696641</v>
      </c>
      <c r="P127" s="671">
        <f>+O$31</f>
        <v>119316.31818181818</v>
      </c>
      <c r="Q127" s="671">
        <f t="shared" si="139"/>
        <v>338062.90151514823</v>
      </c>
      <c r="R127" s="653">
        <f>+O$28*Q127+P127</f>
        <v>158218.74294131435</v>
      </c>
      <c r="S127" s="589">
        <f>+U126</f>
        <v>126350.69515151205</v>
      </c>
      <c r="T127" s="564">
        <f>+S$31</f>
        <v>58315.705454545445</v>
      </c>
      <c r="U127" s="564">
        <f t="shared" si="140"/>
        <v>68034.989696966601</v>
      </c>
      <c r="V127" s="590">
        <f>+S$28*U127+T127</f>
        <v>66144.798962993445</v>
      </c>
      <c r="W127" s="589">
        <f>+Y126</f>
        <v>2657625.5189394043</v>
      </c>
      <c r="X127" s="564">
        <f>+W$31</f>
        <v>693293.61363636365</v>
      </c>
      <c r="Y127" s="564">
        <f t="shared" si="141"/>
        <v>1964331.9053030405</v>
      </c>
      <c r="Z127" s="590">
        <f>+W$28*Y127+X127</f>
        <v>919338.15684485633</v>
      </c>
      <c r="AA127" s="589">
        <f>+AC126</f>
        <v>1765763.7405303009</v>
      </c>
      <c r="AB127" s="564">
        <f>+AA$31</f>
        <v>450833.29545454547</v>
      </c>
      <c r="AC127" s="564">
        <f t="shared" si="142"/>
        <v>1314930.4450757555</v>
      </c>
      <c r="AD127" s="590">
        <f>+AA$28*AC127+AB127</f>
        <v>602148.2799567366</v>
      </c>
      <c r="AE127" s="589">
        <f>+AG126</f>
        <v>16092.602272727338</v>
      </c>
      <c r="AF127" s="564">
        <f>+AE$31</f>
        <v>4597.886363636364</v>
      </c>
      <c r="AG127" s="564">
        <f t="shared" si="143"/>
        <v>11494.715909090974</v>
      </c>
      <c r="AH127" s="590">
        <f>+AE$28*AG127+AF127</f>
        <v>5920.635233095376</v>
      </c>
      <c r="AI127" s="589">
        <f>+AK126</f>
        <v>1428479.2537878838</v>
      </c>
      <c r="AJ127" s="564">
        <f>+AI$31</f>
        <v>295547.43181818182</v>
      </c>
      <c r="AK127" s="564">
        <f t="shared" si="147"/>
        <v>1132931.8219697019</v>
      </c>
      <c r="AL127" s="590">
        <f>+AI$28*AK127+AJ127</f>
        <v>425919.01285911532</v>
      </c>
      <c r="AM127" s="589">
        <f>+AO126</f>
        <v>498901.1205681822</v>
      </c>
      <c r="AN127" s="564">
        <f>+AM$31</f>
        <v>110866.91568181818</v>
      </c>
      <c r="AO127" s="564">
        <f t="shared" si="144"/>
        <v>388034.20488636405</v>
      </c>
      <c r="AP127" s="590">
        <f>+AM$28*AO127+AN127</f>
        <v>155519.76398918056</v>
      </c>
      <c r="AQ127" s="589">
        <f>+AS126</f>
        <v>4298428.1270454554</v>
      </c>
      <c r="AR127" s="564">
        <f>+AQ$31</f>
        <v>904932.23727272719</v>
      </c>
      <c r="AS127" s="564">
        <f t="shared" si="145"/>
        <v>3393495.8897727281</v>
      </c>
      <c r="AT127" s="590">
        <f>+AQ$28*AS127+AR127</f>
        <v>1295437.1342367842</v>
      </c>
      <c r="AU127" s="671"/>
      <c r="AV127" s="671"/>
      <c r="AW127" s="671"/>
      <c r="AX127" s="653"/>
      <c r="AY127" s="671"/>
      <c r="AZ127" s="671"/>
      <c r="BA127" s="671"/>
      <c r="BB127" s="653"/>
      <c r="BC127" s="671"/>
      <c r="BD127" s="671"/>
      <c r="BE127" s="671"/>
      <c r="BF127" s="653"/>
      <c r="BG127" s="671"/>
      <c r="BH127" s="671"/>
      <c r="BI127" s="671"/>
      <c r="BJ127" s="653"/>
      <c r="BK127" s="671"/>
      <c r="BL127" s="671"/>
      <c r="BM127" s="671"/>
      <c r="BN127" s="653"/>
      <c r="BO127" s="671"/>
      <c r="BP127" s="671"/>
      <c r="BQ127" s="671"/>
      <c r="BR127" s="653"/>
      <c r="BS127" s="589">
        <f>+BU126</f>
        <v>41554.431818182071</v>
      </c>
      <c r="BT127" s="564">
        <f>+BS$31</f>
        <v>8310.886363636364</v>
      </c>
      <c r="BU127" s="564">
        <f t="shared" si="146"/>
        <v>33243.545454545703</v>
      </c>
      <c r="BV127" s="590">
        <f>+BS$28*BU127+BT127</f>
        <v>12136.3712659672</v>
      </c>
      <c r="BW127" s="589">
        <f>+BY126</f>
        <v>3028416.4431818333</v>
      </c>
      <c r="BX127" s="564">
        <f>+BW$31</f>
        <v>576841.22727272729</v>
      </c>
      <c r="BY127" s="564">
        <f t="shared" si="148"/>
        <v>2451575.2159091057</v>
      </c>
      <c r="BZ127" s="590">
        <f>+BW$28*BY127+BX127</f>
        <v>858955.05860916013</v>
      </c>
      <c r="CA127" s="589">
        <f>+CC126</f>
        <v>285778.08000000141</v>
      </c>
      <c r="CB127" s="564">
        <f>+CA$31</f>
        <v>54433.919999999998</v>
      </c>
      <c r="CC127" s="564">
        <f t="shared" si="149"/>
        <v>231344.16000000143</v>
      </c>
      <c r="CD127" s="590">
        <f>+CA$28*CC127+CB127</f>
        <v>81055.73723464155</v>
      </c>
      <c r="CE127" s="589">
        <f>+CG126</f>
        <v>24806.402727272936</v>
      </c>
      <c r="CF127" s="564">
        <f>+CE$31</f>
        <v>4725.0290909090909</v>
      </c>
      <c r="CG127" s="564">
        <f t="shared" si="150"/>
        <v>20081.373636363845</v>
      </c>
      <c r="CH127" s="590">
        <f>+CE$28*CG127+CF127</f>
        <v>7035.8834421398478</v>
      </c>
      <c r="CI127" s="589">
        <f>+CK126</f>
        <v>77267.04545454515</v>
      </c>
      <c r="CJ127" s="564">
        <f>+CI$31</f>
        <v>12362.727272727272</v>
      </c>
      <c r="CK127" s="564">
        <f t="shared" si="151"/>
        <v>64904.318181817878</v>
      </c>
      <c r="CL127" s="590">
        <f>+CI$28*CK127+CJ127</f>
        <v>19831.560271906365</v>
      </c>
      <c r="CM127" s="589">
        <f>+CO126</f>
        <v>5199685.2252841033</v>
      </c>
      <c r="CN127" s="564">
        <f>+CM$31</f>
        <v>483691.64886363636</v>
      </c>
      <c r="CO127" s="564">
        <f t="shared" si="152"/>
        <v>4715993.5764204673</v>
      </c>
      <c r="CP127" s="590">
        <f>+CM$28*CO127+CN127</f>
        <v>1026382.3269910137</v>
      </c>
      <c r="CQ127" s="589">
        <f>+CS126</f>
        <v>21690661.616420463</v>
      </c>
      <c r="CR127" s="564">
        <f>+CQ$31</f>
        <v>2017735.9643181816</v>
      </c>
      <c r="CS127" s="564">
        <f t="shared" si="153"/>
        <v>19672925.65210228</v>
      </c>
      <c r="CT127" s="590">
        <f>+CQ$28*CS127+CR127</f>
        <v>4281588.3614608422</v>
      </c>
      <c r="CU127" s="589">
        <f>+CW126</f>
        <v>7438149.0975000188</v>
      </c>
      <c r="CV127" s="564">
        <f>+CU$31</f>
        <v>676195.37250000006</v>
      </c>
      <c r="CW127" s="564">
        <f t="shared" si="154"/>
        <v>6761953.7250000183</v>
      </c>
      <c r="CX127" s="590">
        <f>+CU$28*CW127+CV127</f>
        <v>1454323.9244204508</v>
      </c>
      <c r="CY127" s="589">
        <f>+DA126</f>
        <v>8437.8244318181823</v>
      </c>
      <c r="CZ127" s="564">
        <f>+CY$31</f>
        <v>733.72386363636497</v>
      </c>
      <c r="DA127" s="564">
        <f t="shared" si="155"/>
        <v>7704.1005681818169</v>
      </c>
      <c r="DB127" s="590">
        <f>+CY$28*DA127+CZ127</f>
        <v>1620.2695075092565</v>
      </c>
      <c r="DC127" s="589">
        <f>+DE126</f>
        <v>500970.0681818201</v>
      </c>
      <c r="DD127" s="564">
        <f>+DC$31</f>
        <v>44530.672727272722</v>
      </c>
      <c r="DE127" s="564">
        <f t="shared" si="156"/>
        <v>456439.39545454737</v>
      </c>
      <c r="DF127" s="590">
        <f>+DC$28*DE127+DD127</f>
        <v>97055.215229150301</v>
      </c>
      <c r="DG127" s="589">
        <f>+DI126</f>
        <v>283353.95465909003</v>
      </c>
      <c r="DH127" s="564">
        <f>+DG$31</f>
        <v>24639.474318181816</v>
      </c>
      <c r="DI127" s="564">
        <f t="shared" si="157"/>
        <v>258714.48034090822</v>
      </c>
      <c r="DJ127" s="590">
        <f>+DG$28*DI127+DH127</f>
        <v>54410.917918015424</v>
      </c>
      <c r="DK127" s="589">
        <f>+DM126</f>
        <v>6137856.6989772804</v>
      </c>
      <c r="DL127" s="564">
        <f>+DK$31</f>
        <v>549658.80886363634</v>
      </c>
      <c r="DM127" s="564">
        <f t="shared" si="158"/>
        <v>5588197.8901136443</v>
      </c>
      <c r="DN127" s="590">
        <f>+DK$28*DM127+DL127</f>
        <v>1192717.976216787</v>
      </c>
      <c r="DO127" s="589">
        <f>+DQ126</f>
        <v>238377.89700757549</v>
      </c>
      <c r="DP127" s="564">
        <f>+DO$31</f>
        <v>19592.703863636354</v>
      </c>
      <c r="DQ127" s="564">
        <f t="shared" si="134"/>
        <v>218785.19314393913</v>
      </c>
      <c r="DR127" s="590">
        <f>+DO$28*DQ127+DP127</f>
        <v>44769.304066224846</v>
      </c>
      <c r="DS127" s="589">
        <f>+DU126</f>
        <v>103696.90909090894</v>
      </c>
      <c r="DT127" s="564">
        <f>+DS$31</f>
        <v>8295.7527272726966</v>
      </c>
      <c r="DU127" s="564">
        <f t="shared" si="61"/>
        <v>95401.156363636241</v>
      </c>
      <c r="DV127" s="590">
        <f>+DS$28*DU127+DT127</f>
        <v>19273.994618860404</v>
      </c>
      <c r="DW127" s="589">
        <f>+DY126</f>
        <v>14966.601761363589</v>
      </c>
      <c r="DX127" s="564">
        <f>+DW$31</f>
        <v>1221.7634090909089</v>
      </c>
      <c r="DY127" s="564">
        <f t="shared" si="62"/>
        <v>13744.83835227268</v>
      </c>
      <c r="DZ127" s="590">
        <f>+DW$28*DY127+DX127</f>
        <v>2803.4440295737982</v>
      </c>
      <c r="EA127" s="589">
        <f>+EC126</f>
        <v>-91970.562215909769</v>
      </c>
      <c r="EB127" s="564">
        <f>+EA$31</f>
        <v>-7120.3015909091364</v>
      </c>
      <c r="EC127" s="564">
        <f t="shared" si="63"/>
        <v>-84850.260625000636</v>
      </c>
      <c r="ED127" s="590">
        <f>+EA$28*EC127+EB127</f>
        <v>-16884.40426231634</v>
      </c>
      <c r="EE127" s="589">
        <f>+EG126</f>
        <v>2769567.6945454488</v>
      </c>
      <c r="EF127" s="564">
        <f>+EE$31</f>
        <v>192108.74181818182</v>
      </c>
      <c r="EG127" s="564">
        <f t="shared" si="72"/>
        <v>2577458.9527272671</v>
      </c>
      <c r="EH127" s="590">
        <f>+EE$28*EG127+EF127</f>
        <v>488708.58323754382</v>
      </c>
      <c r="EI127" s="589">
        <f>+EK126</f>
        <v>113770.24064393918</v>
      </c>
      <c r="EJ127" s="564">
        <f>+EI$31</f>
        <v>7669.903863636363</v>
      </c>
      <c r="EK127" s="564">
        <f t="shared" si="74"/>
        <v>106100.33678030281</v>
      </c>
      <c r="EL127" s="590">
        <f>+EI$28*EK127+EJ127</f>
        <v>19879.348762954854</v>
      </c>
      <c r="EM127" s="589">
        <f>+EO126</f>
        <v>3909113.147727279</v>
      </c>
      <c r="EN127" s="564">
        <f>+EM$31</f>
        <v>260607.54318181818</v>
      </c>
      <c r="EO127" s="564">
        <f t="shared" si="76"/>
        <v>3648505.604545461</v>
      </c>
      <c r="EP127" s="590">
        <f>+EM$28*EO127+EN127</f>
        <v>680457.55964116624</v>
      </c>
      <c r="EQ127" s="678">
        <f t="shared" si="94"/>
        <v>14957949.222506829</v>
      </c>
      <c r="ER127" s="652"/>
      <c r="ES127" s="674">
        <f>+EQ127</f>
        <v>14957949.222506829</v>
      </c>
      <c r="EV127" s="589"/>
      <c r="EW127" s="564"/>
      <c r="EX127" s="564"/>
      <c r="EY127" s="590"/>
      <c r="EZ127" s="589"/>
      <c r="FA127" s="564"/>
      <c r="FB127" s="564"/>
      <c r="FC127" s="590"/>
      <c r="FD127" s="589"/>
      <c r="FE127" s="564"/>
      <c r="FF127" s="564"/>
      <c r="FG127" s="590"/>
      <c r="FH127" s="589"/>
      <c r="FI127" s="564"/>
      <c r="FJ127" s="564"/>
      <c r="FK127" s="590"/>
      <c r="FL127" s="589"/>
      <c r="FM127" s="564"/>
      <c r="FN127" s="564"/>
      <c r="FO127" s="590"/>
      <c r="FP127" s="589"/>
      <c r="FQ127" s="564"/>
      <c r="FR127" s="564"/>
      <c r="FS127" s="590"/>
      <c r="FT127" s="589"/>
      <c r="FU127" s="564"/>
      <c r="FV127" s="564"/>
      <c r="FW127" s="590"/>
      <c r="FX127" s="589"/>
      <c r="FY127" s="564"/>
      <c r="FZ127" s="564"/>
      <c r="GA127" s="590"/>
      <c r="GB127" s="589"/>
      <c r="GC127" s="564"/>
      <c r="GD127" s="564"/>
      <c r="GE127" s="590"/>
      <c r="GF127" s="589"/>
      <c r="GG127" s="564"/>
      <c r="GH127" s="564"/>
      <c r="GI127" s="590"/>
      <c r="GJ127" s="589"/>
      <c r="GK127" s="564"/>
      <c r="GL127" s="564"/>
      <c r="GM127" s="590"/>
      <c r="GN127" s="589"/>
      <c r="GO127" s="564"/>
      <c r="GP127" s="564"/>
      <c r="GQ127" s="590"/>
      <c r="GR127" s="589"/>
      <c r="GS127" s="564"/>
      <c r="GT127" s="564"/>
      <c r="GU127" s="590"/>
      <c r="GV127" s="672"/>
      <c r="GW127" s="676"/>
      <c r="GX127" s="676"/>
      <c r="GY127" s="1366"/>
      <c r="GZ127" s="1367"/>
      <c r="HA127" s="1373"/>
      <c r="HB127" s="1373"/>
      <c r="HC127" s="1366"/>
      <c r="HD127" s="1367"/>
      <c r="HE127" s="1373"/>
      <c r="HF127" s="1373"/>
      <c r="HG127" s="1366"/>
      <c r="HI127" s="589"/>
      <c r="HJ127" s="564"/>
      <c r="HK127" s="564"/>
      <c r="HL127" s="590"/>
      <c r="HM127" s="589"/>
      <c r="HN127" s="564"/>
      <c r="HO127" s="564"/>
      <c r="HP127" s="590"/>
      <c r="HQ127" s="589"/>
      <c r="HR127" s="564"/>
      <c r="HS127" s="564"/>
      <c r="HT127" s="590"/>
    </row>
    <row r="128" spans="1:228">
      <c r="A128" s="649" t="s">
        <v>23</v>
      </c>
      <c r="B128" s="670">
        <v>2050</v>
      </c>
      <c r="C128" s="671">
        <f>+C127</f>
        <v>1225927.95624999</v>
      </c>
      <c r="D128" s="671">
        <f>+D127</f>
        <v>445791.98409090913</v>
      </c>
      <c r="E128" s="671">
        <f t="shared" si="136"/>
        <v>780135.97215908091</v>
      </c>
      <c r="F128" s="653">
        <f>+C$29*E128+D128</f>
        <v>540327.00557140168</v>
      </c>
      <c r="G128" s="671">
        <f>+G127</f>
        <v>289601.87386363448</v>
      </c>
      <c r="H128" s="671">
        <f>+H127</f>
        <v>115840.74954545456</v>
      </c>
      <c r="I128" s="671">
        <f t="shared" si="137"/>
        <v>173761.12431817991</v>
      </c>
      <c r="J128" s="653">
        <f>+G$29*I128+H128</f>
        <v>136896.70928338607</v>
      </c>
      <c r="K128" s="672">
        <f>+K127</f>
        <v>534484.58198863268</v>
      </c>
      <c r="L128" s="671">
        <f>+L127</f>
        <v>305419.76113636367</v>
      </c>
      <c r="M128" s="671">
        <f t="shared" si="138"/>
        <v>229064.82085226901</v>
      </c>
      <c r="N128" s="653">
        <f>+K$29*M128+L128</f>
        <v>333177.29127532605</v>
      </c>
      <c r="O128" s="672">
        <f>+O127</f>
        <v>457379.21969696641</v>
      </c>
      <c r="P128" s="671">
        <f>+P127</f>
        <v>119316.31818181818</v>
      </c>
      <c r="Q128" s="671">
        <f t="shared" si="139"/>
        <v>338062.90151514823</v>
      </c>
      <c r="R128" s="653">
        <f>+O$29*Q128+P128</f>
        <v>160281.97647346699</v>
      </c>
      <c r="S128" s="589">
        <f>+S127</f>
        <v>126350.69515151205</v>
      </c>
      <c r="T128" s="564">
        <f>+T127</f>
        <v>58315.705454545445</v>
      </c>
      <c r="U128" s="564">
        <f t="shared" si="140"/>
        <v>68034.989696966601</v>
      </c>
      <c r="V128" s="590">
        <f>+S$29*U128+T128</f>
        <v>66560.02367849258</v>
      </c>
      <c r="W128" s="589">
        <f>+W127</f>
        <v>2657625.5189394043</v>
      </c>
      <c r="X128" s="564">
        <f>+X127</f>
        <v>693293.61363636365</v>
      </c>
      <c r="Y128" s="564">
        <f t="shared" si="141"/>
        <v>1964331.9053030405</v>
      </c>
      <c r="Z128" s="590">
        <f>+W$29*Y128+X128</f>
        <v>931326.68157541403</v>
      </c>
      <c r="AA128" s="589">
        <f>+AA127</f>
        <v>1765763.7405303009</v>
      </c>
      <c r="AB128" s="564">
        <f>+AB127</f>
        <v>450833.29545454547</v>
      </c>
      <c r="AC128" s="564">
        <f t="shared" si="142"/>
        <v>1314930.4450757555</v>
      </c>
      <c r="AD128" s="590">
        <f>+AA$29*AC128+AB128</f>
        <v>610173.43910483993</v>
      </c>
      <c r="AE128" s="589">
        <f>+AE127</f>
        <v>16092.602272727338</v>
      </c>
      <c r="AF128" s="564">
        <f>+AF127</f>
        <v>4597.886363636364</v>
      </c>
      <c r="AG128" s="564">
        <f t="shared" si="143"/>
        <v>11494.715909090974</v>
      </c>
      <c r="AH128" s="590">
        <f>+AE$29*AG128+AF128</f>
        <v>5990.7886962524144</v>
      </c>
      <c r="AI128" s="589">
        <f>+AI127</f>
        <v>1428479.2537878838</v>
      </c>
      <c r="AJ128" s="564">
        <f>+AJ127</f>
        <v>295547.43181818182</v>
      </c>
      <c r="AK128" s="564">
        <f t="shared" si="147"/>
        <v>1132931.8219697019</v>
      </c>
      <c r="AL128" s="590">
        <f>+AI$29*AK128+AJ128</f>
        <v>432833.41522108496</v>
      </c>
      <c r="AM128" s="589">
        <f>+AM127</f>
        <v>498901.1205681822</v>
      </c>
      <c r="AN128" s="564">
        <f>+AN127</f>
        <v>110866.91568181818</v>
      </c>
      <c r="AO128" s="564">
        <f t="shared" si="144"/>
        <v>388034.20488636405</v>
      </c>
      <c r="AP128" s="590">
        <f>+AM$29*AO128+AN128</f>
        <v>157887.97765461245</v>
      </c>
      <c r="AQ128" s="589">
        <f>+AQ127</f>
        <v>4298428.1270454554</v>
      </c>
      <c r="AR128" s="564">
        <f>+AR127</f>
        <v>904932.23727272719</v>
      </c>
      <c r="AS128" s="564">
        <f t="shared" si="145"/>
        <v>3393495.8897727281</v>
      </c>
      <c r="AT128" s="590">
        <f>+AQ$29*AS128+AR128</f>
        <v>1316147.9974507634</v>
      </c>
      <c r="AU128" s="671"/>
      <c r="AV128" s="671"/>
      <c r="AW128" s="671"/>
      <c r="AX128" s="653"/>
      <c r="AY128" s="671"/>
      <c r="AZ128" s="671"/>
      <c r="BA128" s="671"/>
      <c r="BB128" s="653"/>
      <c r="BC128" s="671"/>
      <c r="BD128" s="671"/>
      <c r="BE128" s="671"/>
      <c r="BF128" s="653"/>
      <c r="BG128" s="671"/>
      <c r="BH128" s="671"/>
      <c r="BI128" s="671"/>
      <c r="BJ128" s="653"/>
      <c r="BK128" s="671"/>
      <c r="BL128" s="671"/>
      <c r="BM128" s="671"/>
      <c r="BN128" s="653"/>
      <c r="BO128" s="671"/>
      <c r="BP128" s="671"/>
      <c r="BQ128" s="671"/>
      <c r="BR128" s="653"/>
      <c r="BS128" s="589">
        <f>+BS127</f>
        <v>41554.431818182071</v>
      </c>
      <c r="BT128" s="564">
        <f>+BT127</f>
        <v>8310.886363636364</v>
      </c>
      <c r="BU128" s="564">
        <f t="shared" si="146"/>
        <v>33243.545454545703</v>
      </c>
      <c r="BV128" s="590">
        <f>+BS$29*BU128+BT128</f>
        <v>12339.260128962967</v>
      </c>
      <c r="BW128" s="589">
        <f>+BW127</f>
        <v>3028416.4431818333</v>
      </c>
      <c r="BX128" s="564">
        <f>+BX127</f>
        <v>576841.22727272729</v>
      </c>
      <c r="BY128" s="564">
        <f t="shared" si="148"/>
        <v>2451575.2159091057</v>
      </c>
      <c r="BZ128" s="590">
        <f>+BW$29*BY128+BX128</f>
        <v>858955.05860916013</v>
      </c>
      <c r="CA128" s="589">
        <f>+CA127</f>
        <v>285778.08000000141</v>
      </c>
      <c r="CB128" s="564">
        <f>+CB127</f>
        <v>54433.919999999998</v>
      </c>
      <c r="CC128" s="564">
        <f t="shared" si="149"/>
        <v>231344.16000000143</v>
      </c>
      <c r="CD128" s="590">
        <f>+CA$29*CC128+CB128</f>
        <v>82467.655035265096</v>
      </c>
      <c r="CE128" s="589">
        <f>+CE127</f>
        <v>24806.402727272936</v>
      </c>
      <c r="CF128" s="564">
        <f>+CF127</f>
        <v>4725.0290909090909</v>
      </c>
      <c r="CG128" s="564">
        <f t="shared" si="150"/>
        <v>20081.373636363845</v>
      </c>
      <c r="CH128" s="590">
        <f>+CE$29*CG128+CF128</f>
        <v>7158.4421827544975</v>
      </c>
      <c r="CI128" s="589">
        <f>+CI127</f>
        <v>77267.04545454515</v>
      </c>
      <c r="CJ128" s="564">
        <f>+CJ127</f>
        <v>12362.727272727272</v>
      </c>
      <c r="CK128" s="564">
        <f t="shared" si="151"/>
        <v>64904.318181817878</v>
      </c>
      <c r="CL128" s="590">
        <f>+CI$29*CK128+CJ128</f>
        <v>19831.560271906365</v>
      </c>
      <c r="CM128" s="589">
        <f>+CM127</f>
        <v>5199685.2252841033</v>
      </c>
      <c r="CN128" s="564">
        <f>+CN127</f>
        <v>483691.64886363636</v>
      </c>
      <c r="CO128" s="564">
        <f t="shared" si="152"/>
        <v>4715993.5764204673</v>
      </c>
      <c r="CP128" s="590">
        <f>+CM$29*CO128+CN128</f>
        <v>1026382.3269910137</v>
      </c>
      <c r="CQ128" s="589">
        <f>+CQ127</f>
        <v>21690661.616420463</v>
      </c>
      <c r="CR128" s="564">
        <f>+CR127</f>
        <v>2017735.9643181816</v>
      </c>
      <c r="CS128" s="564">
        <f t="shared" si="153"/>
        <v>19672925.65210228</v>
      </c>
      <c r="CT128" s="590">
        <f>+CQ$29*CS128+CR128</f>
        <v>4281588.3614608422</v>
      </c>
      <c r="CU128" s="589">
        <f>+CU127</f>
        <v>7438149.0975000188</v>
      </c>
      <c r="CV128" s="564">
        <f>+CV127</f>
        <v>676195.37250000006</v>
      </c>
      <c r="CW128" s="564">
        <f t="shared" si="154"/>
        <v>6761953.7250000183</v>
      </c>
      <c r="CX128" s="590">
        <f>+CU$29*CW128+CV128</f>
        <v>1454323.9244204508</v>
      </c>
      <c r="CY128" s="589">
        <f>+CY127</f>
        <v>8437.8244318181823</v>
      </c>
      <c r="CZ128" s="564">
        <f>+CZ127</f>
        <v>733.72386363636497</v>
      </c>
      <c r="DA128" s="564">
        <f t="shared" si="155"/>
        <v>7704.1005681818169</v>
      </c>
      <c r="DB128" s="590">
        <f>+CY$29*DA128+CZ128</f>
        <v>1620.2695075092565</v>
      </c>
      <c r="DC128" s="589">
        <f>+DC127</f>
        <v>500970.0681818201</v>
      </c>
      <c r="DD128" s="564">
        <f>+DD127</f>
        <v>44530.672727272722</v>
      </c>
      <c r="DE128" s="564">
        <f t="shared" si="156"/>
        <v>456439.39545454737</v>
      </c>
      <c r="DF128" s="590">
        <f>+DC$29*DE128+DD128</f>
        <v>97055.215229150301</v>
      </c>
      <c r="DG128" s="589">
        <f>+DG127</f>
        <v>283353.95465909003</v>
      </c>
      <c r="DH128" s="564">
        <f>+DH127</f>
        <v>24639.474318181816</v>
      </c>
      <c r="DI128" s="564">
        <f t="shared" si="157"/>
        <v>258714.48034090822</v>
      </c>
      <c r="DJ128" s="590">
        <f>+DG$29*DI128+DH128</f>
        <v>54410.917918015424</v>
      </c>
      <c r="DK128" s="589">
        <f>+DK127</f>
        <v>6137856.6989772804</v>
      </c>
      <c r="DL128" s="564">
        <f>+DL127</f>
        <v>549658.80886363634</v>
      </c>
      <c r="DM128" s="564">
        <f t="shared" si="158"/>
        <v>5588197.8901136443</v>
      </c>
      <c r="DN128" s="590">
        <f>+DK$29*DM128+DL128</f>
        <v>1192717.976216787</v>
      </c>
      <c r="DO128" s="589">
        <f>+DO127</f>
        <v>238377.89700757549</v>
      </c>
      <c r="DP128" s="564">
        <f>+DP127</f>
        <v>19592.703863636354</v>
      </c>
      <c r="DQ128" s="564">
        <f t="shared" si="134"/>
        <v>218785.19314393913</v>
      </c>
      <c r="DR128" s="590">
        <f>+DO$29*DQ128+DP128</f>
        <v>44769.304066224846</v>
      </c>
      <c r="DS128" s="589">
        <f>+DS127</f>
        <v>103696.90909090894</v>
      </c>
      <c r="DT128" s="564">
        <f>+DT127</f>
        <v>8295.7527272726966</v>
      </c>
      <c r="DU128" s="564">
        <f t="shared" ref="DU128:DU152" si="159">+DS128-DT128</f>
        <v>95401.156363636241</v>
      </c>
      <c r="DV128" s="590">
        <f>+DS$29*DU128+DT128</f>
        <v>19273.994618860404</v>
      </c>
      <c r="DW128" s="589">
        <f>+DW127</f>
        <v>14966.601761363589</v>
      </c>
      <c r="DX128" s="564">
        <f>+DX127</f>
        <v>1221.7634090909089</v>
      </c>
      <c r="DY128" s="564">
        <f t="shared" ref="DY128:DY152" si="160">+DW128-DX128</f>
        <v>13744.83835227268</v>
      </c>
      <c r="DZ128" s="590">
        <f>+DW$29*DY128+DX128</f>
        <v>2803.4440295737982</v>
      </c>
      <c r="EA128" s="589">
        <f>+EA127</f>
        <v>-91970.562215909769</v>
      </c>
      <c r="EB128" s="564">
        <f>+EB127</f>
        <v>-7120.3015909091364</v>
      </c>
      <c r="EC128" s="564">
        <f t="shared" ref="EC128:EC152" si="161">+EA128-EB128</f>
        <v>-84850.260625000636</v>
      </c>
      <c r="ED128" s="590">
        <f>+EA$29*EC128+EB128</f>
        <v>-16884.40426231634</v>
      </c>
      <c r="EE128" s="589">
        <f>+EE127</f>
        <v>2769567.6945454488</v>
      </c>
      <c r="EF128" s="564">
        <f>+EF127</f>
        <v>192108.74181818182</v>
      </c>
      <c r="EG128" s="564">
        <f t="shared" ref="EG128:EG152" si="162">+EE128-EF128</f>
        <v>2577458.9527272671</v>
      </c>
      <c r="EH128" s="590">
        <f>+EE$29*EG128+EF128</f>
        <v>488708.58323754382</v>
      </c>
      <c r="EI128" s="589">
        <f>+EI127</f>
        <v>113770.24064393918</v>
      </c>
      <c r="EJ128" s="564">
        <f>+EJ127</f>
        <v>7669.903863636363</v>
      </c>
      <c r="EK128" s="564">
        <f t="shared" si="74"/>
        <v>106100.33678030281</v>
      </c>
      <c r="EL128" s="590">
        <f>+EI$29*EK128+EJ128</f>
        <v>19879.348762954854</v>
      </c>
      <c r="EM128" s="589">
        <f>+EM127</f>
        <v>3909113.147727279</v>
      </c>
      <c r="EN128" s="564">
        <f>+EN127</f>
        <v>260607.54318181818</v>
      </c>
      <c r="EO128" s="564">
        <f t="shared" si="76"/>
        <v>3648505.604545461</v>
      </c>
      <c r="EP128" s="590">
        <f>+EM$29*EO128+EN128</f>
        <v>680457.55964116624</v>
      </c>
      <c r="EQ128" s="678">
        <f t="shared" si="94"/>
        <v>15019462.104050867</v>
      </c>
      <c r="ER128" s="675">
        <f>+EQ128</f>
        <v>15019462.104050867</v>
      </c>
      <c r="ES128" s="648"/>
      <c r="EV128" s="589"/>
      <c r="EW128" s="564"/>
      <c r="EX128" s="564"/>
      <c r="EY128" s="590"/>
      <c r="EZ128" s="589"/>
      <c r="FA128" s="564"/>
      <c r="FB128" s="564"/>
      <c r="FC128" s="590"/>
      <c r="FD128" s="589"/>
      <c r="FE128" s="564"/>
      <c r="FF128" s="564"/>
      <c r="FG128" s="590"/>
      <c r="FH128" s="589"/>
      <c r="FI128" s="564"/>
      <c r="FJ128" s="564"/>
      <c r="FK128" s="590"/>
      <c r="FL128" s="589"/>
      <c r="FM128" s="564"/>
      <c r="FN128" s="564"/>
      <c r="FO128" s="590"/>
      <c r="FP128" s="589"/>
      <c r="FQ128" s="564"/>
      <c r="FR128" s="564"/>
      <c r="FS128" s="590"/>
      <c r="FT128" s="589"/>
      <c r="FU128" s="564"/>
      <c r="FV128" s="564"/>
      <c r="FW128" s="590"/>
      <c r="FX128" s="589"/>
      <c r="FY128" s="564"/>
      <c r="FZ128" s="564"/>
      <c r="GA128" s="590"/>
      <c r="GB128" s="589"/>
      <c r="GC128" s="564"/>
      <c r="GD128" s="564"/>
      <c r="GE128" s="590"/>
      <c r="GF128" s="589"/>
      <c r="GG128" s="564"/>
      <c r="GH128" s="564"/>
      <c r="GI128" s="590"/>
      <c r="GJ128" s="589"/>
      <c r="GK128" s="564"/>
      <c r="GL128" s="564"/>
      <c r="GM128" s="590"/>
      <c r="GN128" s="589"/>
      <c r="GO128" s="564"/>
      <c r="GP128" s="564"/>
      <c r="GQ128" s="590"/>
      <c r="GR128" s="589"/>
      <c r="GS128" s="564"/>
      <c r="GT128" s="564"/>
      <c r="GU128" s="590"/>
      <c r="GV128" s="672"/>
      <c r="GW128" s="676"/>
      <c r="GX128" s="676"/>
      <c r="GY128" s="1366"/>
      <c r="GZ128" s="1367"/>
      <c r="HA128" s="1373"/>
      <c r="HB128" s="1373"/>
      <c r="HC128" s="1366"/>
      <c r="HD128" s="1367"/>
      <c r="HE128" s="1373"/>
      <c r="HF128" s="1373"/>
      <c r="HG128" s="1366"/>
      <c r="HI128" s="589"/>
      <c r="HJ128" s="564"/>
      <c r="HK128" s="564"/>
      <c r="HL128" s="590"/>
      <c r="HM128" s="589"/>
      <c r="HN128" s="564"/>
      <c r="HO128" s="564"/>
      <c r="HP128" s="590"/>
      <c r="HQ128" s="589"/>
      <c r="HR128" s="564"/>
      <c r="HS128" s="564"/>
      <c r="HT128" s="590"/>
    </row>
    <row r="129" spans="1:228">
      <c r="A129" s="649" t="s">
        <v>24</v>
      </c>
      <c r="B129" s="670">
        <v>2051</v>
      </c>
      <c r="C129" s="671">
        <f>+E128</f>
        <v>780135.97215908091</v>
      </c>
      <c r="D129" s="671">
        <f>+C$31</f>
        <v>445791.98409090913</v>
      </c>
      <c r="E129" s="671">
        <f t="shared" si="136"/>
        <v>334343.98806817178</v>
      </c>
      <c r="F129" s="653">
        <f>+C$28*E129+D129</f>
        <v>484266.45668555767</v>
      </c>
      <c r="G129" s="671">
        <f>+I128</f>
        <v>173761.12431817991</v>
      </c>
      <c r="H129" s="671">
        <f>+G$31</f>
        <v>115840.74954545456</v>
      </c>
      <c r="I129" s="671">
        <f t="shared" si="137"/>
        <v>57920.37477272535</v>
      </c>
      <c r="J129" s="653">
        <f>+G$28*I129+H129</f>
        <v>122505.90863726578</v>
      </c>
      <c r="K129" s="672">
        <f>+M128</f>
        <v>229064.82085226901</v>
      </c>
      <c r="L129" s="671">
        <f>+M127</f>
        <v>229064.82085226901</v>
      </c>
      <c r="M129" s="671">
        <f t="shared" si="138"/>
        <v>0</v>
      </c>
      <c r="N129" s="653">
        <f>+K$28*M129+L129</f>
        <v>229064.82085226901</v>
      </c>
      <c r="O129" s="672">
        <f>+Q128</f>
        <v>338062.90151514823</v>
      </c>
      <c r="P129" s="671">
        <f>+O$31</f>
        <v>119316.31818181818</v>
      </c>
      <c r="Q129" s="671">
        <f t="shared" si="139"/>
        <v>218746.58333333005</v>
      </c>
      <c r="R129" s="653">
        <f>+O$28*Q129+P129</f>
        <v>144488.4753791391</v>
      </c>
      <c r="S129" s="589">
        <f>+U128</f>
        <v>68034.989696966601</v>
      </c>
      <c r="T129" s="564">
        <f>+S$31</f>
        <v>58315.705454545445</v>
      </c>
      <c r="U129" s="564">
        <f t="shared" si="140"/>
        <v>9719.2842424211558</v>
      </c>
      <c r="V129" s="590">
        <f>+S$28*U129+T129</f>
        <v>59434.147384323427</v>
      </c>
      <c r="W129" s="589">
        <f>+Y128</f>
        <v>1964331.9053030405</v>
      </c>
      <c r="X129" s="564">
        <f>+W$31</f>
        <v>693293.61363636365</v>
      </c>
      <c r="Y129" s="564">
        <f t="shared" si="141"/>
        <v>1271038.2916666768</v>
      </c>
      <c r="Z129" s="590">
        <f>+W$28*Y129+X129</f>
        <v>839557.72983009461</v>
      </c>
      <c r="AA129" s="589">
        <f>+AC128</f>
        <v>1314930.4450757555</v>
      </c>
      <c r="AB129" s="564">
        <f>+AA$31</f>
        <v>450833.29545454547</v>
      </c>
      <c r="AC129" s="564">
        <f t="shared" si="142"/>
        <v>864097.14962121006</v>
      </c>
      <c r="AD129" s="590">
        <f>+AA$28*AC129+AB129</f>
        <v>550268.85669884237</v>
      </c>
      <c r="AE129" s="589">
        <f>+AG128</f>
        <v>11494.715909090974</v>
      </c>
      <c r="AF129" s="564">
        <f>+AE$31</f>
        <v>4597.886363636364</v>
      </c>
      <c r="AG129" s="564">
        <f t="shared" si="143"/>
        <v>6896.8295454546096</v>
      </c>
      <c r="AH129" s="590">
        <f>+AE$28*AG129+AF129</f>
        <v>5391.5356853117737</v>
      </c>
      <c r="AI129" s="589">
        <f>+AK128</f>
        <v>1132931.8219697019</v>
      </c>
      <c r="AJ129" s="564">
        <f>+AI$31</f>
        <v>295547.43181818182</v>
      </c>
      <c r="AK129" s="564">
        <f t="shared" si="147"/>
        <v>837384.39015152003</v>
      </c>
      <c r="AL129" s="590">
        <f>+AI$28*AK129+AJ129</f>
        <v>391909.03519626323</v>
      </c>
      <c r="AM129" s="589">
        <f>+AO128</f>
        <v>388034.20488636405</v>
      </c>
      <c r="AN129" s="564">
        <f>+AM$31</f>
        <v>110866.91568181818</v>
      </c>
      <c r="AO129" s="564">
        <f t="shared" si="144"/>
        <v>277167.2892045459</v>
      </c>
      <c r="AP129" s="590">
        <f>+AM$28*AO129+AN129</f>
        <v>142761.80732993421</v>
      </c>
      <c r="AQ129" s="589">
        <f>+AS128</f>
        <v>3393495.8897727281</v>
      </c>
      <c r="AR129" s="564">
        <f>+AQ$31</f>
        <v>904932.23727272719</v>
      </c>
      <c r="AS129" s="564">
        <f t="shared" si="145"/>
        <v>2488563.6525000008</v>
      </c>
      <c r="AT129" s="590">
        <f>+AQ$28*AS129+AR129</f>
        <v>1191302.495046369</v>
      </c>
      <c r="AU129" s="671"/>
      <c r="AV129" s="671"/>
      <c r="AW129" s="671"/>
      <c r="AX129" s="653"/>
      <c r="AY129" s="671"/>
      <c r="AZ129" s="671"/>
      <c r="BA129" s="671"/>
      <c r="BB129" s="653"/>
      <c r="BC129" s="671"/>
      <c r="BD129" s="671"/>
      <c r="BE129" s="671"/>
      <c r="BF129" s="653"/>
      <c r="BG129" s="671"/>
      <c r="BH129" s="671"/>
      <c r="BI129" s="671"/>
      <c r="BJ129" s="653"/>
      <c r="BK129" s="671"/>
      <c r="BL129" s="671"/>
      <c r="BM129" s="671"/>
      <c r="BN129" s="653"/>
      <c r="BO129" s="671"/>
      <c r="BP129" s="671"/>
      <c r="BQ129" s="671"/>
      <c r="BR129" s="653"/>
      <c r="BS129" s="589">
        <f>+BU128</f>
        <v>33243.545454545703</v>
      </c>
      <c r="BT129" s="564">
        <f>+BS$31</f>
        <v>8310.886363636364</v>
      </c>
      <c r="BU129" s="564">
        <f t="shared" si="146"/>
        <v>24932.659090909339</v>
      </c>
      <c r="BV129" s="590">
        <f>+BS$28*BU129+BT129</f>
        <v>11180.000040384497</v>
      </c>
      <c r="BW129" s="589">
        <f>+BY128</f>
        <v>2451575.2159091057</v>
      </c>
      <c r="BX129" s="564">
        <f>+BW$31</f>
        <v>576841.22727272729</v>
      </c>
      <c r="BY129" s="564">
        <f t="shared" si="148"/>
        <v>1874733.9886363784</v>
      </c>
      <c r="BZ129" s="590">
        <f>+BW$28*BY129+BX129</f>
        <v>792575.33358882333</v>
      </c>
      <c r="CA129" s="589">
        <f>+CC128</f>
        <v>231344.16000000143</v>
      </c>
      <c r="CB129" s="564">
        <f>+CA$31</f>
        <v>54433.919999999998</v>
      </c>
      <c r="CC129" s="564">
        <f t="shared" si="149"/>
        <v>176910.24000000145</v>
      </c>
      <c r="CD129" s="590">
        <f>+CA$28*CC129+CB129</f>
        <v>74791.780238255349</v>
      </c>
      <c r="CE129" s="589">
        <f>+CG128</f>
        <v>20081.373636363845</v>
      </c>
      <c r="CF129" s="564">
        <f>+CE$31</f>
        <v>4725.0290909090909</v>
      </c>
      <c r="CG129" s="564">
        <f t="shared" si="150"/>
        <v>15356.344545454755</v>
      </c>
      <c r="CH129" s="590">
        <f>+CE$28*CG129+CF129</f>
        <v>6492.1530065561456</v>
      </c>
      <c r="CI129" s="589">
        <f>+CK128</f>
        <v>64904.318181817878</v>
      </c>
      <c r="CJ129" s="564">
        <f>+CI$31</f>
        <v>12362.727272727272</v>
      </c>
      <c r="CK129" s="564">
        <f t="shared" si="151"/>
        <v>52541.590909090606</v>
      </c>
      <c r="CL129" s="590">
        <f>+CI$28*CK129+CJ129</f>
        <v>18408.925414919864</v>
      </c>
      <c r="CM129" s="589">
        <f>+CO128</f>
        <v>4715993.5764204673</v>
      </c>
      <c r="CN129" s="564">
        <f>+CM$31</f>
        <v>483691.64886363636</v>
      </c>
      <c r="CO129" s="564">
        <f t="shared" si="152"/>
        <v>4232301.9275568314</v>
      </c>
      <c r="CP129" s="590">
        <f>+CM$28*CO129+CN129</f>
        <v>970721.74461897521</v>
      </c>
      <c r="CQ129" s="589">
        <f>+CS128</f>
        <v>19672925.65210228</v>
      </c>
      <c r="CR129" s="564">
        <f>+CQ$31</f>
        <v>2017735.9643181816</v>
      </c>
      <c r="CS129" s="564">
        <f t="shared" si="153"/>
        <v>17655189.687784098</v>
      </c>
      <c r="CT129" s="590">
        <f>+CQ$28*CS129+CR129</f>
        <v>4049398.372010313</v>
      </c>
      <c r="CU129" s="589">
        <f>+CW128</f>
        <v>6761953.7250000183</v>
      </c>
      <c r="CV129" s="564">
        <f>+CU$31</f>
        <v>676195.37250000006</v>
      </c>
      <c r="CW129" s="564">
        <f t="shared" si="154"/>
        <v>6085758.3525000177</v>
      </c>
      <c r="CX129" s="590">
        <f>+CU$28*CW129+CV129</f>
        <v>1376511.0692284058</v>
      </c>
      <c r="CY129" s="589">
        <f>+DA128</f>
        <v>7704.1005681818169</v>
      </c>
      <c r="CZ129" s="564">
        <f>+CY$31</f>
        <v>733.72386363636497</v>
      </c>
      <c r="DA129" s="564">
        <f t="shared" si="155"/>
        <v>6970.3767045454515</v>
      </c>
      <c r="DB129" s="590">
        <f>+CY$28*DA129+CZ129</f>
        <v>1535.8365890451714</v>
      </c>
      <c r="DC129" s="589">
        <f>+DE128</f>
        <v>456439.39545454737</v>
      </c>
      <c r="DD129" s="564">
        <f>+DC$31</f>
        <v>44530.672727272722</v>
      </c>
      <c r="DE129" s="564">
        <f t="shared" si="156"/>
        <v>411908.72272727464</v>
      </c>
      <c r="DF129" s="590">
        <f>+DC$28*DE129+DD129</f>
        <v>91930.869619211036</v>
      </c>
      <c r="DG129" s="589">
        <f>+DI128</f>
        <v>258714.48034090822</v>
      </c>
      <c r="DH129" s="564">
        <f>+DG$31</f>
        <v>24639.474318181816</v>
      </c>
      <c r="DI129" s="564">
        <f t="shared" si="157"/>
        <v>234075.00602272642</v>
      </c>
      <c r="DJ129" s="590">
        <f>+DG$28*DI129+DH129</f>
        <v>51575.542337078878</v>
      </c>
      <c r="DK129" s="589">
        <f>+DM128</f>
        <v>5588197.8901136443</v>
      </c>
      <c r="DL129" s="564">
        <f>+DK$31</f>
        <v>549658.80886363634</v>
      </c>
      <c r="DM129" s="564">
        <f t="shared" si="158"/>
        <v>5038539.0812500082</v>
      </c>
      <c r="DN129" s="590">
        <f>+DK$28*DM129+DL129</f>
        <v>1129466.2548377886</v>
      </c>
      <c r="DO129" s="589">
        <f>+DQ128</f>
        <v>218785.19314393913</v>
      </c>
      <c r="DP129" s="564">
        <f>+DO$31</f>
        <v>19592.703863636354</v>
      </c>
      <c r="DQ129" s="564">
        <f t="shared" si="134"/>
        <v>199192.48928030278</v>
      </c>
      <c r="DR129" s="590">
        <f>+DO$28*DQ129+DP129</f>
        <v>42514.683152560203</v>
      </c>
      <c r="DS129" s="589">
        <f>+DU128</f>
        <v>95401.156363636241</v>
      </c>
      <c r="DT129" s="564">
        <f>+DS$31</f>
        <v>8295.7527272726966</v>
      </c>
      <c r="DU129" s="564">
        <f t="shared" si="159"/>
        <v>87105.403636363539</v>
      </c>
      <c r="DV129" s="590">
        <f>+DS$28*DU129+DT129</f>
        <v>18319.364889157128</v>
      </c>
      <c r="DW129" s="589">
        <f>+DY128</f>
        <v>13744.83835227268</v>
      </c>
      <c r="DX129" s="564">
        <f>+DW$31</f>
        <v>1221.7634090909089</v>
      </c>
      <c r="DY129" s="564">
        <f t="shared" si="160"/>
        <v>12523.074943181771</v>
      </c>
      <c r="DZ129" s="590">
        <f>+DW$28*DY129+DX129</f>
        <v>2662.8501966419853</v>
      </c>
      <c r="EA129" s="589">
        <f>+EC128</f>
        <v>-84850.260625000636</v>
      </c>
      <c r="EB129" s="564">
        <f>+EA$31</f>
        <v>-7120.3015909091364</v>
      </c>
      <c r="EC129" s="564">
        <f t="shared" si="161"/>
        <v>-77729.959034091502</v>
      </c>
      <c r="ED129" s="590">
        <f>+EA$28*EC129+EB129</f>
        <v>-16065.039003177277</v>
      </c>
      <c r="EE129" s="589">
        <f>+EG128</f>
        <v>2577458.9527272671</v>
      </c>
      <c r="EF129" s="564">
        <f>+EE$31</f>
        <v>192108.74181818182</v>
      </c>
      <c r="EG129" s="564">
        <f t="shared" si="162"/>
        <v>2385350.2109090853</v>
      </c>
      <c r="EH129" s="590">
        <f>+EE$28*EG129+EF129</f>
        <v>466601.76275908202</v>
      </c>
      <c r="EI129" s="589">
        <f>+EK128</f>
        <v>106100.33678030281</v>
      </c>
      <c r="EJ129" s="564">
        <f>+EI$31</f>
        <v>7669.903863636363</v>
      </c>
      <c r="EK129" s="564">
        <f t="shared" si="74"/>
        <v>98430.432916666439</v>
      </c>
      <c r="EL129" s="590">
        <f>+EI$28*EK129+EJ129</f>
        <v>18996.738288305321</v>
      </c>
      <c r="EM129" s="589">
        <f>+EO128</f>
        <v>3648505.604545461</v>
      </c>
      <c r="EN129" s="564">
        <f>+EM$31</f>
        <v>260607.54318181818</v>
      </c>
      <c r="EO129" s="564">
        <f t="shared" si="76"/>
        <v>3387898.061363643</v>
      </c>
      <c r="EP129" s="590">
        <f>+EM$28*EO129+EN129</f>
        <v>650468.27275121293</v>
      </c>
      <c r="EQ129" s="678">
        <f t="shared" si="94"/>
        <v>13919037.783288911</v>
      </c>
      <c r="ER129" s="652"/>
      <c r="ES129" s="674">
        <f>+EQ129</f>
        <v>13919037.783288911</v>
      </c>
      <c r="EV129" s="589"/>
      <c r="EW129" s="564"/>
      <c r="EX129" s="564"/>
      <c r="EY129" s="590"/>
      <c r="EZ129" s="589"/>
      <c r="FA129" s="564"/>
      <c r="FB129" s="564"/>
      <c r="FC129" s="590"/>
      <c r="FD129" s="589"/>
      <c r="FE129" s="564"/>
      <c r="FF129" s="564"/>
      <c r="FG129" s="590"/>
      <c r="FH129" s="589"/>
      <c r="FI129" s="564"/>
      <c r="FJ129" s="564"/>
      <c r="FK129" s="590"/>
      <c r="FL129" s="589"/>
      <c r="FM129" s="564"/>
      <c r="FN129" s="564"/>
      <c r="FO129" s="590"/>
      <c r="FP129" s="589"/>
      <c r="FQ129" s="564"/>
      <c r="FR129" s="564"/>
      <c r="FS129" s="590"/>
      <c r="FT129" s="589"/>
      <c r="FU129" s="564"/>
      <c r="FV129" s="564"/>
      <c r="FW129" s="590"/>
      <c r="FX129" s="589"/>
      <c r="FY129" s="564"/>
      <c r="FZ129" s="564"/>
      <c r="GA129" s="590"/>
      <c r="GB129" s="589"/>
      <c r="GC129" s="564"/>
      <c r="GD129" s="564"/>
      <c r="GE129" s="590"/>
      <c r="GF129" s="589"/>
      <c r="GG129" s="564"/>
      <c r="GH129" s="564"/>
      <c r="GI129" s="590"/>
      <c r="GJ129" s="589"/>
      <c r="GK129" s="564"/>
      <c r="GL129" s="564"/>
      <c r="GM129" s="590"/>
      <c r="GN129" s="589"/>
      <c r="GO129" s="564"/>
      <c r="GP129" s="564"/>
      <c r="GQ129" s="590"/>
      <c r="GR129" s="589"/>
      <c r="GS129" s="564"/>
      <c r="GT129" s="564"/>
      <c r="GU129" s="590"/>
      <c r="GV129" s="672"/>
      <c r="GW129" s="676"/>
      <c r="GX129" s="676"/>
      <c r="GY129" s="1366"/>
      <c r="GZ129" s="1367"/>
      <c r="HA129" s="1373"/>
      <c r="HB129" s="1373"/>
      <c r="HC129" s="1366"/>
      <c r="HD129" s="1367"/>
      <c r="HE129" s="1373"/>
      <c r="HF129" s="1373"/>
      <c r="HG129" s="1366"/>
      <c r="HI129" s="589"/>
      <c r="HJ129" s="564"/>
      <c r="HK129" s="564"/>
      <c r="HL129" s="590"/>
      <c r="HM129" s="589"/>
      <c r="HN129" s="564"/>
      <c r="HO129" s="564"/>
      <c r="HP129" s="590"/>
      <c r="HQ129" s="589"/>
      <c r="HR129" s="564"/>
      <c r="HS129" s="564"/>
      <c r="HT129" s="590"/>
    </row>
    <row r="130" spans="1:228">
      <c r="A130" s="649" t="s">
        <v>23</v>
      </c>
      <c r="B130" s="670">
        <v>2051</v>
      </c>
      <c r="C130" s="671">
        <f>+C129</f>
        <v>780135.97215908091</v>
      </c>
      <c r="D130" s="671">
        <f>+D129</f>
        <v>445791.98409090913</v>
      </c>
      <c r="E130" s="671">
        <f>+C130-D130</f>
        <v>334343.98806817178</v>
      </c>
      <c r="F130" s="653">
        <f>+C$29*E130+D130</f>
        <v>486306.99329683377</v>
      </c>
      <c r="G130" s="671">
        <f>+G129</f>
        <v>173761.12431817991</v>
      </c>
      <c r="H130" s="671">
        <f>+H129</f>
        <v>115840.74954545456</v>
      </c>
      <c r="I130" s="671">
        <f>+G130-H130</f>
        <v>57920.37477272535</v>
      </c>
      <c r="J130" s="653">
        <f>+G$29*I130+H130</f>
        <v>122859.40279143157</v>
      </c>
      <c r="K130" s="672">
        <f>+K129</f>
        <v>229064.82085226901</v>
      </c>
      <c r="L130" s="671">
        <f>+L129</f>
        <v>229064.82085226901</v>
      </c>
      <c r="M130" s="671">
        <f t="shared" si="138"/>
        <v>0</v>
      </c>
      <c r="N130" s="653">
        <f>+K$29*M130+L130</f>
        <v>229064.82085226901</v>
      </c>
      <c r="O130" s="672">
        <f>+O129</f>
        <v>338062.90151514823</v>
      </c>
      <c r="P130" s="671">
        <f>+P129</f>
        <v>119316.31818181818</v>
      </c>
      <c r="Q130" s="671">
        <f t="shared" si="139"/>
        <v>218746.58333333005</v>
      </c>
      <c r="R130" s="653">
        <f>+O$29*Q130+P130</f>
        <v>145823.5088411202</v>
      </c>
      <c r="S130" s="589">
        <f>+S129</f>
        <v>68034.989696966601</v>
      </c>
      <c r="T130" s="564">
        <f>+T129</f>
        <v>58315.705454545445</v>
      </c>
      <c r="U130" s="564">
        <f t="shared" si="140"/>
        <v>9719.2842424211558</v>
      </c>
      <c r="V130" s="590">
        <f>+S$29*U130+T130</f>
        <v>59493.465200823288</v>
      </c>
      <c r="W130" s="589">
        <f>+W129</f>
        <v>1964331.9053030405</v>
      </c>
      <c r="X130" s="564">
        <f>+X129</f>
        <v>693293.61363636365</v>
      </c>
      <c r="Y130" s="564">
        <f t="shared" si="141"/>
        <v>1271038.2916666768</v>
      </c>
      <c r="Z130" s="590">
        <f>+W$29*Y130+X130</f>
        <v>847315.01053810259</v>
      </c>
      <c r="AA130" s="589">
        <f>+AA129</f>
        <v>1314930.4450757555</v>
      </c>
      <c r="AB130" s="564">
        <f>+AB129</f>
        <v>450833.29545454547</v>
      </c>
      <c r="AC130" s="564">
        <f t="shared" si="142"/>
        <v>864097.14962121006</v>
      </c>
      <c r="AD130" s="590">
        <f>+AA$29*AC130+AB130</f>
        <v>555542.53271045315</v>
      </c>
      <c r="AE130" s="589">
        <f>+AE129</f>
        <v>11494.715909090974</v>
      </c>
      <c r="AF130" s="564">
        <f>+AF129</f>
        <v>4597.886363636364</v>
      </c>
      <c r="AG130" s="564">
        <f t="shared" si="143"/>
        <v>6896.8295454546096</v>
      </c>
      <c r="AH130" s="590">
        <f>+AE$29*AG130+AF130</f>
        <v>5433.6277632059973</v>
      </c>
      <c r="AI130" s="589">
        <f>+AI129</f>
        <v>1132931.8219697019</v>
      </c>
      <c r="AJ130" s="564">
        <f>+AJ129</f>
        <v>295547.43181818182</v>
      </c>
      <c r="AK130" s="564">
        <f t="shared" si="147"/>
        <v>837384.39015152003</v>
      </c>
      <c r="AL130" s="590">
        <f>+AI$29*AK130+AJ130</f>
        <v>397019.68042032776</v>
      </c>
      <c r="AM130" s="589">
        <f>+AM129</f>
        <v>388034.20488636405</v>
      </c>
      <c r="AN130" s="564">
        <f>+AN129</f>
        <v>110866.91568181818</v>
      </c>
      <c r="AO130" s="564">
        <f t="shared" si="144"/>
        <v>277167.2892045459</v>
      </c>
      <c r="AP130" s="590">
        <f>+AM$29*AO130+AN130</f>
        <v>144453.38851952838</v>
      </c>
      <c r="AQ130" s="589">
        <f>+AQ129</f>
        <v>3393495.8897727281</v>
      </c>
      <c r="AR130" s="564">
        <f>+AR129</f>
        <v>904932.23727272719</v>
      </c>
      <c r="AS130" s="564">
        <f t="shared" si="145"/>
        <v>2488563.6525000008</v>
      </c>
      <c r="AT130" s="590">
        <f>+AQ$29*AS130+AR130</f>
        <v>1206490.461403287</v>
      </c>
      <c r="AU130" s="671"/>
      <c r="AV130" s="671"/>
      <c r="AW130" s="671"/>
      <c r="AX130" s="653"/>
      <c r="AY130" s="671"/>
      <c r="AZ130" s="671"/>
      <c r="BA130" s="671"/>
      <c r="BB130" s="653"/>
      <c r="BC130" s="671"/>
      <c r="BD130" s="671"/>
      <c r="BE130" s="671"/>
      <c r="BF130" s="653"/>
      <c r="BG130" s="671"/>
      <c r="BH130" s="671"/>
      <c r="BI130" s="671"/>
      <c r="BJ130" s="653"/>
      <c r="BK130" s="671"/>
      <c r="BL130" s="671"/>
      <c r="BM130" s="671"/>
      <c r="BN130" s="653"/>
      <c r="BO130" s="671"/>
      <c r="BP130" s="671"/>
      <c r="BQ130" s="671"/>
      <c r="BR130" s="653"/>
      <c r="BS130" s="589">
        <f>+BS129</f>
        <v>33243.545454545703</v>
      </c>
      <c r="BT130" s="564">
        <f>+BT129</f>
        <v>8310.886363636364</v>
      </c>
      <c r="BU130" s="564">
        <f t="shared" si="146"/>
        <v>24932.659090909339</v>
      </c>
      <c r="BV130" s="590">
        <f>+BS$29*BU130+BT130</f>
        <v>11332.166687631323</v>
      </c>
      <c r="BW130" s="589">
        <f>+BW129</f>
        <v>2451575.2159091057</v>
      </c>
      <c r="BX130" s="564">
        <f>+BX129</f>
        <v>576841.22727272729</v>
      </c>
      <c r="BY130" s="564">
        <f t="shared" si="148"/>
        <v>1874733.9886363784</v>
      </c>
      <c r="BZ130" s="590">
        <f>+BW$29*BY130+BX130</f>
        <v>792575.33358882333</v>
      </c>
      <c r="CA130" s="589">
        <f>+CA129</f>
        <v>231344.16000000143</v>
      </c>
      <c r="CB130" s="564">
        <f>+CB129</f>
        <v>54433.919999999998</v>
      </c>
      <c r="CC130" s="564">
        <f t="shared" si="149"/>
        <v>176910.24000000145</v>
      </c>
      <c r="CD130" s="590">
        <f>+CA$29*CC130+CB130</f>
        <v>75871.482085791009</v>
      </c>
      <c r="CE130" s="589">
        <f>+CE129</f>
        <v>20081.373636363845</v>
      </c>
      <c r="CF130" s="564">
        <f>+CF129</f>
        <v>4725.0290909090909</v>
      </c>
      <c r="CG130" s="564">
        <f t="shared" si="150"/>
        <v>15356.344545454755</v>
      </c>
      <c r="CH130" s="590">
        <f>+CE$29*CG130+CF130</f>
        <v>6585.8743964379373</v>
      </c>
      <c r="CI130" s="589">
        <f>+CI129</f>
        <v>64904.318181817878</v>
      </c>
      <c r="CJ130" s="564">
        <f>+CJ129</f>
        <v>12362.727272727272</v>
      </c>
      <c r="CK130" s="564">
        <f t="shared" si="151"/>
        <v>52541.590909090606</v>
      </c>
      <c r="CL130" s="590">
        <f>+CI$29*CK130+CJ130</f>
        <v>18408.925414919864</v>
      </c>
      <c r="CM130" s="589">
        <f>+CM129</f>
        <v>4715993.5764204673</v>
      </c>
      <c r="CN130" s="564">
        <f>+CN129</f>
        <v>483691.64886363636</v>
      </c>
      <c r="CO130" s="564">
        <f t="shared" si="152"/>
        <v>4232301.9275568314</v>
      </c>
      <c r="CP130" s="590">
        <f>+CM$29*CO130+CN130</f>
        <v>970721.74461897521</v>
      </c>
      <c r="CQ130" s="589">
        <f>+CQ129</f>
        <v>19672925.65210228</v>
      </c>
      <c r="CR130" s="564">
        <f>+CR129</f>
        <v>2017735.9643181816</v>
      </c>
      <c r="CS130" s="564">
        <f t="shared" si="153"/>
        <v>17655189.687784098</v>
      </c>
      <c r="CT130" s="590">
        <f>+CQ$29*CS130+CR130</f>
        <v>4049398.372010313</v>
      </c>
      <c r="CU130" s="589">
        <f>+CU129</f>
        <v>6761953.7250000183</v>
      </c>
      <c r="CV130" s="564">
        <f>+CV129</f>
        <v>676195.37250000006</v>
      </c>
      <c r="CW130" s="564">
        <f t="shared" si="154"/>
        <v>6085758.3525000177</v>
      </c>
      <c r="CX130" s="590">
        <f>+CU$29*CW130+CV130</f>
        <v>1376511.0692284058</v>
      </c>
      <c r="CY130" s="589">
        <f>+CY129</f>
        <v>7704.1005681818169</v>
      </c>
      <c r="CZ130" s="564">
        <f>+CZ129</f>
        <v>733.72386363636497</v>
      </c>
      <c r="DA130" s="564">
        <f t="shared" si="155"/>
        <v>6970.3767045454515</v>
      </c>
      <c r="DB130" s="590">
        <f>+CY$29*DA130+CZ130</f>
        <v>1535.8365890451714</v>
      </c>
      <c r="DC130" s="589">
        <f>+DC129</f>
        <v>456439.39545454737</v>
      </c>
      <c r="DD130" s="564">
        <f>+DD129</f>
        <v>44530.672727272722</v>
      </c>
      <c r="DE130" s="564">
        <f t="shared" si="156"/>
        <v>411908.72272727464</v>
      </c>
      <c r="DF130" s="590">
        <f>+DC$29*DE130+DD130</f>
        <v>91930.869619211036</v>
      </c>
      <c r="DG130" s="589">
        <f>+DG129</f>
        <v>258714.48034090822</v>
      </c>
      <c r="DH130" s="564">
        <f>+DH129</f>
        <v>24639.474318181816</v>
      </c>
      <c r="DI130" s="564">
        <f t="shared" si="157"/>
        <v>234075.00602272642</v>
      </c>
      <c r="DJ130" s="590">
        <f>+DG$29*DI130+DH130</f>
        <v>51575.542337078878</v>
      </c>
      <c r="DK130" s="589">
        <f>+DK129</f>
        <v>5588197.8901136443</v>
      </c>
      <c r="DL130" s="564">
        <f>+DL129</f>
        <v>549658.80886363634</v>
      </c>
      <c r="DM130" s="564">
        <f t="shared" si="158"/>
        <v>5038539.0812500082</v>
      </c>
      <c r="DN130" s="590">
        <f>+DK$29*DM130+DL130</f>
        <v>1129466.2548377886</v>
      </c>
      <c r="DO130" s="589">
        <f>+DO129</f>
        <v>218785.19314393913</v>
      </c>
      <c r="DP130" s="564">
        <f>+DP129</f>
        <v>19592.703863636354</v>
      </c>
      <c r="DQ130" s="564">
        <f t="shared" si="134"/>
        <v>199192.48928030278</v>
      </c>
      <c r="DR130" s="590">
        <f>+DO$29*DQ130+DP130</f>
        <v>42514.683152560203</v>
      </c>
      <c r="DS130" s="589">
        <f>+DS129</f>
        <v>95401.156363636241</v>
      </c>
      <c r="DT130" s="564">
        <f>+DT129</f>
        <v>8295.7527272726966</v>
      </c>
      <c r="DU130" s="564">
        <f t="shared" si="159"/>
        <v>87105.403636363539</v>
      </c>
      <c r="DV130" s="590">
        <f>+DS$29*DU130+DT130</f>
        <v>18319.364889157128</v>
      </c>
      <c r="DW130" s="589">
        <f>+DW129</f>
        <v>13744.83835227268</v>
      </c>
      <c r="DX130" s="564">
        <f>+DX129</f>
        <v>1221.7634090909089</v>
      </c>
      <c r="DY130" s="564">
        <f t="shared" si="160"/>
        <v>12523.074943181771</v>
      </c>
      <c r="DZ130" s="590">
        <f>+DW$29*DY130+DX130</f>
        <v>2662.8501966419853</v>
      </c>
      <c r="EA130" s="589">
        <f>+EA129</f>
        <v>-84850.260625000636</v>
      </c>
      <c r="EB130" s="564">
        <f>+EB129</f>
        <v>-7120.3015909091364</v>
      </c>
      <c r="EC130" s="564">
        <f t="shared" si="161"/>
        <v>-77729.959034091502</v>
      </c>
      <c r="ED130" s="590">
        <f>+EA$29*EC130+EB130</f>
        <v>-16065.039003177277</v>
      </c>
      <c r="EE130" s="589">
        <f>+EE129</f>
        <v>2577458.9527272671</v>
      </c>
      <c r="EF130" s="564">
        <f>+EF129</f>
        <v>192108.74181818182</v>
      </c>
      <c r="EG130" s="564">
        <f t="shared" si="162"/>
        <v>2385350.2109090853</v>
      </c>
      <c r="EH130" s="590">
        <f>+EE$29*EG130+EF130</f>
        <v>466601.76275908202</v>
      </c>
      <c r="EI130" s="589">
        <f>+EI129</f>
        <v>106100.33678030281</v>
      </c>
      <c r="EJ130" s="564">
        <f>+EJ129</f>
        <v>7669.903863636363</v>
      </c>
      <c r="EK130" s="564">
        <f t="shared" si="74"/>
        <v>98430.432916666439</v>
      </c>
      <c r="EL130" s="590">
        <f>+EI$29*EK130+EJ130</f>
        <v>18996.738288305321</v>
      </c>
      <c r="EM130" s="589">
        <f>+EM129</f>
        <v>3648505.604545461</v>
      </c>
      <c r="EN130" s="564">
        <f>+EN129</f>
        <v>260607.54318181818</v>
      </c>
      <c r="EO130" s="564">
        <f t="shared" si="76"/>
        <v>3387898.061363643</v>
      </c>
      <c r="EP130" s="590">
        <f>+EM$29*EO130+EN130</f>
        <v>650468.27275121293</v>
      </c>
      <c r="EQ130" s="678">
        <f t="shared" si="94"/>
        <v>13959214.996785589</v>
      </c>
      <c r="ER130" s="675">
        <f>+EQ130</f>
        <v>13959214.996785589</v>
      </c>
      <c r="ES130" s="648"/>
      <c r="EV130" s="589"/>
      <c r="EW130" s="564"/>
      <c r="EX130" s="564"/>
      <c r="EY130" s="590"/>
      <c r="EZ130" s="589"/>
      <c r="FA130" s="564"/>
      <c r="FB130" s="564"/>
      <c r="FC130" s="590"/>
      <c r="FD130" s="589"/>
      <c r="FE130" s="564"/>
      <c r="FF130" s="564"/>
      <c r="FG130" s="590"/>
      <c r="FH130" s="589"/>
      <c r="FI130" s="564"/>
      <c r="FJ130" s="564"/>
      <c r="FK130" s="590"/>
      <c r="FL130" s="589"/>
      <c r="FM130" s="564"/>
      <c r="FN130" s="564"/>
      <c r="FO130" s="590"/>
      <c r="FP130" s="589"/>
      <c r="FQ130" s="564"/>
      <c r="FR130" s="564"/>
      <c r="FS130" s="590"/>
      <c r="FT130" s="589"/>
      <c r="FU130" s="564"/>
      <c r="FV130" s="564"/>
      <c r="FW130" s="590"/>
      <c r="FX130" s="589"/>
      <c r="FY130" s="564"/>
      <c r="FZ130" s="564"/>
      <c r="GA130" s="590"/>
      <c r="GB130" s="589"/>
      <c r="GC130" s="564"/>
      <c r="GD130" s="564"/>
      <c r="GE130" s="590"/>
      <c r="GF130" s="589"/>
      <c r="GG130" s="564"/>
      <c r="GH130" s="564"/>
      <c r="GI130" s="590"/>
      <c r="GJ130" s="589"/>
      <c r="GK130" s="564"/>
      <c r="GL130" s="564"/>
      <c r="GM130" s="590"/>
      <c r="GN130" s="589"/>
      <c r="GO130" s="564"/>
      <c r="GP130" s="564"/>
      <c r="GQ130" s="590"/>
      <c r="GR130" s="589"/>
      <c r="GS130" s="564"/>
      <c r="GT130" s="564"/>
      <c r="GU130" s="590"/>
      <c r="GV130" s="672"/>
      <c r="GW130" s="676"/>
      <c r="GX130" s="676"/>
      <c r="GY130" s="1366"/>
      <c r="GZ130" s="1367"/>
      <c r="HA130" s="1373"/>
      <c r="HB130" s="1373"/>
      <c r="HC130" s="1366"/>
      <c r="HD130" s="1367"/>
      <c r="HE130" s="1373"/>
      <c r="HF130" s="1373"/>
      <c r="HG130" s="1366"/>
      <c r="HI130" s="589"/>
      <c r="HJ130" s="564"/>
      <c r="HK130" s="564"/>
      <c r="HL130" s="590"/>
      <c r="HM130" s="589"/>
      <c r="HN130" s="564"/>
      <c r="HO130" s="564"/>
      <c r="HP130" s="590"/>
      <c r="HQ130" s="589"/>
      <c r="HR130" s="564"/>
      <c r="HS130" s="564"/>
      <c r="HT130" s="590"/>
    </row>
    <row r="131" spans="1:228">
      <c r="A131" s="649" t="s">
        <v>24</v>
      </c>
      <c r="B131" s="670">
        <v>2052</v>
      </c>
      <c r="C131" s="671">
        <f>+E130</f>
        <v>334343.98806817178</v>
      </c>
      <c r="D131" s="671">
        <f>+C$31/12*C32</f>
        <v>334343.98806818185</v>
      </c>
      <c r="E131" s="671">
        <f>+C131-D131</f>
        <v>-1.0069925338029861E-8</v>
      </c>
      <c r="F131" s="653">
        <f>+C$28*E131+D131</f>
        <v>334343.98806818068</v>
      </c>
      <c r="G131" s="671">
        <f>+I130</f>
        <v>57920.37477272535</v>
      </c>
      <c r="H131" s="671">
        <f>+G$31/12*G32</f>
        <v>57920.374772727271</v>
      </c>
      <c r="I131" s="671">
        <f>+G131-H131</f>
        <v>-1.9208528101444244E-9</v>
      </c>
      <c r="J131" s="653">
        <f>+G$28*I131+H131</f>
        <v>57920.374772727053</v>
      </c>
      <c r="K131" s="672"/>
      <c r="L131" s="671"/>
      <c r="M131" s="671"/>
      <c r="N131" s="653"/>
      <c r="O131" s="672">
        <f>+Q130</f>
        <v>218746.58333333005</v>
      </c>
      <c r="P131" s="671">
        <f>+O$31</f>
        <v>119316.31818181818</v>
      </c>
      <c r="Q131" s="671">
        <f t="shared" si="139"/>
        <v>99430.265151511878</v>
      </c>
      <c r="R131" s="653">
        <f>+O$28*Q131+P131</f>
        <v>130758.20781696386</v>
      </c>
      <c r="S131" s="589">
        <f>+U130</f>
        <v>9719.2842424211558</v>
      </c>
      <c r="T131" s="564">
        <f>+S$31/12*S32</f>
        <v>9719.2842424242408</v>
      </c>
      <c r="U131" s="564">
        <f t="shared" si="140"/>
        <v>-3.0850060284137726E-9</v>
      </c>
      <c r="V131" s="590">
        <f>+S$28*U131+T131</f>
        <v>9719.2842424238861</v>
      </c>
      <c r="W131" s="589">
        <f>+Y130</f>
        <v>1271038.2916666768</v>
      </c>
      <c r="X131" s="564">
        <f>+W$31</f>
        <v>693293.61363636365</v>
      </c>
      <c r="Y131" s="564">
        <f t="shared" si="141"/>
        <v>577744.67803031311</v>
      </c>
      <c r="Z131" s="590">
        <f>+W$28*Y131+X131</f>
        <v>759777.30281533289</v>
      </c>
      <c r="AA131" s="589">
        <f>+AC130</f>
        <v>864097.14962121006</v>
      </c>
      <c r="AB131" s="564">
        <f>+AA$31</f>
        <v>450833.29545454547</v>
      </c>
      <c r="AC131" s="564">
        <f t="shared" si="142"/>
        <v>413263.85416666459</v>
      </c>
      <c r="AD131" s="590">
        <f>+AA$28*AC131+AB131</f>
        <v>498389.43344094825</v>
      </c>
      <c r="AE131" s="589">
        <f>+AG130</f>
        <v>6896.8295454546096</v>
      </c>
      <c r="AF131" s="564">
        <f>+AE$31</f>
        <v>4597.886363636364</v>
      </c>
      <c r="AG131" s="564">
        <f t="shared" si="143"/>
        <v>2298.9431818182456</v>
      </c>
      <c r="AH131" s="590">
        <f>+AE$28*AG131+AF131</f>
        <v>4862.4361375281724</v>
      </c>
      <c r="AI131" s="589">
        <f>+AK130</f>
        <v>837384.39015152003</v>
      </c>
      <c r="AJ131" s="564">
        <f>+AI$31</f>
        <v>295547.43181818182</v>
      </c>
      <c r="AK131" s="564">
        <f t="shared" si="147"/>
        <v>541836.95833333815</v>
      </c>
      <c r="AL131" s="590">
        <f>+AI$28*AK131+AJ131</f>
        <v>357899.05753341119</v>
      </c>
      <c r="AM131" s="589">
        <f>+AO130</f>
        <v>277167.2892045459</v>
      </c>
      <c r="AN131" s="564">
        <f>+AM$31</f>
        <v>110866.91568181818</v>
      </c>
      <c r="AO131" s="564">
        <f t="shared" si="144"/>
        <v>166300.37352272772</v>
      </c>
      <c r="AP131" s="590">
        <f>+AM$28*AO131+AN131</f>
        <v>130003.85067068781</v>
      </c>
      <c r="AQ131" s="589">
        <f>+AS130</f>
        <v>2488563.6525000008</v>
      </c>
      <c r="AR131" s="564">
        <f>+AQ$31</f>
        <v>904932.23727272719</v>
      </c>
      <c r="AS131" s="564">
        <f t="shared" si="145"/>
        <v>1583631.4152272735</v>
      </c>
      <c r="AT131" s="590">
        <f>+AQ$28*AS131+AR131</f>
        <v>1087167.8558559539</v>
      </c>
      <c r="AU131" s="671"/>
      <c r="AV131" s="671"/>
      <c r="AW131" s="671"/>
      <c r="AX131" s="653"/>
      <c r="AY131" s="671"/>
      <c r="AZ131" s="671"/>
      <c r="BA131" s="671"/>
      <c r="BB131" s="653"/>
      <c r="BC131" s="671"/>
      <c r="BD131" s="671"/>
      <c r="BE131" s="671"/>
      <c r="BF131" s="653"/>
      <c r="BG131" s="671"/>
      <c r="BH131" s="671"/>
      <c r="BI131" s="671"/>
      <c r="BJ131" s="653"/>
      <c r="BK131" s="671"/>
      <c r="BL131" s="671"/>
      <c r="BM131" s="671"/>
      <c r="BN131" s="653"/>
      <c r="BO131" s="671"/>
      <c r="BP131" s="671"/>
      <c r="BQ131" s="671"/>
      <c r="BR131" s="653"/>
      <c r="BS131" s="589">
        <f>+BU130</f>
        <v>24932.659090909339</v>
      </c>
      <c r="BT131" s="564">
        <f>+BS$31</f>
        <v>8310.886363636364</v>
      </c>
      <c r="BU131" s="564">
        <f t="shared" si="146"/>
        <v>16621.772727272975</v>
      </c>
      <c r="BV131" s="590">
        <f>+BS$28*BU131+BT131</f>
        <v>10223.628814801796</v>
      </c>
      <c r="BW131" s="589">
        <f>+BY130</f>
        <v>1874733.9886363784</v>
      </c>
      <c r="BX131" s="564">
        <f>+BW$31</f>
        <v>576841.22727272729</v>
      </c>
      <c r="BY131" s="564">
        <f t="shared" si="148"/>
        <v>1297892.7613636511</v>
      </c>
      <c r="BZ131" s="590">
        <f>+BW$28*BY131+BX131</f>
        <v>726195.60856848664</v>
      </c>
      <c r="CA131" s="589">
        <f>+CC130</f>
        <v>176910.24000000145</v>
      </c>
      <c r="CB131" s="564">
        <f>+CA$31</f>
        <v>54433.919999999998</v>
      </c>
      <c r="CC131" s="564">
        <f t="shared" si="149"/>
        <v>122476.32000000145</v>
      </c>
      <c r="CD131" s="590">
        <f>+CA$28*CC131+CB131</f>
        <v>68527.823241869133</v>
      </c>
      <c r="CE131" s="589">
        <f>+CG130</f>
        <v>15356.344545454755</v>
      </c>
      <c r="CF131" s="564">
        <f>+CE$31</f>
        <v>4725.0290909090909</v>
      </c>
      <c r="CG131" s="564">
        <f t="shared" si="150"/>
        <v>10631.315454545664</v>
      </c>
      <c r="CH131" s="590">
        <f>+CE$28*CG131+CF131</f>
        <v>5948.4225709724433</v>
      </c>
      <c r="CI131" s="589">
        <f>+CK130</f>
        <v>52541.590909090606</v>
      </c>
      <c r="CJ131" s="564">
        <f>+CI$31</f>
        <v>12362.727272727272</v>
      </c>
      <c r="CK131" s="564">
        <f t="shared" si="151"/>
        <v>40178.863636363334</v>
      </c>
      <c r="CL131" s="590">
        <f>+CI$28*CK131+CJ131</f>
        <v>16986.290557933364</v>
      </c>
      <c r="CM131" s="589">
        <f>+CO130</f>
        <v>4232301.9275568314</v>
      </c>
      <c r="CN131" s="564">
        <f>+CM$31</f>
        <v>483691.64886363636</v>
      </c>
      <c r="CO131" s="564">
        <f t="shared" si="152"/>
        <v>3748610.278693195</v>
      </c>
      <c r="CP131" s="590">
        <f>+CM$28*CO131+CN131</f>
        <v>915061.1622469367</v>
      </c>
      <c r="CQ131" s="589">
        <f>+CS130</f>
        <v>17655189.687784098</v>
      </c>
      <c r="CR131" s="564">
        <f>+CQ$31</f>
        <v>2017735.9643181816</v>
      </c>
      <c r="CS131" s="564">
        <f t="shared" si="153"/>
        <v>15637453.723465916</v>
      </c>
      <c r="CT131" s="590">
        <f>+CQ$28*CS131+CR131</f>
        <v>3817208.3825597838</v>
      </c>
      <c r="CU131" s="589">
        <f>+CW130</f>
        <v>6085758.3525000177</v>
      </c>
      <c r="CV131" s="564">
        <f>+CU$31</f>
        <v>676195.37250000006</v>
      </c>
      <c r="CW131" s="564">
        <f t="shared" si="154"/>
        <v>5409562.9800000172</v>
      </c>
      <c r="CX131" s="590">
        <f>+CU$28*CW131+CV131</f>
        <v>1298698.2140363608</v>
      </c>
      <c r="CY131" s="589">
        <f>+DA130</f>
        <v>6970.3767045454515</v>
      </c>
      <c r="CZ131" s="564">
        <f>+CY$31</f>
        <v>733.72386363636497</v>
      </c>
      <c r="DA131" s="564">
        <f t="shared" si="155"/>
        <v>6236.6528409090861</v>
      </c>
      <c r="DB131" s="590">
        <f>+CY$28*DA131+CZ131</f>
        <v>1451.4036705810863</v>
      </c>
      <c r="DC131" s="589">
        <f>+DE130</f>
        <v>411908.72272727464</v>
      </c>
      <c r="DD131" s="564">
        <f>+DC$31</f>
        <v>44530.672727272722</v>
      </c>
      <c r="DE131" s="564">
        <f t="shared" si="156"/>
        <v>367378.05000000191</v>
      </c>
      <c r="DF131" s="590">
        <f>+DC$28*DE131+DD131</f>
        <v>86806.524009271787</v>
      </c>
      <c r="DG131" s="589">
        <f>+DI130</f>
        <v>234075.00602272642</v>
      </c>
      <c r="DH131" s="564">
        <f>+DG$31</f>
        <v>24639.474318181816</v>
      </c>
      <c r="DI131" s="564">
        <f t="shared" si="157"/>
        <v>209435.53170454461</v>
      </c>
      <c r="DJ131" s="590">
        <f>+DG$28*DI131+DH131</f>
        <v>48740.166756142338</v>
      </c>
      <c r="DK131" s="589">
        <f>+DM130</f>
        <v>5038539.0812500082</v>
      </c>
      <c r="DL131" s="564">
        <f>+DK$31</f>
        <v>549658.80886363634</v>
      </c>
      <c r="DM131" s="564">
        <f t="shared" si="158"/>
        <v>4488880.2723863721</v>
      </c>
      <c r="DN131" s="590">
        <f>+DK$28*DM131+DL131</f>
        <v>1066214.5334587905</v>
      </c>
      <c r="DO131" s="589">
        <f>+DQ130</f>
        <v>199192.48928030278</v>
      </c>
      <c r="DP131" s="564">
        <f>+DO$31</f>
        <v>19592.703863636354</v>
      </c>
      <c r="DQ131" s="564">
        <f t="shared" si="134"/>
        <v>179599.78541666642</v>
      </c>
      <c r="DR131" s="590">
        <f>+DO$28*DQ131+DP131</f>
        <v>40260.06223889556</v>
      </c>
      <c r="DS131" s="589">
        <f>+DU130</f>
        <v>87105.403636363539</v>
      </c>
      <c r="DT131" s="564">
        <f>+DS$31</f>
        <v>8295.7527272726966</v>
      </c>
      <c r="DU131" s="564">
        <f t="shared" si="159"/>
        <v>78809.650909090837</v>
      </c>
      <c r="DV131" s="590">
        <f>+DS$28*DU131+DT131</f>
        <v>17364.735159453849</v>
      </c>
      <c r="DW131" s="589">
        <f>+DY130</f>
        <v>12523.074943181771</v>
      </c>
      <c r="DX131" s="564">
        <f>+DW$31</f>
        <v>1221.7634090909089</v>
      </c>
      <c r="DY131" s="564">
        <f t="shared" si="160"/>
        <v>11301.311534090863</v>
      </c>
      <c r="DZ131" s="590">
        <f>+DW$28*DY131+DX131</f>
        <v>2522.2563637101725</v>
      </c>
      <c r="EA131" s="589">
        <f>+EC130</f>
        <v>-77729.959034091502</v>
      </c>
      <c r="EB131" s="564">
        <f>+EA$31</f>
        <v>-7120.3015909091364</v>
      </c>
      <c r="EC131" s="564">
        <f t="shared" si="161"/>
        <v>-70609.657443182368</v>
      </c>
      <c r="ED131" s="590">
        <f>+EA$28*EC131+EB131</f>
        <v>-15245.673744038211</v>
      </c>
      <c r="EE131" s="589">
        <f>+EG130</f>
        <v>2385350.2109090853</v>
      </c>
      <c r="EF131" s="564">
        <f>+EE$31</f>
        <v>192108.74181818182</v>
      </c>
      <c r="EG131" s="564">
        <f t="shared" si="162"/>
        <v>2193241.4690909036</v>
      </c>
      <c r="EH131" s="590">
        <f>+EE$28*EG131+EF131</f>
        <v>444494.94228062022</v>
      </c>
      <c r="EI131" s="589">
        <f>+EK130</f>
        <v>98430.432916666439</v>
      </c>
      <c r="EJ131" s="564">
        <f>+EI$31</f>
        <v>7669.903863636363</v>
      </c>
      <c r="EK131" s="564">
        <f t="shared" ref="EK131:EK156" si="163">+EI131-EJ131</f>
        <v>90760.52905303007</v>
      </c>
      <c r="EL131" s="590">
        <f>+EI$28*EK131+EJ131</f>
        <v>18114.127813655792</v>
      </c>
      <c r="EM131" s="589">
        <f>+EO130</f>
        <v>3387898.061363643</v>
      </c>
      <c r="EN131" s="564">
        <f>+EM$31</f>
        <v>260607.54318181818</v>
      </c>
      <c r="EO131" s="564">
        <f t="shared" ref="EO131:EO156" si="164">+EM131-EN131</f>
        <v>3127290.5181818251</v>
      </c>
      <c r="EP131" s="590">
        <f>+EM$28*EO131+EN131</f>
        <v>620478.98586125951</v>
      </c>
      <c r="EQ131" s="678">
        <f t="shared" si="94"/>
        <v>12560893.387819644</v>
      </c>
      <c r="ER131" s="652"/>
      <c r="ES131" s="674">
        <f>+EQ131</f>
        <v>12560893.387819644</v>
      </c>
      <c r="EV131" s="589"/>
      <c r="EW131" s="564"/>
      <c r="EX131" s="564"/>
      <c r="EY131" s="590"/>
      <c r="EZ131" s="589"/>
      <c r="FA131" s="564"/>
      <c r="FB131" s="564"/>
      <c r="FC131" s="590"/>
      <c r="FD131" s="589"/>
      <c r="FE131" s="564"/>
      <c r="FF131" s="564"/>
      <c r="FG131" s="590"/>
      <c r="FH131" s="589"/>
      <c r="FI131" s="564"/>
      <c r="FJ131" s="564"/>
      <c r="FK131" s="590"/>
      <c r="FL131" s="589"/>
      <c r="FM131" s="564"/>
      <c r="FN131" s="564"/>
      <c r="FO131" s="590"/>
      <c r="FP131" s="589"/>
      <c r="FQ131" s="564"/>
      <c r="FR131" s="564"/>
      <c r="FS131" s="590"/>
      <c r="FT131" s="589"/>
      <c r="FU131" s="564"/>
      <c r="FV131" s="564"/>
      <c r="FW131" s="590"/>
      <c r="FX131" s="589"/>
      <c r="FY131" s="564"/>
      <c r="FZ131" s="564"/>
      <c r="GA131" s="590"/>
      <c r="GB131" s="589"/>
      <c r="GC131" s="564"/>
      <c r="GD131" s="564"/>
      <c r="GE131" s="590"/>
      <c r="GF131" s="589"/>
      <c r="GG131" s="564"/>
      <c r="GH131" s="564"/>
      <c r="GI131" s="590"/>
      <c r="GJ131" s="589"/>
      <c r="GK131" s="564"/>
      <c r="GL131" s="564"/>
      <c r="GM131" s="590"/>
      <c r="GN131" s="589"/>
      <c r="GO131" s="564"/>
      <c r="GP131" s="564"/>
      <c r="GQ131" s="590"/>
      <c r="GR131" s="589"/>
      <c r="GS131" s="564"/>
      <c r="GT131" s="564"/>
      <c r="GU131" s="590"/>
      <c r="GV131" s="672"/>
      <c r="GW131" s="676"/>
      <c r="GX131" s="676"/>
      <c r="GY131" s="1366"/>
      <c r="GZ131" s="1367"/>
      <c r="HA131" s="1373"/>
      <c r="HB131" s="1373"/>
      <c r="HC131" s="1366"/>
      <c r="HD131" s="1367"/>
      <c r="HE131" s="1373"/>
      <c r="HF131" s="1373"/>
      <c r="HG131" s="1366"/>
      <c r="HI131" s="589"/>
      <c r="HJ131" s="564"/>
      <c r="HK131" s="564"/>
      <c r="HL131" s="590"/>
      <c r="HM131" s="589"/>
      <c r="HN131" s="564"/>
      <c r="HO131" s="564"/>
      <c r="HP131" s="590"/>
      <c r="HQ131" s="589"/>
      <c r="HR131" s="564"/>
      <c r="HS131" s="564"/>
      <c r="HT131" s="590"/>
    </row>
    <row r="132" spans="1:228">
      <c r="A132" s="649" t="s">
        <v>23</v>
      </c>
      <c r="B132" s="670">
        <v>2052</v>
      </c>
      <c r="C132" s="671">
        <f>+C131</f>
        <v>334343.98806817178</v>
      </c>
      <c r="D132" s="671">
        <f>+D131</f>
        <v>334343.98806818185</v>
      </c>
      <c r="E132" s="671">
        <f>+C132-D132</f>
        <v>-1.0069925338029861E-8</v>
      </c>
      <c r="F132" s="653">
        <f>+C$29*E132+D132</f>
        <v>334343.98806818062</v>
      </c>
      <c r="G132" s="671">
        <f>+G131</f>
        <v>57920.37477272535</v>
      </c>
      <c r="H132" s="671">
        <f>+H131</f>
        <v>57920.374772727271</v>
      </c>
      <c r="I132" s="671">
        <f>+G132-H132</f>
        <v>-1.9208528101444244E-9</v>
      </c>
      <c r="J132" s="653">
        <f>+G$29*I132+H132</f>
        <v>57920.374772727038</v>
      </c>
      <c r="K132" s="672"/>
      <c r="L132" s="671"/>
      <c r="M132" s="671"/>
      <c r="N132" s="653"/>
      <c r="O132" s="672">
        <f>+O131</f>
        <v>218746.58333333005</v>
      </c>
      <c r="P132" s="671">
        <f>+P131</f>
        <v>119316.31818181818</v>
      </c>
      <c r="Q132" s="671">
        <f t="shared" si="139"/>
        <v>99430.265151511878</v>
      </c>
      <c r="R132" s="653">
        <f>+O$29*Q132+P132</f>
        <v>131365.04120877341</v>
      </c>
      <c r="S132" s="589">
        <f>+S131</f>
        <v>9719.2842424211558</v>
      </c>
      <c r="T132" s="564">
        <f>+T131</f>
        <v>9719.2842424242408</v>
      </c>
      <c r="U132" s="564">
        <f t="shared" si="140"/>
        <v>-3.0850060284137726E-9</v>
      </c>
      <c r="V132" s="590">
        <f>+S$29*U132+T132</f>
        <v>9719.2842424238661</v>
      </c>
      <c r="W132" s="589">
        <f>+W131</f>
        <v>1271038.2916666768</v>
      </c>
      <c r="X132" s="564">
        <f>+X131</f>
        <v>693293.61363636365</v>
      </c>
      <c r="Y132" s="564">
        <f t="shared" si="141"/>
        <v>577744.67803031311</v>
      </c>
      <c r="Z132" s="590">
        <f>+W$29*Y132+X132</f>
        <v>763303.33950079116</v>
      </c>
      <c r="AA132" s="589">
        <f>+AA131</f>
        <v>864097.14962121006</v>
      </c>
      <c r="AB132" s="564">
        <f>+AB131</f>
        <v>450833.29545454547</v>
      </c>
      <c r="AC132" s="564">
        <f t="shared" si="142"/>
        <v>413263.85416666459</v>
      </c>
      <c r="AD132" s="590">
        <f>+AA$29*AC132+AB132</f>
        <v>500911.62631606642</v>
      </c>
      <c r="AE132" s="589">
        <f>+AE131</f>
        <v>6896.8295454546096</v>
      </c>
      <c r="AF132" s="564">
        <f>+AF131</f>
        <v>4597.886363636364</v>
      </c>
      <c r="AG132" s="564">
        <f t="shared" si="143"/>
        <v>2298.9431818182456</v>
      </c>
      <c r="AH132" s="590">
        <f>+AE$29*AG132+AF132</f>
        <v>4876.4668301595802</v>
      </c>
      <c r="AI132" s="589">
        <f>+AI131</f>
        <v>837384.39015152003</v>
      </c>
      <c r="AJ132" s="564">
        <f>+AJ131</f>
        <v>295547.43181818182</v>
      </c>
      <c r="AK132" s="564">
        <f t="shared" si="147"/>
        <v>541836.95833333815</v>
      </c>
      <c r="AL132" s="590">
        <f>+AI$29*AK132+AJ132</f>
        <v>361205.94561957056</v>
      </c>
      <c r="AM132" s="589">
        <f>+AM131</f>
        <v>277167.2892045459</v>
      </c>
      <c r="AN132" s="564">
        <f>+AN131</f>
        <v>110866.91568181818</v>
      </c>
      <c r="AO132" s="564">
        <f t="shared" si="144"/>
        <v>166300.37352272772</v>
      </c>
      <c r="AP132" s="590">
        <f>+AM$29*AO132+AN132</f>
        <v>131018.79938444433</v>
      </c>
      <c r="AQ132" s="589">
        <f>+AQ131</f>
        <v>2488563.6525000008</v>
      </c>
      <c r="AR132" s="564">
        <f>+AR131</f>
        <v>904932.23727272719</v>
      </c>
      <c r="AS132" s="564">
        <f t="shared" si="145"/>
        <v>1583631.4152272735</v>
      </c>
      <c r="AT132" s="590">
        <f>+AQ$29*AS132+AR132</f>
        <v>1096832.9253558109</v>
      </c>
      <c r="AU132" s="671"/>
      <c r="AV132" s="671"/>
      <c r="AW132" s="671"/>
      <c r="AX132" s="653"/>
      <c r="AY132" s="671"/>
      <c r="AZ132" s="671"/>
      <c r="BA132" s="671"/>
      <c r="BB132" s="653"/>
      <c r="BC132" s="671"/>
      <c r="BD132" s="671"/>
      <c r="BE132" s="671"/>
      <c r="BF132" s="653"/>
      <c r="BG132" s="671"/>
      <c r="BH132" s="671"/>
      <c r="BI132" s="671"/>
      <c r="BJ132" s="653"/>
      <c r="BK132" s="671"/>
      <c r="BL132" s="671"/>
      <c r="BM132" s="671"/>
      <c r="BN132" s="653"/>
      <c r="BO132" s="671"/>
      <c r="BP132" s="671"/>
      <c r="BQ132" s="671"/>
      <c r="BR132" s="653"/>
      <c r="BS132" s="589">
        <f>+BS131</f>
        <v>24932.659090909339</v>
      </c>
      <c r="BT132" s="564">
        <f>+BT131</f>
        <v>8310.886363636364</v>
      </c>
      <c r="BU132" s="564">
        <f t="shared" si="146"/>
        <v>16621.772727272975</v>
      </c>
      <c r="BV132" s="590">
        <f>+BS$29*BU132+BT132</f>
        <v>10325.07324629968</v>
      </c>
      <c r="BW132" s="589">
        <f>+BW131</f>
        <v>1874733.9886363784</v>
      </c>
      <c r="BX132" s="564">
        <f>+BX131</f>
        <v>576841.22727272729</v>
      </c>
      <c r="BY132" s="564">
        <f t="shared" si="148"/>
        <v>1297892.7613636511</v>
      </c>
      <c r="BZ132" s="590">
        <f>+BW$29*BY132+BX132</f>
        <v>726195.60856848664</v>
      </c>
      <c r="CA132" s="589">
        <f>+CA131</f>
        <v>176910.24000000145</v>
      </c>
      <c r="CB132" s="564">
        <f>+CB131</f>
        <v>54433.919999999998</v>
      </c>
      <c r="CC132" s="564">
        <f t="shared" si="149"/>
        <v>122476.32000000145</v>
      </c>
      <c r="CD132" s="590">
        <f>+CA$29*CC132+CB132</f>
        <v>69275.309136316908</v>
      </c>
      <c r="CE132" s="589">
        <f>+CE131</f>
        <v>15356.344545454755</v>
      </c>
      <c r="CF132" s="564">
        <f>+CF131</f>
        <v>4725.0290909090909</v>
      </c>
      <c r="CG132" s="564">
        <f t="shared" si="150"/>
        <v>10631.315454545664</v>
      </c>
      <c r="CH132" s="590">
        <f>+CE$29*CG132+CF132</f>
        <v>6013.3066101213772</v>
      </c>
      <c r="CI132" s="589">
        <f>+CI131</f>
        <v>52541.590909090606</v>
      </c>
      <c r="CJ132" s="564">
        <f>+CJ131</f>
        <v>12362.727272727272</v>
      </c>
      <c r="CK132" s="564">
        <f t="shared" si="151"/>
        <v>40178.863636363334</v>
      </c>
      <c r="CL132" s="590">
        <f>+CI$29*CK132+CJ132</f>
        <v>16986.290557933364</v>
      </c>
      <c r="CM132" s="589">
        <f>+CM131</f>
        <v>4232301.9275568314</v>
      </c>
      <c r="CN132" s="564">
        <f>+CN131</f>
        <v>483691.64886363636</v>
      </c>
      <c r="CO132" s="564">
        <f t="shared" si="152"/>
        <v>3748610.278693195</v>
      </c>
      <c r="CP132" s="590">
        <f>+CM$29*CO132+CN132</f>
        <v>915061.1622469367</v>
      </c>
      <c r="CQ132" s="589">
        <f>+CQ131</f>
        <v>17655189.687784098</v>
      </c>
      <c r="CR132" s="564">
        <f>+CR131</f>
        <v>2017735.9643181816</v>
      </c>
      <c r="CS132" s="564">
        <f t="shared" si="153"/>
        <v>15637453.723465916</v>
      </c>
      <c r="CT132" s="590">
        <f>+CQ$29*CS132+CR132</f>
        <v>3817208.3825597838</v>
      </c>
      <c r="CU132" s="589">
        <f>+CU131</f>
        <v>6085758.3525000177</v>
      </c>
      <c r="CV132" s="564">
        <f>+CV131</f>
        <v>676195.37250000006</v>
      </c>
      <c r="CW132" s="564">
        <f t="shared" si="154"/>
        <v>5409562.9800000172</v>
      </c>
      <c r="CX132" s="590">
        <f>+CU$29*CW132+CV132</f>
        <v>1298698.2140363608</v>
      </c>
      <c r="CY132" s="589">
        <f>+CY131</f>
        <v>6970.3767045454515</v>
      </c>
      <c r="CZ132" s="564">
        <f>+CZ131</f>
        <v>733.72386363636497</v>
      </c>
      <c r="DA132" s="564">
        <f t="shared" si="155"/>
        <v>6236.6528409090861</v>
      </c>
      <c r="DB132" s="590">
        <f>+CY$29*DA132+CZ132</f>
        <v>1451.4036705810863</v>
      </c>
      <c r="DC132" s="589">
        <f>+DC131</f>
        <v>411908.72272727464</v>
      </c>
      <c r="DD132" s="564">
        <f>+DD131</f>
        <v>44530.672727272722</v>
      </c>
      <c r="DE132" s="564">
        <f t="shared" si="156"/>
        <v>367378.05000000191</v>
      </c>
      <c r="DF132" s="590">
        <f>+DC$29*DE132+DD132</f>
        <v>86806.524009271787</v>
      </c>
      <c r="DG132" s="589">
        <f>+DG131</f>
        <v>234075.00602272642</v>
      </c>
      <c r="DH132" s="564">
        <f>+DH131</f>
        <v>24639.474318181816</v>
      </c>
      <c r="DI132" s="564">
        <f t="shared" si="157"/>
        <v>209435.53170454461</v>
      </c>
      <c r="DJ132" s="590">
        <f>+DG$29*DI132+DH132</f>
        <v>48740.166756142338</v>
      </c>
      <c r="DK132" s="589">
        <f>+DK131</f>
        <v>5038539.0812500082</v>
      </c>
      <c r="DL132" s="564">
        <f>+DL131</f>
        <v>549658.80886363634</v>
      </c>
      <c r="DM132" s="564">
        <f t="shared" si="158"/>
        <v>4488880.2723863721</v>
      </c>
      <c r="DN132" s="590">
        <f>+DK$29*DM132+DL132</f>
        <v>1066214.5334587905</v>
      </c>
      <c r="DO132" s="589">
        <f>+DO131</f>
        <v>199192.48928030278</v>
      </c>
      <c r="DP132" s="564">
        <f>+DP131</f>
        <v>19592.703863636354</v>
      </c>
      <c r="DQ132" s="564">
        <f t="shared" si="134"/>
        <v>179599.78541666642</v>
      </c>
      <c r="DR132" s="590">
        <f>+DO$29*DQ132+DP132</f>
        <v>40260.06223889556</v>
      </c>
      <c r="DS132" s="589">
        <f>+DS131</f>
        <v>87105.403636363539</v>
      </c>
      <c r="DT132" s="564">
        <f>+DT131</f>
        <v>8295.7527272726966</v>
      </c>
      <c r="DU132" s="564">
        <f t="shared" si="159"/>
        <v>78809.650909090837</v>
      </c>
      <c r="DV132" s="590">
        <f>+DS$29*DU132+DT132</f>
        <v>17364.735159453849</v>
      </c>
      <c r="DW132" s="589">
        <f>+DW131</f>
        <v>12523.074943181771</v>
      </c>
      <c r="DX132" s="564">
        <f>+DX131</f>
        <v>1221.7634090909089</v>
      </c>
      <c r="DY132" s="564">
        <f t="shared" si="160"/>
        <v>11301.311534090863</v>
      </c>
      <c r="DZ132" s="590">
        <f>+DW$29*DY132+DX132</f>
        <v>2522.2563637101725</v>
      </c>
      <c r="EA132" s="589">
        <f>+EA131</f>
        <v>-77729.959034091502</v>
      </c>
      <c r="EB132" s="564">
        <f>+EB131</f>
        <v>-7120.3015909091364</v>
      </c>
      <c r="EC132" s="564">
        <f t="shared" si="161"/>
        <v>-70609.657443182368</v>
      </c>
      <c r="ED132" s="590">
        <f>+EA$29*EC132+EB132</f>
        <v>-15245.673744038211</v>
      </c>
      <c r="EE132" s="589">
        <f>+EE131</f>
        <v>2385350.2109090853</v>
      </c>
      <c r="EF132" s="564">
        <f>+EF131</f>
        <v>192108.74181818182</v>
      </c>
      <c r="EG132" s="564">
        <f t="shared" si="162"/>
        <v>2193241.4690909036</v>
      </c>
      <c r="EH132" s="590">
        <f>+EE$29*EG132+EF132</f>
        <v>444494.94228062022</v>
      </c>
      <c r="EI132" s="589">
        <f>+EI131</f>
        <v>98430.432916666439</v>
      </c>
      <c r="EJ132" s="564">
        <f>+EJ131</f>
        <v>7669.903863636363</v>
      </c>
      <c r="EK132" s="564">
        <f t="shared" si="163"/>
        <v>90760.52905303007</v>
      </c>
      <c r="EL132" s="590">
        <f>+EI$29*EK132+EJ132</f>
        <v>18114.127813655792</v>
      </c>
      <c r="EM132" s="589">
        <f>+EM131</f>
        <v>3387898.061363643</v>
      </c>
      <c r="EN132" s="564">
        <f>+EN131</f>
        <v>260607.54318181818</v>
      </c>
      <c r="EO132" s="564">
        <f t="shared" si="164"/>
        <v>3127290.5181818251</v>
      </c>
      <c r="EP132" s="590">
        <f>+EM$29*EO132+EN132</f>
        <v>620478.98586125951</v>
      </c>
      <c r="EQ132" s="678">
        <f t="shared" ref="EQ132:EQ156" si="165">+R132+J132+F132+N132+V132+Z132+AD132+AH132+AL132+AP132+AT132+BV132+BZ132+CD132+CH132+CL132+CP132+CT132+CX132+DB132+DF132+DJ132+DN132+DR132+DV132+DZ132+ED132+EH132+EL132+EP132</f>
        <v>12582463.202129532</v>
      </c>
      <c r="ER132" s="675">
        <f>+EQ132</f>
        <v>12582463.202129532</v>
      </c>
      <c r="ES132" s="648"/>
      <c r="EV132" s="589"/>
      <c r="EW132" s="564"/>
      <c r="EX132" s="564"/>
      <c r="EY132" s="590"/>
      <c r="EZ132" s="589"/>
      <c r="FA132" s="564"/>
      <c r="FB132" s="564"/>
      <c r="FC132" s="590"/>
      <c r="FD132" s="589"/>
      <c r="FE132" s="564"/>
      <c r="FF132" s="564"/>
      <c r="FG132" s="590"/>
      <c r="FH132" s="589"/>
      <c r="FI132" s="564"/>
      <c r="FJ132" s="564"/>
      <c r="FK132" s="590"/>
      <c r="FL132" s="589"/>
      <c r="FM132" s="564"/>
      <c r="FN132" s="564"/>
      <c r="FO132" s="590"/>
      <c r="FP132" s="589"/>
      <c r="FQ132" s="564"/>
      <c r="FR132" s="564"/>
      <c r="FS132" s="590"/>
      <c r="FT132" s="589"/>
      <c r="FU132" s="564"/>
      <c r="FV132" s="564"/>
      <c r="FW132" s="590"/>
      <c r="FX132" s="589"/>
      <c r="FY132" s="564"/>
      <c r="FZ132" s="564"/>
      <c r="GA132" s="590"/>
      <c r="GB132" s="589"/>
      <c r="GC132" s="564"/>
      <c r="GD132" s="564"/>
      <c r="GE132" s="590"/>
      <c r="GF132" s="589"/>
      <c r="GG132" s="564"/>
      <c r="GH132" s="564"/>
      <c r="GI132" s="590"/>
      <c r="GJ132" s="589"/>
      <c r="GK132" s="564"/>
      <c r="GL132" s="564"/>
      <c r="GM132" s="590"/>
      <c r="GN132" s="589"/>
      <c r="GO132" s="564"/>
      <c r="GP132" s="564"/>
      <c r="GQ132" s="590"/>
      <c r="GR132" s="589"/>
      <c r="GS132" s="564"/>
      <c r="GT132" s="564"/>
      <c r="GU132" s="590"/>
      <c r="GV132" s="672"/>
      <c r="GW132" s="676"/>
      <c r="GX132" s="676"/>
      <c r="GY132" s="1366"/>
      <c r="GZ132" s="1367"/>
      <c r="HA132" s="1373"/>
      <c r="HB132" s="1373"/>
      <c r="HC132" s="1366"/>
      <c r="HD132" s="1367"/>
      <c r="HE132" s="1373"/>
      <c r="HF132" s="1373"/>
      <c r="HG132" s="1366"/>
      <c r="HI132" s="589"/>
      <c r="HJ132" s="564"/>
      <c r="HK132" s="564"/>
      <c r="HL132" s="590"/>
      <c r="HM132" s="589"/>
      <c r="HN132" s="564"/>
      <c r="HO132" s="564"/>
      <c r="HP132" s="590"/>
      <c r="HQ132" s="589"/>
      <c r="HR132" s="564"/>
      <c r="HS132" s="564"/>
      <c r="HT132" s="590"/>
    </row>
    <row r="133" spans="1:228">
      <c r="A133" s="649" t="s">
        <v>24</v>
      </c>
      <c r="B133" s="670">
        <v>2053</v>
      </c>
      <c r="C133" s="671"/>
      <c r="D133" s="671"/>
      <c r="E133" s="671"/>
      <c r="F133" s="653"/>
      <c r="G133" s="671"/>
      <c r="H133" s="671"/>
      <c r="I133" s="671"/>
      <c r="J133" s="653"/>
      <c r="K133" s="658"/>
      <c r="L133" s="658"/>
      <c r="M133" s="658"/>
      <c r="N133" s="653"/>
      <c r="O133" s="672">
        <f>+Q132</f>
        <v>99430.265151511878</v>
      </c>
      <c r="P133" s="671">
        <f>+O$31/12*O32</f>
        <v>99430.265151515137</v>
      </c>
      <c r="Q133" s="671">
        <f t="shared" ref="Q133:Q134" si="166">+O133-P133</f>
        <v>-3.2596290111541748E-9</v>
      </c>
      <c r="R133" s="653">
        <f>+O$28*Q133+P133</f>
        <v>99430.265151514759</v>
      </c>
      <c r="S133" s="589"/>
      <c r="T133" s="671"/>
      <c r="U133" s="564"/>
      <c r="V133" s="590"/>
      <c r="W133" s="589">
        <f>+Y132</f>
        <v>577744.67803031311</v>
      </c>
      <c r="X133" s="564">
        <f>+W$31/12*W32</f>
        <v>577744.67803030298</v>
      </c>
      <c r="Y133" s="564">
        <f t="shared" ref="Y133:Y134" si="167">+W133-X133</f>
        <v>1.0128132998943329E-8</v>
      </c>
      <c r="Z133" s="590">
        <f>+W$28*Y133+X133</f>
        <v>577744.67803030415</v>
      </c>
      <c r="AA133" s="589">
        <f>+AC132</f>
        <v>413263.85416666459</v>
      </c>
      <c r="AB133" s="564">
        <f>+AA$31/12*AA32</f>
        <v>413263.85416666669</v>
      </c>
      <c r="AC133" s="564">
        <f t="shared" ref="AC133:AC134" si="168">+AA133-AB133</f>
        <v>-2.0954757928848267E-9</v>
      </c>
      <c r="AD133" s="590">
        <f>+AA$28*AC133+AB133</f>
        <v>413263.85416666645</v>
      </c>
      <c r="AE133" s="589">
        <f>+AG132</f>
        <v>2298.9431818182456</v>
      </c>
      <c r="AF133" s="564">
        <f>+AE$31/12*AE32</f>
        <v>2298.943181818182</v>
      </c>
      <c r="AG133" s="564">
        <f t="shared" ref="AG133:AG134" si="169">+AE133-AF133</f>
        <v>6.3664629124104977E-11</v>
      </c>
      <c r="AH133" s="590">
        <f>+AE$28*AG133+AF133</f>
        <v>2298.9431818181893</v>
      </c>
      <c r="AI133" s="589">
        <f>+AK132</f>
        <v>541836.95833333815</v>
      </c>
      <c r="AJ133" s="564">
        <f>+AI$31</f>
        <v>295547.43181818182</v>
      </c>
      <c r="AK133" s="564">
        <f t="shared" ref="AK133:AK134" si="170">+AI133-AJ133</f>
        <v>246289.52651515632</v>
      </c>
      <c r="AL133" s="590">
        <f>+AI$28*AK133+AJ133</f>
        <v>323889.0798705591</v>
      </c>
      <c r="AM133" s="589">
        <f>+AO132</f>
        <v>166300.37352272772</v>
      </c>
      <c r="AN133" s="564">
        <f>+AM$31</f>
        <v>110866.91568181818</v>
      </c>
      <c r="AO133" s="564">
        <f t="shared" ref="AO133:AO134" si="171">+AM133-AN133</f>
        <v>55433.457840909541</v>
      </c>
      <c r="AP133" s="590">
        <f>+AM$28*AO133+AN133</f>
        <v>117245.89401144143</v>
      </c>
      <c r="AQ133" s="589">
        <f>+AS132</f>
        <v>1583631.4152272735</v>
      </c>
      <c r="AR133" s="564">
        <f>+AQ$31</f>
        <v>904932.23727272719</v>
      </c>
      <c r="AS133" s="564">
        <f t="shared" ref="AS133:AS134" si="172">+AQ133-AR133</f>
        <v>678699.17795454629</v>
      </c>
      <c r="AT133" s="590">
        <f>+AQ$28*AS133+AR133</f>
        <v>983033.21666553873</v>
      </c>
      <c r="AU133" s="671"/>
      <c r="AV133" s="671"/>
      <c r="AW133" s="671"/>
      <c r="AX133" s="653"/>
      <c r="AY133" s="671"/>
      <c r="AZ133" s="671"/>
      <c r="BA133" s="671"/>
      <c r="BB133" s="653"/>
      <c r="BC133" s="671"/>
      <c r="BD133" s="671"/>
      <c r="BE133" s="671"/>
      <c r="BF133" s="653"/>
      <c r="BG133" s="671"/>
      <c r="BH133" s="671"/>
      <c r="BI133" s="671"/>
      <c r="BJ133" s="653"/>
      <c r="BK133" s="671"/>
      <c r="BL133" s="671"/>
      <c r="BM133" s="671"/>
      <c r="BN133" s="653"/>
      <c r="BO133" s="671"/>
      <c r="BP133" s="671"/>
      <c r="BQ133" s="671"/>
      <c r="BR133" s="653"/>
      <c r="BS133" s="589">
        <f>+BU132</f>
        <v>16621.772727272975</v>
      </c>
      <c r="BT133" s="564">
        <f>+BS$31</f>
        <v>8310.886363636364</v>
      </c>
      <c r="BU133" s="564">
        <f t="shared" ref="BU133:BU134" si="173">+BS133-BT133</f>
        <v>8310.8863636366113</v>
      </c>
      <c r="BV133" s="590">
        <f>+BS$28*BU133+BT133</f>
        <v>9267.2575892190944</v>
      </c>
      <c r="BW133" s="589">
        <f>+BY132</f>
        <v>1297892.7613636511</v>
      </c>
      <c r="BX133" s="564">
        <f>+BW$31</f>
        <v>576841.22727272729</v>
      </c>
      <c r="BY133" s="564">
        <f t="shared" ref="BY133:BY134" si="174">+BW133-BX133</f>
        <v>721051.53409092384</v>
      </c>
      <c r="BZ133" s="590">
        <f>+BW$28*BY133+BX133</f>
        <v>659815.88354814984</v>
      </c>
      <c r="CA133" s="589">
        <f>+CC132</f>
        <v>122476.32000000145</v>
      </c>
      <c r="CB133" s="564">
        <f>+CA$31</f>
        <v>54433.919999999998</v>
      </c>
      <c r="CC133" s="564">
        <f t="shared" ref="CC133:CC134" si="175">+CA133-CB133</f>
        <v>68042.400000001449</v>
      </c>
      <c r="CD133" s="590">
        <f>+CA$28*CC133+CB133</f>
        <v>62263.866245482925</v>
      </c>
      <c r="CE133" s="589">
        <f>+CG132</f>
        <v>10631.315454545664</v>
      </c>
      <c r="CF133" s="564">
        <f>+CE$31</f>
        <v>4725.0290909090909</v>
      </c>
      <c r="CG133" s="564">
        <f t="shared" ref="CG133:CG134" si="176">+CE133-CF133</f>
        <v>5906.2863636365728</v>
      </c>
      <c r="CH133" s="590">
        <f>+CE$28*CG133+CF133</f>
        <v>5404.6921353887419</v>
      </c>
      <c r="CI133" s="589">
        <f>+CK132</f>
        <v>40178.863636363334</v>
      </c>
      <c r="CJ133" s="564">
        <f>+CI$31</f>
        <v>12362.727272727272</v>
      </c>
      <c r="CK133" s="564">
        <f t="shared" ref="CK133:CK134" si="177">+CI133-CJ133</f>
        <v>27816.136363636062</v>
      </c>
      <c r="CL133" s="590">
        <f>+CI$28*CK133+CJ133</f>
        <v>15563.655700946863</v>
      </c>
      <c r="CM133" s="589">
        <f>+CO132</f>
        <v>3748610.278693195</v>
      </c>
      <c r="CN133" s="564">
        <f>+CM$31</f>
        <v>483691.64886363636</v>
      </c>
      <c r="CO133" s="564">
        <f t="shared" ref="CO133:CO134" si="178">+CM133-CN133</f>
        <v>3264918.6298295585</v>
      </c>
      <c r="CP133" s="590">
        <f>+CM$28*CO133+CN133</f>
        <v>859400.57987489807</v>
      </c>
      <c r="CQ133" s="589">
        <f>+CS132</f>
        <v>15637453.723465916</v>
      </c>
      <c r="CR133" s="564">
        <f>+CQ$31</f>
        <v>2017735.9643181816</v>
      </c>
      <c r="CS133" s="564">
        <f t="shared" ref="CS133:CS134" si="179">+CQ133-CR133</f>
        <v>13619717.759147733</v>
      </c>
      <c r="CT133" s="590">
        <f>+CQ$28*CS133+CR133</f>
        <v>3585018.3931092545</v>
      </c>
      <c r="CU133" s="589">
        <f>+CW132</f>
        <v>5409562.9800000172</v>
      </c>
      <c r="CV133" s="564">
        <f>+CU$31</f>
        <v>676195.37250000006</v>
      </c>
      <c r="CW133" s="564">
        <f t="shared" ref="CW133:CW134" si="180">+CU133-CV133</f>
        <v>4733367.6075000167</v>
      </c>
      <c r="CX133" s="590">
        <f>+CU$28*CW133+CV133</f>
        <v>1220885.3588443161</v>
      </c>
      <c r="CY133" s="589">
        <f>+DA132</f>
        <v>6236.6528409090861</v>
      </c>
      <c r="CZ133" s="564">
        <f>+CY$31</f>
        <v>733.72386363636497</v>
      </c>
      <c r="DA133" s="564">
        <f t="shared" si="155"/>
        <v>5502.9289772727207</v>
      </c>
      <c r="DB133" s="590">
        <f>+CY$28*DA133+CZ133</f>
        <v>1366.9707521170012</v>
      </c>
      <c r="DC133" s="589">
        <f>+DE132</f>
        <v>367378.05000000191</v>
      </c>
      <c r="DD133" s="564">
        <f>+DC$31</f>
        <v>44530.672727272722</v>
      </c>
      <c r="DE133" s="564">
        <f t="shared" si="156"/>
        <v>322847.37727272918</v>
      </c>
      <c r="DF133" s="590">
        <f>+DC$28*DE133+DD133</f>
        <v>81682.178399332537</v>
      </c>
      <c r="DG133" s="589">
        <f>+DI132</f>
        <v>209435.53170454461</v>
      </c>
      <c r="DH133" s="564">
        <f>+DG$31</f>
        <v>24639.474318181816</v>
      </c>
      <c r="DI133" s="564">
        <f t="shared" si="157"/>
        <v>184796.05738636281</v>
      </c>
      <c r="DJ133" s="590">
        <f>+DG$28*DI133+DH133</f>
        <v>45904.791175205799</v>
      </c>
      <c r="DK133" s="589">
        <f>+DM132</f>
        <v>4488880.2723863721</v>
      </c>
      <c r="DL133" s="564">
        <f>+DK$31</f>
        <v>549658.80886363634</v>
      </c>
      <c r="DM133" s="564">
        <f t="shared" si="158"/>
        <v>3939221.463522736</v>
      </c>
      <c r="DN133" s="590">
        <f>+DK$28*DM133+DL133</f>
        <v>1002962.8120797921</v>
      </c>
      <c r="DO133" s="589">
        <f>+DQ132</f>
        <v>179599.78541666642</v>
      </c>
      <c r="DP133" s="564">
        <f>+DO$31</f>
        <v>19592.703863636354</v>
      </c>
      <c r="DQ133" s="564">
        <f t="shared" si="134"/>
        <v>160007.08155303006</v>
      </c>
      <c r="DR133" s="590">
        <f>+DO$28*DQ133+DP133</f>
        <v>38005.441325230917</v>
      </c>
      <c r="DS133" s="589">
        <f>+DU132</f>
        <v>78809.650909090837</v>
      </c>
      <c r="DT133" s="564">
        <f>+DS$31</f>
        <v>8295.7527272726966</v>
      </c>
      <c r="DU133" s="564">
        <f t="shared" si="159"/>
        <v>70513.898181818135</v>
      </c>
      <c r="DV133" s="590">
        <f>+DS$28*DU133+DT133</f>
        <v>16410.105429750573</v>
      </c>
      <c r="DW133" s="589">
        <f>+DY132</f>
        <v>11301.311534090863</v>
      </c>
      <c r="DX133" s="564">
        <f>+DW$31</f>
        <v>1221.7634090909089</v>
      </c>
      <c r="DY133" s="564">
        <f t="shared" si="160"/>
        <v>10079.548124999954</v>
      </c>
      <c r="DZ133" s="590">
        <f>+DW$28*DY133+DX133</f>
        <v>2381.6625307783597</v>
      </c>
      <c r="EA133" s="589">
        <f>+EC132</f>
        <v>-70609.657443182368</v>
      </c>
      <c r="EB133" s="564">
        <f>+EA$31</f>
        <v>-7120.3015909091364</v>
      </c>
      <c r="EC133" s="564">
        <f t="shared" si="161"/>
        <v>-63489.355852273235</v>
      </c>
      <c r="ED133" s="590">
        <f>+EA$28*EC133+EB133</f>
        <v>-14426.308484899146</v>
      </c>
      <c r="EE133" s="589">
        <f>+EG132</f>
        <v>2193241.4690909036</v>
      </c>
      <c r="EF133" s="564">
        <f>+EE$31</f>
        <v>192108.74181818182</v>
      </c>
      <c r="EG133" s="564">
        <f t="shared" si="162"/>
        <v>2001132.7272727219</v>
      </c>
      <c r="EH133" s="590">
        <f>+EE$28*EG133+EF133</f>
        <v>422388.12180215842</v>
      </c>
      <c r="EI133" s="589">
        <f>+EK132</f>
        <v>90760.52905303007</v>
      </c>
      <c r="EJ133" s="564">
        <f>+EI$31</f>
        <v>7669.903863636363</v>
      </c>
      <c r="EK133" s="564">
        <f t="shared" si="163"/>
        <v>83090.625189393701</v>
      </c>
      <c r="EL133" s="590">
        <f>+EI$28*EK133+EJ133</f>
        <v>17231.517339006259</v>
      </c>
      <c r="EM133" s="589">
        <f>+EO132</f>
        <v>3127290.5181818251</v>
      </c>
      <c r="EN133" s="564">
        <f>+EM$31</f>
        <v>260607.54318181818</v>
      </c>
      <c r="EO133" s="564">
        <f t="shared" si="164"/>
        <v>2866682.9750000071</v>
      </c>
      <c r="EP133" s="590">
        <f>+EM$28*EO133+EN133</f>
        <v>590489.69897130621</v>
      </c>
      <c r="EQ133" s="678">
        <f t="shared" si="165"/>
        <v>11138922.609445276</v>
      </c>
      <c r="ER133" s="652"/>
      <c r="ES133" s="674">
        <f>+EQ133</f>
        <v>11138922.609445276</v>
      </c>
      <c r="EV133" s="589"/>
      <c r="EW133" s="564"/>
      <c r="EX133" s="564"/>
      <c r="EY133" s="590"/>
      <c r="EZ133" s="589"/>
      <c r="FA133" s="564"/>
      <c r="FB133" s="564"/>
      <c r="FC133" s="590"/>
      <c r="FD133" s="589"/>
      <c r="FE133" s="564"/>
      <c r="FF133" s="564"/>
      <c r="FG133" s="590"/>
      <c r="FH133" s="589"/>
      <c r="FI133" s="564"/>
      <c r="FJ133" s="564"/>
      <c r="FK133" s="590"/>
      <c r="FL133" s="589"/>
      <c r="FM133" s="564"/>
      <c r="FN133" s="564"/>
      <c r="FO133" s="590"/>
      <c r="FP133" s="589"/>
      <c r="FQ133" s="564"/>
      <c r="FR133" s="564"/>
      <c r="FS133" s="590"/>
      <c r="FT133" s="589"/>
      <c r="FU133" s="564"/>
      <c r="FV133" s="564"/>
      <c r="FW133" s="590"/>
      <c r="FX133" s="589"/>
      <c r="FY133" s="564"/>
      <c r="FZ133" s="564"/>
      <c r="GA133" s="590"/>
      <c r="GB133" s="589"/>
      <c r="GC133" s="564"/>
      <c r="GD133" s="564"/>
      <c r="GE133" s="590"/>
      <c r="GF133" s="589"/>
      <c r="GG133" s="564"/>
      <c r="GH133" s="564"/>
      <c r="GI133" s="590"/>
      <c r="GJ133" s="589"/>
      <c r="GK133" s="564"/>
      <c r="GL133" s="564"/>
      <c r="GM133" s="590"/>
      <c r="GN133" s="589"/>
      <c r="GO133" s="564"/>
      <c r="GP133" s="564"/>
      <c r="GQ133" s="590"/>
      <c r="GR133" s="589"/>
      <c r="GS133" s="564"/>
      <c r="GT133" s="564"/>
      <c r="GU133" s="590"/>
      <c r="GV133" s="672"/>
      <c r="GW133" s="676"/>
      <c r="GX133" s="676"/>
      <c r="GY133" s="1366"/>
      <c r="GZ133" s="1367"/>
      <c r="HA133" s="1373"/>
      <c r="HB133" s="1373"/>
      <c r="HC133" s="1366"/>
      <c r="HD133" s="1367"/>
      <c r="HE133" s="1373"/>
      <c r="HF133" s="1373"/>
      <c r="HG133" s="1366"/>
      <c r="HI133" s="589"/>
      <c r="HJ133" s="564"/>
      <c r="HK133" s="564"/>
      <c r="HL133" s="590"/>
      <c r="HM133" s="589"/>
      <c r="HN133" s="564"/>
      <c r="HO133" s="564"/>
      <c r="HP133" s="590"/>
      <c r="HQ133" s="589"/>
      <c r="HR133" s="564"/>
      <c r="HS133" s="564"/>
      <c r="HT133" s="590"/>
    </row>
    <row r="134" spans="1:228">
      <c r="A134" s="649" t="s">
        <v>23</v>
      </c>
      <c r="B134" s="670">
        <v>2053</v>
      </c>
      <c r="C134" s="671"/>
      <c r="D134" s="671"/>
      <c r="E134" s="671"/>
      <c r="F134" s="653"/>
      <c r="G134" s="671"/>
      <c r="H134" s="671"/>
      <c r="I134" s="671"/>
      <c r="J134" s="653"/>
      <c r="K134" s="658"/>
      <c r="L134" s="658"/>
      <c r="M134" s="658"/>
      <c r="N134" s="653"/>
      <c r="O134" s="672">
        <f>+O133</f>
        <v>99430.265151511878</v>
      </c>
      <c r="P134" s="671">
        <f>+P133</f>
        <v>99430.265151515137</v>
      </c>
      <c r="Q134" s="671">
        <f t="shared" si="166"/>
        <v>-3.2596290111541748E-9</v>
      </c>
      <c r="R134" s="653">
        <f>+O$29*Q134+P134</f>
        <v>99430.265151514745</v>
      </c>
      <c r="S134" s="589"/>
      <c r="T134" s="671"/>
      <c r="U134" s="564"/>
      <c r="V134" s="590"/>
      <c r="W134" s="589">
        <f>+W133</f>
        <v>577744.67803031311</v>
      </c>
      <c r="X134" s="564">
        <f>+X133</f>
        <v>577744.67803030298</v>
      </c>
      <c r="Y134" s="564">
        <f t="shared" si="167"/>
        <v>1.0128132998943329E-8</v>
      </c>
      <c r="Z134" s="590">
        <f>+W$29*Y134+X134</f>
        <v>577744.67803030426</v>
      </c>
      <c r="AA134" s="589">
        <f>+AA133</f>
        <v>413263.85416666459</v>
      </c>
      <c r="AB134" s="564">
        <f>+AB133</f>
        <v>413263.85416666669</v>
      </c>
      <c r="AC134" s="564">
        <f t="shared" si="168"/>
        <v>-2.0954757928848267E-9</v>
      </c>
      <c r="AD134" s="590">
        <f>+AA$29*AC134+AB134</f>
        <v>413263.85416666645</v>
      </c>
      <c r="AE134" s="589">
        <f>+AE133</f>
        <v>2298.9431818182456</v>
      </c>
      <c r="AF134" s="564">
        <f>+AF133</f>
        <v>2298.943181818182</v>
      </c>
      <c r="AG134" s="564">
        <f t="shared" si="169"/>
        <v>6.3664629124104977E-11</v>
      </c>
      <c r="AH134" s="590">
        <f>+AE$29*AG134+AF134</f>
        <v>2298.9431818181897</v>
      </c>
      <c r="AI134" s="589">
        <f>+AI133</f>
        <v>541836.95833333815</v>
      </c>
      <c r="AJ134" s="564">
        <f>+AJ133</f>
        <v>295547.43181818182</v>
      </c>
      <c r="AK134" s="564">
        <f t="shared" si="170"/>
        <v>246289.52651515632</v>
      </c>
      <c r="AL134" s="590">
        <f>+AI$29*AK134+AJ134</f>
        <v>325392.21081881342</v>
      </c>
      <c r="AM134" s="589">
        <f>+AM133</f>
        <v>166300.37352272772</v>
      </c>
      <c r="AN134" s="564">
        <f>+AN133</f>
        <v>110866.91568181818</v>
      </c>
      <c r="AO134" s="564">
        <f t="shared" si="171"/>
        <v>55433.457840909541</v>
      </c>
      <c r="AP134" s="590">
        <f>+AM$29*AO134+AN134</f>
        <v>117584.21024936027</v>
      </c>
      <c r="AQ134" s="589">
        <f>+AQ133</f>
        <v>1583631.4152272735</v>
      </c>
      <c r="AR134" s="564">
        <f>+AR133</f>
        <v>904932.23727272719</v>
      </c>
      <c r="AS134" s="564">
        <f t="shared" si="172"/>
        <v>678699.17795454629</v>
      </c>
      <c r="AT134" s="590">
        <f>+AQ$29*AS134+AR134</f>
        <v>987175.38930833456</v>
      </c>
      <c r="AU134" s="671"/>
      <c r="AV134" s="671"/>
      <c r="AW134" s="671"/>
      <c r="AX134" s="653"/>
      <c r="AY134" s="671"/>
      <c r="AZ134" s="671"/>
      <c r="BA134" s="671"/>
      <c r="BB134" s="653"/>
      <c r="BC134" s="671"/>
      <c r="BD134" s="671"/>
      <c r="BE134" s="671"/>
      <c r="BF134" s="653"/>
      <c r="BG134" s="671"/>
      <c r="BH134" s="671"/>
      <c r="BI134" s="671"/>
      <c r="BJ134" s="653"/>
      <c r="BK134" s="671"/>
      <c r="BL134" s="671"/>
      <c r="BM134" s="671"/>
      <c r="BN134" s="653"/>
      <c r="BO134" s="671"/>
      <c r="BP134" s="671"/>
      <c r="BQ134" s="671"/>
      <c r="BR134" s="653"/>
      <c r="BS134" s="589">
        <f>+BS133</f>
        <v>16621.772727272975</v>
      </c>
      <c r="BT134" s="564">
        <f>+BT133</f>
        <v>8310.886363636364</v>
      </c>
      <c r="BU134" s="564">
        <f t="shared" si="173"/>
        <v>8310.8863636366113</v>
      </c>
      <c r="BV134" s="590">
        <f>+BS$29*BU134+BT134</f>
        <v>9317.9798049680376</v>
      </c>
      <c r="BW134" s="589">
        <f>+BW133</f>
        <v>1297892.7613636511</v>
      </c>
      <c r="BX134" s="564">
        <f>+BX133</f>
        <v>576841.22727272729</v>
      </c>
      <c r="BY134" s="564">
        <f t="shared" si="174"/>
        <v>721051.53409092384</v>
      </c>
      <c r="BZ134" s="590">
        <f>+BW$29*BY134+BX134</f>
        <v>659815.88354814984</v>
      </c>
      <c r="CA134" s="589">
        <f>+CA133</f>
        <v>122476.32000000145</v>
      </c>
      <c r="CB134" s="564">
        <f>+CB133</f>
        <v>54433.919999999998</v>
      </c>
      <c r="CC134" s="564">
        <f t="shared" si="175"/>
        <v>68042.400000001449</v>
      </c>
      <c r="CD134" s="590">
        <f>+CA$29*CC134+CB134</f>
        <v>62679.136186842799</v>
      </c>
      <c r="CE134" s="589">
        <f>+CE133</f>
        <v>10631.315454545664</v>
      </c>
      <c r="CF134" s="564">
        <f>+CF133</f>
        <v>4725.0290909090909</v>
      </c>
      <c r="CG134" s="564">
        <f t="shared" si="176"/>
        <v>5906.2863636365728</v>
      </c>
      <c r="CH134" s="590">
        <f>+CE$29*CG134+CF134</f>
        <v>5440.738823804817</v>
      </c>
      <c r="CI134" s="589">
        <f>+CI133</f>
        <v>40178.863636363334</v>
      </c>
      <c r="CJ134" s="564">
        <f>+CJ133</f>
        <v>12362.727272727272</v>
      </c>
      <c r="CK134" s="564">
        <f t="shared" si="177"/>
        <v>27816.136363636062</v>
      </c>
      <c r="CL134" s="590">
        <f>+CI$29*CK134+CJ134</f>
        <v>15563.655700946863</v>
      </c>
      <c r="CM134" s="589">
        <f>+CM133</f>
        <v>3748610.278693195</v>
      </c>
      <c r="CN134" s="564">
        <f>+CN133</f>
        <v>483691.64886363636</v>
      </c>
      <c r="CO134" s="564">
        <f t="shared" si="178"/>
        <v>3264918.6298295585</v>
      </c>
      <c r="CP134" s="590">
        <f>+CM$29*CO134+CN134</f>
        <v>859400.57987489807</v>
      </c>
      <c r="CQ134" s="589">
        <f>+CQ133</f>
        <v>15637453.723465916</v>
      </c>
      <c r="CR134" s="564">
        <f>+CR133</f>
        <v>2017735.9643181816</v>
      </c>
      <c r="CS134" s="564">
        <f t="shared" si="179"/>
        <v>13619717.759147733</v>
      </c>
      <c r="CT134" s="590">
        <f>+CQ$29*CS134+CR134</f>
        <v>3585018.3931092545</v>
      </c>
      <c r="CU134" s="589">
        <f>+CU133</f>
        <v>5409562.9800000172</v>
      </c>
      <c r="CV134" s="564">
        <f>+CV133</f>
        <v>676195.37250000006</v>
      </c>
      <c r="CW134" s="564">
        <f t="shared" si="180"/>
        <v>4733367.6075000167</v>
      </c>
      <c r="CX134" s="590">
        <f>+CU$29*CW134+CV134</f>
        <v>1220885.3588443161</v>
      </c>
      <c r="CY134" s="589">
        <f>+CY133</f>
        <v>6236.6528409090861</v>
      </c>
      <c r="CZ134" s="564">
        <f>+CZ133</f>
        <v>733.72386363636497</v>
      </c>
      <c r="DA134" s="564">
        <f t="shared" si="155"/>
        <v>5502.9289772727207</v>
      </c>
      <c r="DB134" s="590">
        <f>+CY$29*DA134+CZ134</f>
        <v>1366.9707521170012</v>
      </c>
      <c r="DC134" s="589">
        <f>+DC133</f>
        <v>367378.05000000191</v>
      </c>
      <c r="DD134" s="564">
        <f>+DD133</f>
        <v>44530.672727272722</v>
      </c>
      <c r="DE134" s="564">
        <f t="shared" si="156"/>
        <v>322847.37727272918</v>
      </c>
      <c r="DF134" s="590">
        <f>+DC$29*DE134+DD134</f>
        <v>81682.178399332537</v>
      </c>
      <c r="DG134" s="589">
        <f>+DG133</f>
        <v>209435.53170454461</v>
      </c>
      <c r="DH134" s="564">
        <f>+DH133</f>
        <v>24639.474318181816</v>
      </c>
      <c r="DI134" s="564">
        <f t="shared" si="157"/>
        <v>184796.05738636281</v>
      </c>
      <c r="DJ134" s="590">
        <f>+DG$29*DI134+DH134</f>
        <v>45904.791175205799</v>
      </c>
      <c r="DK134" s="589">
        <f>+DK133</f>
        <v>4488880.2723863721</v>
      </c>
      <c r="DL134" s="564">
        <f>+DL133</f>
        <v>549658.80886363634</v>
      </c>
      <c r="DM134" s="564">
        <f t="shared" si="158"/>
        <v>3939221.463522736</v>
      </c>
      <c r="DN134" s="590">
        <f>+DK$29*DM134+DL134</f>
        <v>1002962.8120797921</v>
      </c>
      <c r="DO134" s="589">
        <f>+DO133</f>
        <v>179599.78541666642</v>
      </c>
      <c r="DP134" s="564">
        <f>+DP133</f>
        <v>19592.703863636354</v>
      </c>
      <c r="DQ134" s="564">
        <f t="shared" si="134"/>
        <v>160007.08155303006</v>
      </c>
      <c r="DR134" s="590">
        <f>+DO$29*DQ134+DP134</f>
        <v>38005.441325230917</v>
      </c>
      <c r="DS134" s="589">
        <f>+DS133</f>
        <v>78809.650909090837</v>
      </c>
      <c r="DT134" s="564">
        <f>+DT133</f>
        <v>8295.7527272726966</v>
      </c>
      <c r="DU134" s="564">
        <f t="shared" si="159"/>
        <v>70513.898181818135</v>
      </c>
      <c r="DV134" s="590">
        <f>+DS$29*DU134+DT134</f>
        <v>16410.105429750573</v>
      </c>
      <c r="DW134" s="589">
        <f>+DW133</f>
        <v>11301.311534090863</v>
      </c>
      <c r="DX134" s="564">
        <f>+DX133</f>
        <v>1221.7634090909089</v>
      </c>
      <c r="DY134" s="564">
        <f t="shared" si="160"/>
        <v>10079.548124999954</v>
      </c>
      <c r="DZ134" s="590">
        <f>+DW$29*DY134+DX134</f>
        <v>2381.6625307783597</v>
      </c>
      <c r="EA134" s="589">
        <f>+EA133</f>
        <v>-70609.657443182368</v>
      </c>
      <c r="EB134" s="564">
        <f>+EB133</f>
        <v>-7120.3015909091364</v>
      </c>
      <c r="EC134" s="564">
        <f t="shared" si="161"/>
        <v>-63489.355852273235</v>
      </c>
      <c r="ED134" s="590">
        <f>+EA$29*EC134+EB134</f>
        <v>-14426.308484899146</v>
      </c>
      <c r="EE134" s="589">
        <f>+EE133</f>
        <v>2193241.4690909036</v>
      </c>
      <c r="EF134" s="564">
        <f>+EF133</f>
        <v>192108.74181818182</v>
      </c>
      <c r="EG134" s="564">
        <f t="shared" si="162"/>
        <v>2001132.7272727219</v>
      </c>
      <c r="EH134" s="590">
        <f>+EE$29*EG134+EF134</f>
        <v>422388.12180215842</v>
      </c>
      <c r="EI134" s="589">
        <f>+EI133</f>
        <v>90760.52905303007</v>
      </c>
      <c r="EJ134" s="564">
        <f>+EJ133</f>
        <v>7669.903863636363</v>
      </c>
      <c r="EK134" s="564">
        <f t="shared" si="163"/>
        <v>83090.625189393701</v>
      </c>
      <c r="EL134" s="590">
        <f>+EI$29*EK134+EJ134</f>
        <v>17231.517339006259</v>
      </c>
      <c r="EM134" s="589">
        <f>+EM133</f>
        <v>3127290.5181818251</v>
      </c>
      <c r="EN134" s="564">
        <f>+EN133</f>
        <v>260607.54318181818</v>
      </c>
      <c r="EO134" s="564">
        <f t="shared" si="164"/>
        <v>2866682.9750000071</v>
      </c>
      <c r="EP134" s="590">
        <f>+EM$29*EO134+EN134</f>
        <v>590489.69897130621</v>
      </c>
      <c r="EQ134" s="678">
        <f t="shared" si="165"/>
        <v>11145408.268119771</v>
      </c>
      <c r="ER134" s="675">
        <f>+EQ134</f>
        <v>11145408.268119771</v>
      </c>
      <c r="ES134" s="648"/>
      <c r="EV134" s="589"/>
      <c r="EW134" s="564"/>
      <c r="EX134" s="564"/>
      <c r="EY134" s="590"/>
      <c r="EZ134" s="589"/>
      <c r="FA134" s="564"/>
      <c r="FB134" s="564"/>
      <c r="FC134" s="590"/>
      <c r="FD134" s="589"/>
      <c r="FE134" s="564"/>
      <c r="FF134" s="564"/>
      <c r="FG134" s="590"/>
      <c r="FH134" s="589"/>
      <c r="FI134" s="564"/>
      <c r="FJ134" s="564"/>
      <c r="FK134" s="590"/>
      <c r="FL134" s="589"/>
      <c r="FM134" s="564"/>
      <c r="FN134" s="564"/>
      <c r="FO134" s="590"/>
      <c r="FP134" s="589"/>
      <c r="FQ134" s="564"/>
      <c r="FR134" s="564"/>
      <c r="FS134" s="590"/>
      <c r="FT134" s="589"/>
      <c r="FU134" s="564"/>
      <c r="FV134" s="564"/>
      <c r="FW134" s="590"/>
      <c r="FX134" s="589"/>
      <c r="FY134" s="564"/>
      <c r="FZ134" s="564"/>
      <c r="GA134" s="590"/>
      <c r="GB134" s="589"/>
      <c r="GC134" s="564"/>
      <c r="GD134" s="564"/>
      <c r="GE134" s="590"/>
      <c r="GF134" s="589"/>
      <c r="GG134" s="564"/>
      <c r="GH134" s="564"/>
      <c r="GI134" s="590"/>
      <c r="GJ134" s="589"/>
      <c r="GK134" s="564"/>
      <c r="GL134" s="564"/>
      <c r="GM134" s="590"/>
      <c r="GN134" s="589"/>
      <c r="GO134" s="564"/>
      <c r="GP134" s="564"/>
      <c r="GQ134" s="590"/>
      <c r="GR134" s="589"/>
      <c r="GS134" s="564"/>
      <c r="GT134" s="564"/>
      <c r="GU134" s="590"/>
      <c r="GV134" s="672"/>
      <c r="GW134" s="676"/>
      <c r="GX134" s="676"/>
      <c r="GY134" s="1366"/>
      <c r="GZ134" s="1367"/>
      <c r="HA134" s="1373"/>
      <c r="HB134" s="1373"/>
      <c r="HC134" s="1366"/>
      <c r="HD134" s="1367"/>
      <c r="HE134" s="1373"/>
      <c r="HF134" s="1373"/>
      <c r="HG134" s="1366"/>
      <c r="HI134" s="589"/>
      <c r="HJ134" s="564"/>
      <c r="HK134" s="564"/>
      <c r="HL134" s="590"/>
      <c r="HM134" s="589"/>
      <c r="HN134" s="564"/>
      <c r="HO134" s="564"/>
      <c r="HP134" s="590"/>
      <c r="HQ134" s="589"/>
      <c r="HR134" s="564"/>
      <c r="HS134" s="564"/>
      <c r="HT134" s="590"/>
    </row>
    <row r="135" spans="1:228">
      <c r="A135" s="649" t="s">
        <v>24</v>
      </c>
      <c r="B135" s="670">
        <v>2054</v>
      </c>
      <c r="C135" s="671"/>
      <c r="D135" s="671"/>
      <c r="E135" s="671"/>
      <c r="F135" s="653"/>
      <c r="G135" s="671"/>
      <c r="H135" s="671"/>
      <c r="I135" s="671"/>
      <c r="J135" s="653"/>
      <c r="K135" s="658"/>
      <c r="L135" s="658"/>
      <c r="M135" s="658"/>
      <c r="N135" s="653"/>
      <c r="O135" s="671"/>
      <c r="P135" s="671"/>
      <c r="Q135" s="671"/>
      <c r="R135" s="653"/>
      <c r="S135" s="564"/>
      <c r="T135" s="564"/>
      <c r="U135" s="564"/>
      <c r="V135" s="590"/>
      <c r="W135" s="564"/>
      <c r="X135" s="671"/>
      <c r="Y135" s="564"/>
      <c r="Z135" s="590"/>
      <c r="AA135" s="564"/>
      <c r="AB135" s="564"/>
      <c r="AC135" s="564"/>
      <c r="AD135" s="590"/>
      <c r="AE135" s="564"/>
      <c r="AF135" s="564"/>
      <c r="AG135" s="564"/>
      <c r="AH135" s="590"/>
      <c r="AI135" s="589">
        <f>+AK134</f>
        <v>246289.52651515632</v>
      </c>
      <c r="AJ135" s="564">
        <f>+AI$31/12*AI32</f>
        <v>246289.52651515152</v>
      </c>
      <c r="AK135" s="564">
        <f t="shared" ref="AK135:AK136" si="181">+AI135-AJ135</f>
        <v>4.8021320253610611E-9</v>
      </c>
      <c r="AL135" s="590">
        <f>+AI$28*AK135+AJ135</f>
        <v>246289.52651515207</v>
      </c>
      <c r="AM135" s="589">
        <f>+AO134</f>
        <v>55433.457840909541</v>
      </c>
      <c r="AN135" s="564">
        <f>+AM$31/12*AM32</f>
        <v>55433.45784090909</v>
      </c>
      <c r="AO135" s="564">
        <f t="shared" ref="AO135:AO136" si="182">+AM135-AN135</f>
        <v>4.5110937207937241E-10</v>
      </c>
      <c r="AP135" s="590">
        <f>+AM$28*AO135+AN135</f>
        <v>55433.457840909141</v>
      </c>
      <c r="AQ135" s="589">
        <f>+AS134</f>
        <v>678699.17795454629</v>
      </c>
      <c r="AR135" s="564">
        <f>+AQ$31/12*9</f>
        <v>678699.17795454536</v>
      </c>
      <c r="AS135" s="564">
        <f t="shared" ref="AS135:AS136" si="183">+AQ135-AR135</f>
        <v>9.3132257461547852E-10</v>
      </c>
      <c r="AT135" s="590">
        <f>+AQ$28*AS135+AR135</f>
        <v>678699.17795454548</v>
      </c>
      <c r="AU135" s="671"/>
      <c r="AV135" s="671"/>
      <c r="AW135" s="671"/>
      <c r="AX135" s="653"/>
      <c r="AY135" s="671"/>
      <c r="AZ135" s="671"/>
      <c r="BA135" s="671"/>
      <c r="BB135" s="653"/>
      <c r="BC135" s="671"/>
      <c r="BD135" s="671"/>
      <c r="BE135" s="671"/>
      <c r="BF135" s="653"/>
      <c r="BG135" s="671"/>
      <c r="BH135" s="671"/>
      <c r="BI135" s="671"/>
      <c r="BJ135" s="653"/>
      <c r="BK135" s="671"/>
      <c r="BL135" s="671"/>
      <c r="BM135" s="671"/>
      <c r="BN135" s="653"/>
      <c r="BO135" s="671"/>
      <c r="BP135" s="671"/>
      <c r="BQ135" s="671"/>
      <c r="BR135" s="653"/>
      <c r="BS135" s="589">
        <f>+BU134</f>
        <v>8310.8863636366113</v>
      </c>
      <c r="BT135" s="564">
        <f>+BS$31</f>
        <v>8310.886363636364</v>
      </c>
      <c r="BU135" s="564">
        <f t="shared" ref="BU135:BU136" si="184">+BS135-BT135</f>
        <v>2.4738255888223648E-10</v>
      </c>
      <c r="BV135" s="590">
        <f>+BS$28*BU135+BT135</f>
        <v>8310.8863636363931</v>
      </c>
      <c r="BW135" s="589">
        <f>+BY134</f>
        <v>721051.53409092384</v>
      </c>
      <c r="BX135" s="564">
        <f>+BW$31</f>
        <v>576841.22727272729</v>
      </c>
      <c r="BY135" s="564">
        <f t="shared" ref="BY135:BY136" si="185">+BW135-BX135</f>
        <v>144210.30681819655</v>
      </c>
      <c r="BZ135" s="590">
        <f>+BW$28*BY135+BX135</f>
        <v>593436.15852781315</v>
      </c>
      <c r="CA135" s="589">
        <f>+CC134</f>
        <v>68042.400000001449</v>
      </c>
      <c r="CB135" s="564">
        <f>+CA$31</f>
        <v>54433.919999999998</v>
      </c>
      <c r="CC135" s="564">
        <f t="shared" ref="CC135:CC136" si="186">+CA135-CB135</f>
        <v>13608.480000001451</v>
      </c>
      <c r="CD135" s="590">
        <f>+CA$28*CC135+CB135</f>
        <v>55999.909249096716</v>
      </c>
      <c r="CE135" s="589">
        <f>+CG134</f>
        <v>5906.2863636365728</v>
      </c>
      <c r="CF135" s="564">
        <f>+CE$31</f>
        <v>4725.0290909090909</v>
      </c>
      <c r="CG135" s="564">
        <f t="shared" ref="CG135:CG136" si="187">+CE135-CF135</f>
        <v>1181.2572727274819</v>
      </c>
      <c r="CH135" s="590">
        <f>+CE$28*CG135+CF135</f>
        <v>4860.9616998050406</v>
      </c>
      <c r="CI135" s="589">
        <f>+CK134</f>
        <v>27816.136363636062</v>
      </c>
      <c r="CJ135" s="564">
        <f>+CI$31</f>
        <v>12362.727272727272</v>
      </c>
      <c r="CK135" s="564">
        <f t="shared" ref="CK135:CK136" si="188">+CI135-CJ135</f>
        <v>15453.40909090879</v>
      </c>
      <c r="CL135" s="590">
        <f>+CI$28*CK135+CJ135</f>
        <v>14141.020843960363</v>
      </c>
      <c r="CM135" s="589">
        <f>+CO134</f>
        <v>3264918.6298295585</v>
      </c>
      <c r="CN135" s="564">
        <f>+CM$31</f>
        <v>483691.64886363636</v>
      </c>
      <c r="CO135" s="564">
        <f t="shared" ref="CO135:CO136" si="189">+CM135-CN135</f>
        <v>2781226.9809659221</v>
      </c>
      <c r="CP135" s="590">
        <f>+CM$28*CO135+CN135</f>
        <v>803739.99750285957</v>
      </c>
      <c r="CQ135" s="589">
        <f>+CS134</f>
        <v>13619717.759147733</v>
      </c>
      <c r="CR135" s="564">
        <f>+CQ$31</f>
        <v>2017735.9643181816</v>
      </c>
      <c r="CS135" s="564">
        <f t="shared" ref="CS135:CS136" si="190">+CQ135-CR135</f>
        <v>11601981.794829551</v>
      </c>
      <c r="CT135" s="590">
        <f>+CQ$28*CS135+CR135</f>
        <v>3352828.4036587253</v>
      </c>
      <c r="CU135" s="589">
        <f>+CW134</f>
        <v>4733367.6075000167</v>
      </c>
      <c r="CV135" s="564">
        <f>+CU$31</f>
        <v>676195.37250000006</v>
      </c>
      <c r="CW135" s="564">
        <f t="shared" ref="CW135:CW136" si="191">+CU135-CV135</f>
        <v>4057172.2350000166</v>
      </c>
      <c r="CX135" s="590">
        <f>+CU$28*CW135+CV135</f>
        <v>1143072.5036522711</v>
      </c>
      <c r="CY135" s="589">
        <f>+DA134</f>
        <v>5502.9289772727207</v>
      </c>
      <c r="CZ135" s="564">
        <f>+CY$31</f>
        <v>733.72386363636497</v>
      </c>
      <c r="DA135" s="564">
        <f t="shared" si="155"/>
        <v>4769.2051136363552</v>
      </c>
      <c r="DB135" s="590">
        <f>+CY$28*DA135+CZ135</f>
        <v>1282.5378336529161</v>
      </c>
      <c r="DC135" s="589">
        <f>+DE134</f>
        <v>322847.37727272918</v>
      </c>
      <c r="DD135" s="564">
        <f>+DC$31</f>
        <v>44530.672727272722</v>
      </c>
      <c r="DE135" s="564">
        <f t="shared" si="156"/>
        <v>278316.70454545645</v>
      </c>
      <c r="DF135" s="590">
        <f>+DC$28*DE135+DD135</f>
        <v>76557.832789393287</v>
      </c>
      <c r="DG135" s="589">
        <f>+DI134</f>
        <v>184796.05738636281</v>
      </c>
      <c r="DH135" s="564">
        <f>+DG$31</f>
        <v>24639.474318181816</v>
      </c>
      <c r="DI135" s="564">
        <f t="shared" si="157"/>
        <v>160156.583068181</v>
      </c>
      <c r="DJ135" s="590">
        <f>+DG$28*DI135+DH135</f>
        <v>43069.41559426926</v>
      </c>
      <c r="DK135" s="589">
        <f>+DM134</f>
        <v>3939221.463522736</v>
      </c>
      <c r="DL135" s="564">
        <f>+DK$31</f>
        <v>549658.80886363634</v>
      </c>
      <c r="DM135" s="564">
        <f t="shared" si="158"/>
        <v>3389562.6546590999</v>
      </c>
      <c r="DN135" s="590">
        <f>+DK$28*DM135+DL135</f>
        <v>939711.09070079378</v>
      </c>
      <c r="DO135" s="589">
        <f>+DQ134</f>
        <v>160007.08155303006</v>
      </c>
      <c r="DP135" s="564">
        <f>+DO$31</f>
        <v>19592.703863636354</v>
      </c>
      <c r="DQ135" s="564">
        <f t="shared" si="134"/>
        <v>140414.3776893937</v>
      </c>
      <c r="DR135" s="590">
        <f>+DO$28*DQ135+DP135</f>
        <v>35750.820411566274</v>
      </c>
      <c r="DS135" s="589">
        <f>+DU134</f>
        <v>70513.898181818135</v>
      </c>
      <c r="DT135" s="564">
        <f>+DS$31</f>
        <v>8295.7527272726966</v>
      </c>
      <c r="DU135" s="564">
        <f t="shared" si="159"/>
        <v>62218.14545454544</v>
      </c>
      <c r="DV135" s="590">
        <f>+DS$28*DU135+DT135</f>
        <v>15455.475700047296</v>
      </c>
      <c r="DW135" s="589">
        <f>+DY134</f>
        <v>10079.548124999954</v>
      </c>
      <c r="DX135" s="564">
        <f>+DW$31</f>
        <v>1221.7634090909089</v>
      </c>
      <c r="DY135" s="564">
        <f t="shared" si="160"/>
        <v>8857.7847159090452</v>
      </c>
      <c r="DZ135" s="590">
        <f>+DW$28*DY135+DX135</f>
        <v>2241.0686978465469</v>
      </c>
      <c r="EA135" s="589">
        <f>+EC134</f>
        <v>-63489.355852273235</v>
      </c>
      <c r="EB135" s="564">
        <f>+EA$31</f>
        <v>-7120.3015909091364</v>
      </c>
      <c r="EC135" s="564">
        <f t="shared" si="161"/>
        <v>-56369.054261364101</v>
      </c>
      <c r="ED135" s="590">
        <f>+EA$28*EC135+EB135</f>
        <v>-13606.943225760082</v>
      </c>
      <c r="EE135" s="589">
        <f>+EG134</f>
        <v>2001132.7272727219</v>
      </c>
      <c r="EF135" s="564">
        <f>+EE$31</f>
        <v>192108.74181818182</v>
      </c>
      <c r="EG135" s="564">
        <f t="shared" si="162"/>
        <v>1809023.9854545402</v>
      </c>
      <c r="EH135" s="590">
        <f>+EE$28*EG135+EF135</f>
        <v>400281.30132369662</v>
      </c>
      <c r="EI135" s="589">
        <f>+EK134</f>
        <v>83090.625189393701</v>
      </c>
      <c r="EJ135" s="564">
        <f>+EI$31</f>
        <v>7669.903863636363</v>
      </c>
      <c r="EK135" s="564">
        <f t="shared" si="163"/>
        <v>75420.721325757331</v>
      </c>
      <c r="EL135" s="590">
        <f>+EI$28*EK135+EJ135</f>
        <v>16348.906864356726</v>
      </c>
      <c r="EM135" s="589">
        <f>+EO134</f>
        <v>2866682.9750000071</v>
      </c>
      <c r="EN135" s="564">
        <f>+EM$31</f>
        <v>260607.54318181818</v>
      </c>
      <c r="EO135" s="564">
        <f t="shared" si="164"/>
        <v>2606075.4318181891</v>
      </c>
      <c r="EP135" s="590">
        <f>+EM$28*EO135+EN135</f>
        <v>560500.4120813529</v>
      </c>
      <c r="EQ135" s="678">
        <f t="shared" si="165"/>
        <v>9034403.9225799888</v>
      </c>
      <c r="ER135" s="652"/>
      <c r="ES135" s="674">
        <f>+EQ135</f>
        <v>9034403.9225799888</v>
      </c>
      <c r="EV135" s="589"/>
      <c r="EW135" s="564"/>
      <c r="EX135" s="564"/>
      <c r="EY135" s="590"/>
      <c r="EZ135" s="589"/>
      <c r="FA135" s="564"/>
      <c r="FB135" s="564"/>
      <c r="FC135" s="590"/>
      <c r="FD135" s="589"/>
      <c r="FE135" s="564"/>
      <c r="FF135" s="564"/>
      <c r="FG135" s="590"/>
      <c r="FH135" s="589"/>
      <c r="FI135" s="564"/>
      <c r="FJ135" s="564"/>
      <c r="FK135" s="590"/>
      <c r="FL135" s="589"/>
      <c r="FM135" s="564"/>
      <c r="FN135" s="564"/>
      <c r="FO135" s="590"/>
      <c r="FP135" s="589"/>
      <c r="FQ135" s="564"/>
      <c r="FR135" s="564"/>
      <c r="FS135" s="590"/>
      <c r="FT135" s="589"/>
      <c r="FU135" s="564"/>
      <c r="FV135" s="564"/>
      <c r="FW135" s="590"/>
      <c r="FX135" s="589"/>
      <c r="FY135" s="564"/>
      <c r="FZ135" s="564"/>
      <c r="GA135" s="590"/>
      <c r="GB135" s="589"/>
      <c r="GC135" s="564"/>
      <c r="GD135" s="564"/>
      <c r="GE135" s="590"/>
      <c r="GF135" s="589"/>
      <c r="GG135" s="564"/>
      <c r="GH135" s="564"/>
      <c r="GI135" s="590"/>
      <c r="GJ135" s="589"/>
      <c r="GK135" s="564"/>
      <c r="GL135" s="564"/>
      <c r="GM135" s="590"/>
      <c r="GN135" s="589"/>
      <c r="GO135" s="564"/>
      <c r="GP135" s="564"/>
      <c r="GQ135" s="590"/>
      <c r="GR135" s="589"/>
      <c r="GS135" s="564"/>
      <c r="GT135" s="564"/>
      <c r="GU135" s="590"/>
      <c r="GV135" s="672"/>
      <c r="GW135" s="676"/>
      <c r="GX135" s="676"/>
      <c r="GY135" s="1366"/>
      <c r="GZ135" s="1367"/>
      <c r="HA135" s="1373"/>
      <c r="HB135" s="1373"/>
      <c r="HC135" s="1366"/>
      <c r="HD135" s="1367"/>
      <c r="HE135" s="1373"/>
      <c r="HF135" s="1373"/>
      <c r="HG135" s="1366"/>
      <c r="HI135" s="589"/>
      <c r="HJ135" s="564"/>
      <c r="HK135" s="564"/>
      <c r="HL135" s="590"/>
      <c r="HM135" s="589"/>
      <c r="HN135" s="564"/>
      <c r="HO135" s="564"/>
      <c r="HP135" s="590"/>
      <c r="HQ135" s="589"/>
      <c r="HR135" s="564"/>
      <c r="HS135" s="564"/>
      <c r="HT135" s="590"/>
    </row>
    <row r="136" spans="1:228">
      <c r="A136" s="649" t="s">
        <v>23</v>
      </c>
      <c r="B136" s="670">
        <v>2054</v>
      </c>
      <c r="C136" s="671"/>
      <c r="D136" s="671"/>
      <c r="E136" s="671"/>
      <c r="F136" s="653"/>
      <c r="G136" s="671"/>
      <c r="H136" s="671"/>
      <c r="I136" s="671"/>
      <c r="J136" s="653"/>
      <c r="K136" s="658"/>
      <c r="L136" s="658"/>
      <c r="M136" s="658"/>
      <c r="N136" s="653"/>
      <c r="O136" s="671"/>
      <c r="P136" s="671"/>
      <c r="Q136" s="671"/>
      <c r="R136" s="653"/>
      <c r="S136" s="564"/>
      <c r="T136" s="564"/>
      <c r="U136" s="564"/>
      <c r="V136" s="590"/>
      <c r="W136" s="564"/>
      <c r="X136" s="671"/>
      <c r="Y136" s="564"/>
      <c r="Z136" s="590"/>
      <c r="AA136" s="606"/>
      <c r="AB136" s="606"/>
      <c r="AC136" s="606"/>
      <c r="AD136" s="606"/>
      <c r="AE136" s="564"/>
      <c r="AF136" s="564"/>
      <c r="AG136" s="564"/>
      <c r="AH136" s="590"/>
      <c r="AI136" s="589">
        <f>+AI135</f>
        <v>246289.52651515632</v>
      </c>
      <c r="AJ136" s="564">
        <f>+AJ135</f>
        <v>246289.52651515152</v>
      </c>
      <c r="AK136" s="564">
        <f t="shared" si="181"/>
        <v>4.8021320253610611E-9</v>
      </c>
      <c r="AL136" s="590">
        <f>+AI$29*AK136+AJ136</f>
        <v>246289.5265151521</v>
      </c>
      <c r="AM136" s="589">
        <f>+AM135</f>
        <v>55433.457840909541</v>
      </c>
      <c r="AN136" s="564">
        <f>+AN135</f>
        <v>55433.45784090909</v>
      </c>
      <c r="AO136" s="564">
        <f t="shared" si="182"/>
        <v>4.5110937207937241E-10</v>
      </c>
      <c r="AP136" s="590">
        <f>+AM$29*AO136+AN136</f>
        <v>55433.457840909148</v>
      </c>
      <c r="AQ136" s="589">
        <f>+AQ135</f>
        <v>678699.17795454629</v>
      </c>
      <c r="AR136" s="564">
        <f>+AR135</f>
        <v>678699.17795454536</v>
      </c>
      <c r="AS136" s="564">
        <f t="shared" si="183"/>
        <v>9.3132257461547852E-10</v>
      </c>
      <c r="AT136" s="590">
        <f>+AQ$29*AS136+AR136</f>
        <v>678699.17795454548</v>
      </c>
      <c r="AU136" s="671"/>
      <c r="AV136" s="671"/>
      <c r="AW136" s="671"/>
      <c r="AX136" s="653"/>
      <c r="AY136" s="671"/>
      <c r="AZ136" s="671"/>
      <c r="BA136" s="671"/>
      <c r="BB136" s="653"/>
      <c r="BC136" s="671"/>
      <c r="BD136" s="671"/>
      <c r="BE136" s="671"/>
      <c r="BF136" s="653"/>
      <c r="BG136" s="671"/>
      <c r="BH136" s="671"/>
      <c r="BI136" s="671"/>
      <c r="BJ136" s="653"/>
      <c r="BK136" s="671"/>
      <c r="BL136" s="671"/>
      <c r="BM136" s="671"/>
      <c r="BN136" s="653"/>
      <c r="BO136" s="671"/>
      <c r="BP136" s="671"/>
      <c r="BQ136" s="671"/>
      <c r="BR136" s="653"/>
      <c r="BS136" s="589">
        <f>+BS135</f>
        <v>8310.8863636366113</v>
      </c>
      <c r="BT136" s="564">
        <f>+BT135</f>
        <v>8310.886363636364</v>
      </c>
      <c r="BU136" s="564">
        <f t="shared" si="184"/>
        <v>2.4738255888223648E-10</v>
      </c>
      <c r="BV136" s="590">
        <f>+BS$29*BU136+BT136</f>
        <v>8310.8863636363931</v>
      </c>
      <c r="BW136" s="589">
        <f>+BW135</f>
        <v>721051.53409092384</v>
      </c>
      <c r="BX136" s="564">
        <f>+BX135</f>
        <v>576841.22727272729</v>
      </c>
      <c r="BY136" s="564">
        <f t="shared" si="185"/>
        <v>144210.30681819655</v>
      </c>
      <c r="BZ136" s="590">
        <f>+BW$29*BY136+BX136</f>
        <v>593436.15852781315</v>
      </c>
      <c r="CA136" s="589">
        <f>+CA135</f>
        <v>68042.400000001449</v>
      </c>
      <c r="CB136" s="564">
        <f>+CB135</f>
        <v>54433.919999999998</v>
      </c>
      <c r="CC136" s="564">
        <f t="shared" si="186"/>
        <v>13608.480000001451</v>
      </c>
      <c r="CD136" s="590">
        <f>+CA$29*CC136+CB136</f>
        <v>56082.963237368698</v>
      </c>
      <c r="CE136" s="589">
        <f>+CE135</f>
        <v>5906.2863636365728</v>
      </c>
      <c r="CF136" s="564">
        <f>+CF135</f>
        <v>4725.0290909090909</v>
      </c>
      <c r="CG136" s="564">
        <f t="shared" si="187"/>
        <v>1181.2572727274819</v>
      </c>
      <c r="CH136" s="590">
        <f>+CE$29*CG136+CF136</f>
        <v>4868.1710374882559</v>
      </c>
      <c r="CI136" s="589">
        <f>+CI135</f>
        <v>27816.136363636062</v>
      </c>
      <c r="CJ136" s="564">
        <f>+CJ135</f>
        <v>12362.727272727272</v>
      </c>
      <c r="CK136" s="564">
        <f t="shared" si="188"/>
        <v>15453.40909090879</v>
      </c>
      <c r="CL136" s="590">
        <f>+CI$29*CK136+CJ136</f>
        <v>14141.020843960363</v>
      </c>
      <c r="CM136" s="589">
        <f>+CM135</f>
        <v>3264918.6298295585</v>
      </c>
      <c r="CN136" s="564">
        <f>+CN135</f>
        <v>483691.64886363636</v>
      </c>
      <c r="CO136" s="564">
        <f t="shared" si="189"/>
        <v>2781226.9809659221</v>
      </c>
      <c r="CP136" s="590">
        <f>+CM$29*CO136+CN136</f>
        <v>803739.99750285957</v>
      </c>
      <c r="CQ136" s="589">
        <f>+CQ135</f>
        <v>13619717.759147733</v>
      </c>
      <c r="CR136" s="564">
        <f>+CR135</f>
        <v>2017735.9643181816</v>
      </c>
      <c r="CS136" s="564">
        <f t="shared" si="190"/>
        <v>11601981.794829551</v>
      </c>
      <c r="CT136" s="590">
        <f>+CQ$29*CS136+CR136</f>
        <v>3352828.4036587253</v>
      </c>
      <c r="CU136" s="589">
        <f>+CU135</f>
        <v>4733367.6075000167</v>
      </c>
      <c r="CV136" s="564">
        <f>+CV135</f>
        <v>676195.37250000006</v>
      </c>
      <c r="CW136" s="564">
        <f t="shared" si="191"/>
        <v>4057172.2350000166</v>
      </c>
      <c r="CX136" s="590">
        <f>+CU$29*CW136+CV136</f>
        <v>1143072.5036522711</v>
      </c>
      <c r="CY136" s="589">
        <f>+CY135</f>
        <v>5502.9289772727207</v>
      </c>
      <c r="CZ136" s="564">
        <f>+CZ135</f>
        <v>733.72386363636497</v>
      </c>
      <c r="DA136" s="564">
        <f t="shared" si="155"/>
        <v>4769.2051136363552</v>
      </c>
      <c r="DB136" s="590">
        <f>+CY$29*DA136+CZ136</f>
        <v>1282.5378336529161</v>
      </c>
      <c r="DC136" s="589">
        <f>+DC135</f>
        <v>322847.37727272918</v>
      </c>
      <c r="DD136" s="564">
        <f>+DD135</f>
        <v>44530.672727272722</v>
      </c>
      <c r="DE136" s="564">
        <f t="shared" si="156"/>
        <v>278316.70454545645</v>
      </c>
      <c r="DF136" s="590">
        <f>+DC$29*DE136+DD136</f>
        <v>76557.832789393287</v>
      </c>
      <c r="DG136" s="589">
        <f>+DG135</f>
        <v>184796.05738636281</v>
      </c>
      <c r="DH136" s="564">
        <f>+DH135</f>
        <v>24639.474318181816</v>
      </c>
      <c r="DI136" s="564">
        <f t="shared" si="157"/>
        <v>160156.583068181</v>
      </c>
      <c r="DJ136" s="590">
        <f>+DG$29*DI136+DH136</f>
        <v>43069.41559426926</v>
      </c>
      <c r="DK136" s="589">
        <f>+DK135</f>
        <v>3939221.463522736</v>
      </c>
      <c r="DL136" s="564">
        <f>+DL135</f>
        <v>549658.80886363634</v>
      </c>
      <c r="DM136" s="564">
        <f t="shared" si="158"/>
        <v>3389562.6546590999</v>
      </c>
      <c r="DN136" s="590">
        <f>+DK$29*DM136+DL136</f>
        <v>939711.09070079378</v>
      </c>
      <c r="DO136" s="589">
        <f>+DO135</f>
        <v>160007.08155303006</v>
      </c>
      <c r="DP136" s="564">
        <f>+DP135</f>
        <v>19592.703863636354</v>
      </c>
      <c r="DQ136" s="564">
        <f t="shared" si="134"/>
        <v>140414.3776893937</v>
      </c>
      <c r="DR136" s="590">
        <f>+DO$29*DQ136+DP136</f>
        <v>35750.820411566274</v>
      </c>
      <c r="DS136" s="589">
        <f>+DS135</f>
        <v>70513.898181818135</v>
      </c>
      <c r="DT136" s="564">
        <f>+DT135</f>
        <v>8295.7527272726966</v>
      </c>
      <c r="DU136" s="564">
        <f t="shared" si="159"/>
        <v>62218.14545454544</v>
      </c>
      <c r="DV136" s="590">
        <f>+DS$29*DU136+DT136</f>
        <v>15455.475700047296</v>
      </c>
      <c r="DW136" s="589">
        <f>+DW135</f>
        <v>10079.548124999954</v>
      </c>
      <c r="DX136" s="564">
        <f>+DX135</f>
        <v>1221.7634090909089</v>
      </c>
      <c r="DY136" s="564">
        <f t="shared" si="160"/>
        <v>8857.7847159090452</v>
      </c>
      <c r="DZ136" s="590">
        <f>+DW$29*DY136+DX136</f>
        <v>2241.0686978465469</v>
      </c>
      <c r="EA136" s="589">
        <f>+EA135</f>
        <v>-63489.355852273235</v>
      </c>
      <c r="EB136" s="564">
        <f>+EB135</f>
        <v>-7120.3015909091364</v>
      </c>
      <c r="EC136" s="564">
        <f t="shared" si="161"/>
        <v>-56369.054261364101</v>
      </c>
      <c r="ED136" s="590">
        <f>+EA$29*EC136+EB136</f>
        <v>-13606.943225760082</v>
      </c>
      <c r="EE136" s="589">
        <f>+EE135</f>
        <v>2001132.7272727219</v>
      </c>
      <c r="EF136" s="564">
        <f>+EF135</f>
        <v>192108.74181818182</v>
      </c>
      <c r="EG136" s="564">
        <f t="shared" si="162"/>
        <v>1809023.9854545402</v>
      </c>
      <c r="EH136" s="590">
        <f>+EE$29*EG136+EF136</f>
        <v>400281.30132369662</v>
      </c>
      <c r="EI136" s="589">
        <f>+EI135</f>
        <v>83090.625189393701</v>
      </c>
      <c r="EJ136" s="564">
        <f>+EJ135</f>
        <v>7669.903863636363</v>
      </c>
      <c r="EK136" s="564">
        <f t="shared" si="163"/>
        <v>75420.721325757331</v>
      </c>
      <c r="EL136" s="590">
        <f>+EI$29*EK136+EJ136</f>
        <v>16348.906864356726</v>
      </c>
      <c r="EM136" s="589">
        <f>+EM135</f>
        <v>2866682.9750000071</v>
      </c>
      <c r="EN136" s="564">
        <f>+EN135</f>
        <v>260607.54318181818</v>
      </c>
      <c r="EO136" s="564">
        <f t="shared" si="164"/>
        <v>2606075.4318181891</v>
      </c>
      <c r="EP136" s="590">
        <f>+EM$29*EO136+EN136</f>
        <v>560500.4120813529</v>
      </c>
      <c r="EQ136" s="678">
        <f t="shared" si="165"/>
        <v>9034494.1859059446</v>
      </c>
      <c r="ER136" s="675">
        <f>+EQ136</f>
        <v>9034494.1859059446</v>
      </c>
      <c r="ES136" s="648"/>
      <c r="EV136" s="589"/>
      <c r="EW136" s="564"/>
      <c r="EX136" s="564"/>
      <c r="EY136" s="590"/>
      <c r="EZ136" s="589"/>
      <c r="FA136" s="564"/>
      <c r="FB136" s="564"/>
      <c r="FC136" s="590"/>
      <c r="FD136" s="589"/>
      <c r="FE136" s="564"/>
      <c r="FF136" s="564"/>
      <c r="FG136" s="590"/>
      <c r="FH136" s="589"/>
      <c r="FI136" s="564"/>
      <c r="FJ136" s="564"/>
      <c r="FK136" s="590"/>
      <c r="FL136" s="589"/>
      <c r="FM136" s="564"/>
      <c r="FN136" s="564"/>
      <c r="FO136" s="590"/>
      <c r="FP136" s="589"/>
      <c r="FQ136" s="564"/>
      <c r="FR136" s="564"/>
      <c r="FS136" s="590"/>
      <c r="FT136" s="589"/>
      <c r="FU136" s="564"/>
      <c r="FV136" s="564"/>
      <c r="FW136" s="590"/>
      <c r="FX136" s="589"/>
      <c r="FY136" s="564"/>
      <c r="FZ136" s="564"/>
      <c r="GA136" s="590"/>
      <c r="GB136" s="589"/>
      <c r="GC136" s="564"/>
      <c r="GD136" s="564"/>
      <c r="GE136" s="590"/>
      <c r="GF136" s="589"/>
      <c r="GG136" s="564"/>
      <c r="GH136" s="564"/>
      <c r="GI136" s="590"/>
      <c r="GJ136" s="589"/>
      <c r="GK136" s="564"/>
      <c r="GL136" s="564"/>
      <c r="GM136" s="590"/>
      <c r="GN136" s="589"/>
      <c r="GO136" s="564"/>
      <c r="GP136" s="564"/>
      <c r="GQ136" s="590"/>
      <c r="GR136" s="589"/>
      <c r="GS136" s="564"/>
      <c r="GT136" s="564"/>
      <c r="GU136" s="590"/>
      <c r="GV136" s="672"/>
      <c r="GW136" s="676"/>
      <c r="GX136" s="676"/>
      <c r="GY136" s="1366"/>
      <c r="GZ136" s="1367"/>
      <c r="HA136" s="1373"/>
      <c r="HB136" s="1373"/>
      <c r="HC136" s="1366"/>
      <c r="HD136" s="1367"/>
      <c r="HE136" s="1373"/>
      <c r="HF136" s="1373"/>
      <c r="HG136" s="1366"/>
      <c r="HI136" s="589"/>
      <c r="HJ136" s="564"/>
      <c r="HK136" s="564"/>
      <c r="HL136" s="590"/>
      <c r="HM136" s="589"/>
      <c r="HN136" s="564"/>
      <c r="HO136" s="564"/>
      <c r="HP136" s="590"/>
      <c r="HQ136" s="589"/>
      <c r="HR136" s="564"/>
      <c r="HS136" s="564"/>
      <c r="HT136" s="590"/>
    </row>
    <row r="137" spans="1:228">
      <c r="A137" s="649" t="s">
        <v>24</v>
      </c>
      <c r="B137" s="670">
        <v>2055</v>
      </c>
      <c r="C137" s="671"/>
      <c r="D137" s="671"/>
      <c r="E137" s="671"/>
      <c r="F137" s="653"/>
      <c r="G137" s="671"/>
      <c r="H137" s="671"/>
      <c r="I137" s="671"/>
      <c r="J137" s="653"/>
      <c r="K137" s="658"/>
      <c r="L137" s="658"/>
      <c r="M137" s="658"/>
      <c r="N137" s="653"/>
      <c r="O137" s="671"/>
      <c r="P137" s="671"/>
      <c r="Q137" s="671"/>
      <c r="R137" s="653"/>
      <c r="S137" s="564"/>
      <c r="T137" s="564"/>
      <c r="U137" s="564"/>
      <c r="V137" s="590"/>
      <c r="W137" s="564"/>
      <c r="X137" s="564"/>
      <c r="Y137" s="564"/>
      <c r="Z137" s="590"/>
      <c r="AA137" s="606"/>
      <c r="AB137" s="606"/>
      <c r="AC137" s="606"/>
      <c r="AD137" s="606"/>
      <c r="AE137" s="564"/>
      <c r="AF137" s="564"/>
      <c r="AG137" s="564"/>
      <c r="AH137" s="590"/>
      <c r="AI137" s="564"/>
      <c r="AJ137" s="564"/>
      <c r="AK137" s="564"/>
      <c r="AL137" s="590"/>
      <c r="AM137" s="606"/>
      <c r="AN137" s="606"/>
      <c r="AO137" s="606"/>
      <c r="AP137" s="606"/>
      <c r="AQ137" s="564"/>
      <c r="AR137" s="564"/>
      <c r="AS137" s="564"/>
      <c r="AT137" s="590"/>
      <c r="AU137" s="671"/>
      <c r="AV137" s="671"/>
      <c r="AW137" s="671"/>
      <c r="AX137" s="653"/>
      <c r="AY137" s="671"/>
      <c r="AZ137" s="671"/>
      <c r="BA137" s="671"/>
      <c r="BB137" s="653"/>
      <c r="BC137" s="671"/>
      <c r="BD137" s="671"/>
      <c r="BE137" s="671"/>
      <c r="BF137" s="653"/>
      <c r="BG137" s="671"/>
      <c r="BH137" s="671"/>
      <c r="BI137" s="671"/>
      <c r="BJ137" s="653"/>
      <c r="BK137" s="671"/>
      <c r="BL137" s="671"/>
      <c r="BM137" s="671"/>
      <c r="BN137" s="653"/>
      <c r="BO137" s="671"/>
      <c r="BP137" s="671"/>
      <c r="BQ137" s="671"/>
      <c r="BR137" s="653"/>
      <c r="BS137" s="564"/>
      <c r="BT137" s="564"/>
      <c r="BU137" s="564"/>
      <c r="BV137" s="590"/>
      <c r="BW137" s="589">
        <f>+BY136</f>
        <v>144210.30681819655</v>
      </c>
      <c r="BX137" s="564">
        <f>+BW$31/12*3</f>
        <v>144210.30681818182</v>
      </c>
      <c r="BY137" s="564">
        <f t="shared" ref="BY137:BY138" si="192">+BW137-BX137</f>
        <v>1.4726538211107254E-8</v>
      </c>
      <c r="BZ137" s="590">
        <f>+BW$28*BY137+BX137</f>
        <v>144210.30681818351</v>
      </c>
      <c r="CA137" s="589">
        <f>+CC136</f>
        <v>13608.480000001451</v>
      </c>
      <c r="CB137" s="564">
        <f>+CA$31/12*3</f>
        <v>13608.48</v>
      </c>
      <c r="CC137" s="564">
        <f t="shared" ref="CC137:CC138" si="193">+CA137-CB137</f>
        <v>1.4515535440295935E-9</v>
      </c>
      <c r="CD137" s="590">
        <f>+CA$28*CC137+CB137</f>
        <v>13608.480000000167</v>
      </c>
      <c r="CE137" s="589">
        <f>+CG136</f>
        <v>1181.2572727274819</v>
      </c>
      <c r="CF137" s="564">
        <f>+CE$31/12*3</f>
        <v>1181.2572727272727</v>
      </c>
      <c r="CG137" s="564">
        <f t="shared" ref="CG137:CG138" si="194">+CE137-CF137</f>
        <v>2.0918378140777349E-10</v>
      </c>
      <c r="CH137" s="590">
        <f>+CE$28*CG137+CF137</f>
        <v>1181.2572727272968</v>
      </c>
      <c r="CI137" s="589">
        <f>+CK136</f>
        <v>15453.40909090879</v>
      </c>
      <c r="CJ137" s="564">
        <f>+CI$31</f>
        <v>12362.727272727272</v>
      </c>
      <c r="CK137" s="564">
        <f t="shared" ref="CK137:CK138" si="195">+CI137-CJ137</f>
        <v>3090.6818181815179</v>
      </c>
      <c r="CL137" s="590">
        <f>+CI$28*CK137+CJ137</f>
        <v>12718.385986973863</v>
      </c>
      <c r="CM137" s="589">
        <f>+CO136</f>
        <v>2781226.9809659221</v>
      </c>
      <c r="CN137" s="564">
        <f>+CM$31</f>
        <v>483691.64886363636</v>
      </c>
      <c r="CO137" s="564">
        <f t="shared" ref="CO137:CO138" si="196">+CM137-CN137</f>
        <v>2297535.3321022857</v>
      </c>
      <c r="CP137" s="590">
        <f>+CM$28*CO137+CN137</f>
        <v>748079.41513082106</v>
      </c>
      <c r="CQ137" s="589">
        <f>+CS136</f>
        <v>11601981.794829551</v>
      </c>
      <c r="CR137" s="564">
        <f>+CQ$31</f>
        <v>2017735.9643181816</v>
      </c>
      <c r="CS137" s="564">
        <f t="shared" ref="CS137:CS138" si="197">+CQ137-CR137</f>
        <v>9584245.8305113688</v>
      </c>
      <c r="CT137" s="590">
        <f>+CQ$28*CS137+CR137</f>
        <v>3120638.4142081961</v>
      </c>
      <c r="CU137" s="589">
        <f>+CW136</f>
        <v>4057172.2350000166</v>
      </c>
      <c r="CV137" s="564">
        <f>+CU$31</f>
        <v>676195.37250000006</v>
      </c>
      <c r="CW137" s="564">
        <f t="shared" ref="CW137:CW138" si="198">+CU137-CV137</f>
        <v>3380976.8625000166</v>
      </c>
      <c r="CX137" s="590">
        <f>+CU$28*CW137+CV137</f>
        <v>1065259.6484602261</v>
      </c>
      <c r="CY137" s="589">
        <f>+DA136</f>
        <v>4769.2051136363552</v>
      </c>
      <c r="CZ137" s="564">
        <f>+CY$31</f>
        <v>733.72386363636497</v>
      </c>
      <c r="DA137" s="564">
        <f t="shared" si="155"/>
        <v>4035.4812499999903</v>
      </c>
      <c r="DB137" s="590">
        <f>+CY$28*DA137+CZ137</f>
        <v>1198.104915188831</v>
      </c>
      <c r="DC137" s="589">
        <f>+DE136</f>
        <v>278316.70454545645</v>
      </c>
      <c r="DD137" s="564">
        <f>+DC$31</f>
        <v>44530.672727272722</v>
      </c>
      <c r="DE137" s="564">
        <f t="shared" si="156"/>
        <v>233786.03181818372</v>
      </c>
      <c r="DF137" s="590">
        <f>+DC$28*DE137+DD137</f>
        <v>71433.487179454023</v>
      </c>
      <c r="DG137" s="589">
        <f>+DI136</f>
        <v>160156.583068181</v>
      </c>
      <c r="DH137" s="564">
        <f>+DG$31</f>
        <v>24639.474318181816</v>
      </c>
      <c r="DI137" s="564">
        <f t="shared" si="157"/>
        <v>135517.1087499992</v>
      </c>
      <c r="DJ137" s="590">
        <f>+DG$28*DI137+DH137</f>
        <v>40234.040013332713</v>
      </c>
      <c r="DK137" s="589">
        <f>+DM136</f>
        <v>3389562.6546590999</v>
      </c>
      <c r="DL137" s="564">
        <f>+DK$31</f>
        <v>549658.80886363634</v>
      </c>
      <c r="DM137" s="564">
        <f t="shared" si="158"/>
        <v>2839903.8457954638</v>
      </c>
      <c r="DN137" s="590">
        <f>+DK$28*DM137+DL137</f>
        <v>876459.36932179541</v>
      </c>
      <c r="DO137" s="589">
        <f>+DQ136</f>
        <v>140414.3776893937</v>
      </c>
      <c r="DP137" s="564">
        <f>+DO$31</f>
        <v>19592.703863636354</v>
      </c>
      <c r="DQ137" s="564">
        <f t="shared" si="134"/>
        <v>120821.67382575735</v>
      </c>
      <c r="DR137" s="590">
        <f>+DO$28*DQ137+DP137</f>
        <v>33496.199497901631</v>
      </c>
      <c r="DS137" s="589">
        <f>+DU136</f>
        <v>62218.14545454544</v>
      </c>
      <c r="DT137" s="564">
        <f>+DS$31</f>
        <v>8295.7527272726966</v>
      </c>
      <c r="DU137" s="564">
        <f t="shared" si="159"/>
        <v>53922.392727272745</v>
      </c>
      <c r="DV137" s="590">
        <f>+DS$28*DU137+DT137</f>
        <v>14500.84597034402</v>
      </c>
      <c r="DW137" s="589">
        <f>+DY136</f>
        <v>8857.7847159090452</v>
      </c>
      <c r="DX137" s="564">
        <f>+DW$31</f>
        <v>1221.7634090909089</v>
      </c>
      <c r="DY137" s="564">
        <f t="shared" si="160"/>
        <v>7636.0213068181365</v>
      </c>
      <c r="DZ137" s="590">
        <f>+DW$28*DY137+DX137</f>
        <v>2100.4748649147341</v>
      </c>
      <c r="EA137" s="589">
        <f>+EC136</f>
        <v>-56369.054261364101</v>
      </c>
      <c r="EB137" s="564">
        <f>+EA$31</f>
        <v>-7120.3015909091364</v>
      </c>
      <c r="EC137" s="564">
        <f t="shared" si="161"/>
        <v>-49248.752670454967</v>
      </c>
      <c r="ED137" s="590">
        <f>+EA$28*EC137+EB137</f>
        <v>-12787.577966621016</v>
      </c>
      <c r="EE137" s="589">
        <f>+EG136</f>
        <v>1809023.9854545402</v>
      </c>
      <c r="EF137" s="564">
        <f>+EE$31</f>
        <v>192108.74181818182</v>
      </c>
      <c r="EG137" s="564">
        <f t="shared" si="162"/>
        <v>1616915.2436363585</v>
      </c>
      <c r="EH137" s="590">
        <f>+EE$28*EG137+EF137</f>
        <v>378174.48084523482</v>
      </c>
      <c r="EI137" s="589">
        <f>+EK136</f>
        <v>75420.721325757331</v>
      </c>
      <c r="EJ137" s="564">
        <f>+EI$31</f>
        <v>7669.903863636363</v>
      </c>
      <c r="EK137" s="564">
        <f t="shared" si="163"/>
        <v>67750.817462120962</v>
      </c>
      <c r="EL137" s="590">
        <f>+EI$28*EK137+EJ137</f>
        <v>15466.296389707195</v>
      </c>
      <c r="EM137" s="589">
        <f>+EO136</f>
        <v>2606075.4318181891</v>
      </c>
      <c r="EN137" s="564">
        <f>+EM$31</f>
        <v>260607.54318181818</v>
      </c>
      <c r="EO137" s="564">
        <f t="shared" si="164"/>
        <v>2345467.8886363711</v>
      </c>
      <c r="EP137" s="590">
        <f>+EM$28*EO137+EN137</f>
        <v>530511.12519139948</v>
      </c>
      <c r="EQ137" s="678">
        <f t="shared" si="165"/>
        <v>7056482.7540997816</v>
      </c>
      <c r="ER137" s="652"/>
      <c r="ES137" s="674">
        <f>+EQ137</f>
        <v>7056482.7540997816</v>
      </c>
      <c r="EV137" s="589"/>
      <c r="EW137" s="564"/>
      <c r="EX137" s="564"/>
      <c r="EY137" s="590"/>
      <c r="EZ137" s="589"/>
      <c r="FA137" s="564"/>
      <c r="FB137" s="564"/>
      <c r="FC137" s="590"/>
      <c r="FD137" s="589"/>
      <c r="FE137" s="564"/>
      <c r="FF137" s="564"/>
      <c r="FG137" s="590"/>
      <c r="FH137" s="589"/>
      <c r="FI137" s="564"/>
      <c r="FJ137" s="564"/>
      <c r="FK137" s="590"/>
      <c r="FL137" s="589"/>
      <c r="FM137" s="564"/>
      <c r="FN137" s="564"/>
      <c r="FO137" s="590"/>
      <c r="FP137" s="589"/>
      <c r="FQ137" s="564"/>
      <c r="FR137" s="564"/>
      <c r="FS137" s="590"/>
      <c r="FT137" s="589"/>
      <c r="FU137" s="564"/>
      <c r="FV137" s="564"/>
      <c r="FW137" s="590"/>
      <c r="FX137" s="589"/>
      <c r="FY137" s="564"/>
      <c r="FZ137" s="564"/>
      <c r="GA137" s="590"/>
      <c r="GB137" s="589"/>
      <c r="GC137" s="564"/>
      <c r="GD137" s="564"/>
      <c r="GE137" s="590"/>
      <c r="GF137" s="589"/>
      <c r="GG137" s="564"/>
      <c r="GH137" s="564"/>
      <c r="GI137" s="590"/>
      <c r="GJ137" s="589"/>
      <c r="GK137" s="564"/>
      <c r="GL137" s="564"/>
      <c r="GM137" s="590"/>
      <c r="GN137" s="589"/>
      <c r="GO137" s="564"/>
      <c r="GP137" s="564"/>
      <c r="GQ137" s="590"/>
      <c r="GR137" s="589"/>
      <c r="GS137" s="564"/>
      <c r="GT137" s="564"/>
      <c r="GU137" s="590"/>
      <c r="GV137" s="672"/>
      <c r="GW137" s="676"/>
      <c r="GX137" s="676"/>
      <c r="GY137" s="1366"/>
      <c r="GZ137" s="1367"/>
      <c r="HA137" s="1373"/>
      <c r="HB137" s="1373"/>
      <c r="HC137" s="1366"/>
      <c r="HD137" s="1367"/>
      <c r="HE137" s="1373"/>
      <c r="HF137" s="1373"/>
      <c r="HG137" s="1366"/>
      <c r="HI137" s="589"/>
      <c r="HJ137" s="564"/>
      <c r="HK137" s="564"/>
      <c r="HL137" s="590"/>
      <c r="HM137" s="589"/>
      <c r="HN137" s="564"/>
      <c r="HO137" s="564"/>
      <c r="HP137" s="590"/>
      <c r="HQ137" s="589"/>
      <c r="HR137" s="564"/>
      <c r="HS137" s="564"/>
      <c r="HT137" s="590"/>
    </row>
    <row r="138" spans="1:228">
      <c r="A138" s="649" t="s">
        <v>23</v>
      </c>
      <c r="B138" s="670">
        <v>2055</v>
      </c>
      <c r="C138" s="671"/>
      <c r="D138" s="671"/>
      <c r="E138" s="671"/>
      <c r="F138" s="653"/>
      <c r="G138" s="671"/>
      <c r="H138" s="671"/>
      <c r="I138" s="671"/>
      <c r="J138" s="653"/>
      <c r="K138" s="658"/>
      <c r="L138" s="658"/>
      <c r="M138" s="658"/>
      <c r="N138" s="653"/>
      <c r="O138" s="671"/>
      <c r="P138" s="671"/>
      <c r="Q138" s="671"/>
      <c r="R138" s="653"/>
      <c r="S138" s="564"/>
      <c r="T138" s="564"/>
      <c r="U138" s="564"/>
      <c r="V138" s="590"/>
      <c r="W138" s="564"/>
      <c r="X138" s="564"/>
      <c r="Y138" s="564"/>
      <c r="Z138" s="590"/>
      <c r="AA138" s="606"/>
      <c r="AB138" s="606"/>
      <c r="AC138" s="606"/>
      <c r="AD138" s="606"/>
      <c r="AE138" s="564"/>
      <c r="AF138" s="564"/>
      <c r="AG138" s="564"/>
      <c r="AH138" s="590"/>
      <c r="AI138" s="564"/>
      <c r="AJ138" s="564"/>
      <c r="AK138" s="564"/>
      <c r="AL138" s="590"/>
      <c r="AM138" s="606"/>
      <c r="AN138" s="606"/>
      <c r="AO138" s="606"/>
      <c r="AP138" s="606"/>
      <c r="AQ138" s="564"/>
      <c r="AR138" s="564"/>
      <c r="AS138" s="564"/>
      <c r="AT138" s="590"/>
      <c r="AU138" s="671"/>
      <c r="AV138" s="671"/>
      <c r="AW138" s="671"/>
      <c r="AX138" s="653"/>
      <c r="AY138" s="671"/>
      <c r="AZ138" s="671"/>
      <c r="BA138" s="671"/>
      <c r="BB138" s="653"/>
      <c r="BC138" s="671"/>
      <c r="BD138" s="671"/>
      <c r="BE138" s="671"/>
      <c r="BF138" s="653"/>
      <c r="BG138" s="671"/>
      <c r="BH138" s="671"/>
      <c r="BI138" s="671"/>
      <c r="BJ138" s="653"/>
      <c r="BK138" s="671"/>
      <c r="BL138" s="671"/>
      <c r="BM138" s="671"/>
      <c r="BN138" s="653"/>
      <c r="BO138" s="671"/>
      <c r="BP138" s="671"/>
      <c r="BQ138" s="671"/>
      <c r="BR138" s="653"/>
      <c r="BS138" s="564"/>
      <c r="BT138" s="564"/>
      <c r="BU138" s="564"/>
      <c r="BV138" s="590"/>
      <c r="BW138" s="589">
        <f>+BW137</f>
        <v>144210.30681819655</v>
      </c>
      <c r="BX138" s="564">
        <f>+BX137</f>
        <v>144210.30681818182</v>
      </c>
      <c r="BY138" s="564">
        <f t="shared" si="192"/>
        <v>1.4726538211107254E-8</v>
      </c>
      <c r="BZ138" s="590">
        <f>+BW$29*BY138+BX138</f>
        <v>144210.30681818351</v>
      </c>
      <c r="CA138" s="589">
        <f>+CA137</f>
        <v>13608.480000001451</v>
      </c>
      <c r="CB138" s="564">
        <f>+CB137</f>
        <v>13608.48</v>
      </c>
      <c r="CC138" s="564">
        <f t="shared" si="193"/>
        <v>1.4515535440295935E-9</v>
      </c>
      <c r="CD138" s="590">
        <f>+CA$29*CC138+CB138</f>
        <v>13608.480000000176</v>
      </c>
      <c r="CE138" s="589">
        <f>+CE137</f>
        <v>1181.2572727274819</v>
      </c>
      <c r="CF138" s="564">
        <f>+CF137</f>
        <v>1181.2572727272727</v>
      </c>
      <c r="CG138" s="564">
        <f t="shared" si="194"/>
        <v>2.0918378140777349E-10</v>
      </c>
      <c r="CH138" s="590">
        <f>+CE$29*CG138+CF138</f>
        <v>1181.257272727298</v>
      </c>
      <c r="CI138" s="589">
        <f>+CI137</f>
        <v>15453.40909090879</v>
      </c>
      <c r="CJ138" s="564">
        <f>+CJ137</f>
        <v>12362.727272727272</v>
      </c>
      <c r="CK138" s="564">
        <f t="shared" si="195"/>
        <v>3090.6818181815179</v>
      </c>
      <c r="CL138" s="590">
        <f>+CI$29*CK138+CJ138</f>
        <v>12718.385986973863</v>
      </c>
      <c r="CM138" s="589">
        <f>+CM137</f>
        <v>2781226.9809659221</v>
      </c>
      <c r="CN138" s="564">
        <f>+CN137</f>
        <v>483691.64886363636</v>
      </c>
      <c r="CO138" s="564">
        <f t="shared" si="196"/>
        <v>2297535.3321022857</v>
      </c>
      <c r="CP138" s="590">
        <f>+CM$29*CO138+CN138</f>
        <v>748079.41513082106</v>
      </c>
      <c r="CQ138" s="589">
        <f>+CQ137</f>
        <v>11601981.794829551</v>
      </c>
      <c r="CR138" s="564">
        <f>+CR137</f>
        <v>2017735.9643181816</v>
      </c>
      <c r="CS138" s="564">
        <f t="shared" si="197"/>
        <v>9584245.8305113688</v>
      </c>
      <c r="CT138" s="590">
        <f>+CQ$29*CS138+CR138</f>
        <v>3120638.4142081961</v>
      </c>
      <c r="CU138" s="589">
        <f>+CU137</f>
        <v>4057172.2350000166</v>
      </c>
      <c r="CV138" s="564">
        <f>+CV137</f>
        <v>676195.37250000006</v>
      </c>
      <c r="CW138" s="564">
        <f t="shared" si="198"/>
        <v>3380976.8625000166</v>
      </c>
      <c r="CX138" s="590">
        <f>+CU$29*CW138+CV138</f>
        <v>1065259.6484602261</v>
      </c>
      <c r="CY138" s="589">
        <f>+CY137</f>
        <v>4769.2051136363552</v>
      </c>
      <c r="CZ138" s="564">
        <f>+CZ137</f>
        <v>733.72386363636497</v>
      </c>
      <c r="DA138" s="564">
        <f t="shared" si="155"/>
        <v>4035.4812499999903</v>
      </c>
      <c r="DB138" s="590">
        <f>+CY$29*DA138+CZ138</f>
        <v>1198.104915188831</v>
      </c>
      <c r="DC138" s="589">
        <f>+DC137</f>
        <v>278316.70454545645</v>
      </c>
      <c r="DD138" s="564">
        <f>+DD137</f>
        <v>44530.672727272722</v>
      </c>
      <c r="DE138" s="564">
        <f t="shared" si="156"/>
        <v>233786.03181818372</v>
      </c>
      <c r="DF138" s="590">
        <f>+DC$29*DE138+DD138</f>
        <v>71433.487179454023</v>
      </c>
      <c r="DG138" s="589">
        <f>+DG137</f>
        <v>160156.583068181</v>
      </c>
      <c r="DH138" s="564">
        <f>+DH137</f>
        <v>24639.474318181816</v>
      </c>
      <c r="DI138" s="564">
        <f t="shared" si="157"/>
        <v>135517.1087499992</v>
      </c>
      <c r="DJ138" s="590">
        <f>+DG$29*DI138+DH138</f>
        <v>40234.040013332713</v>
      </c>
      <c r="DK138" s="589">
        <f>+DK137</f>
        <v>3389562.6546590999</v>
      </c>
      <c r="DL138" s="564">
        <f>+DL137</f>
        <v>549658.80886363634</v>
      </c>
      <c r="DM138" s="564">
        <f t="shared" si="158"/>
        <v>2839903.8457954638</v>
      </c>
      <c r="DN138" s="590">
        <f>+DK$29*DM138+DL138</f>
        <v>876459.36932179541</v>
      </c>
      <c r="DO138" s="589">
        <f>+DO137</f>
        <v>140414.3776893937</v>
      </c>
      <c r="DP138" s="564">
        <f>+DP137</f>
        <v>19592.703863636354</v>
      </c>
      <c r="DQ138" s="564">
        <f t="shared" si="134"/>
        <v>120821.67382575735</v>
      </c>
      <c r="DR138" s="590">
        <f>+DO$29*DQ138+DP138</f>
        <v>33496.199497901631</v>
      </c>
      <c r="DS138" s="589">
        <f>+DS137</f>
        <v>62218.14545454544</v>
      </c>
      <c r="DT138" s="564">
        <f>+DT137</f>
        <v>8295.7527272726966</v>
      </c>
      <c r="DU138" s="564">
        <f t="shared" si="159"/>
        <v>53922.392727272745</v>
      </c>
      <c r="DV138" s="590">
        <f>+DS$29*DU138+DT138</f>
        <v>14500.84597034402</v>
      </c>
      <c r="DW138" s="589">
        <f>+DW137</f>
        <v>8857.7847159090452</v>
      </c>
      <c r="DX138" s="564">
        <f>+DX137</f>
        <v>1221.7634090909089</v>
      </c>
      <c r="DY138" s="564">
        <f t="shared" si="160"/>
        <v>7636.0213068181365</v>
      </c>
      <c r="DZ138" s="590">
        <f>+DW$29*DY138+DX138</f>
        <v>2100.4748649147341</v>
      </c>
      <c r="EA138" s="589">
        <f>+EA137</f>
        <v>-56369.054261364101</v>
      </c>
      <c r="EB138" s="564">
        <f>+EB137</f>
        <v>-7120.3015909091364</v>
      </c>
      <c r="EC138" s="564">
        <f t="shared" si="161"/>
        <v>-49248.752670454967</v>
      </c>
      <c r="ED138" s="590">
        <f>+EA$29*EC138+EB138</f>
        <v>-12787.577966621016</v>
      </c>
      <c r="EE138" s="589">
        <f>+EE137</f>
        <v>1809023.9854545402</v>
      </c>
      <c r="EF138" s="564">
        <f>+EF137</f>
        <v>192108.74181818182</v>
      </c>
      <c r="EG138" s="564">
        <f t="shared" si="162"/>
        <v>1616915.2436363585</v>
      </c>
      <c r="EH138" s="590">
        <f>+EE$29*EG138+EF138</f>
        <v>378174.48084523482</v>
      </c>
      <c r="EI138" s="589">
        <f>+EI137</f>
        <v>75420.721325757331</v>
      </c>
      <c r="EJ138" s="564">
        <f>+EJ137</f>
        <v>7669.903863636363</v>
      </c>
      <c r="EK138" s="564">
        <f t="shared" si="163"/>
        <v>67750.817462120962</v>
      </c>
      <c r="EL138" s="590">
        <f>+EI$29*EK138+EJ138</f>
        <v>15466.296389707195</v>
      </c>
      <c r="EM138" s="589">
        <f>+EM137</f>
        <v>2606075.4318181891</v>
      </c>
      <c r="EN138" s="564">
        <f>+EN137</f>
        <v>260607.54318181818</v>
      </c>
      <c r="EO138" s="564">
        <f t="shared" si="164"/>
        <v>2345467.8886363711</v>
      </c>
      <c r="EP138" s="590">
        <f>+EM$29*EO138+EN138</f>
        <v>530511.12519139948</v>
      </c>
      <c r="EQ138" s="678">
        <f t="shared" si="165"/>
        <v>7056482.7540997816</v>
      </c>
      <c r="ER138" s="675">
        <f>+EQ138</f>
        <v>7056482.7540997816</v>
      </c>
      <c r="ES138" s="648"/>
      <c r="EV138" s="589"/>
      <c r="EW138" s="564"/>
      <c r="EX138" s="564"/>
      <c r="EY138" s="590"/>
      <c r="EZ138" s="589"/>
      <c r="FA138" s="564"/>
      <c r="FB138" s="564"/>
      <c r="FC138" s="590"/>
      <c r="FD138" s="589"/>
      <c r="FE138" s="564"/>
      <c r="FF138" s="564"/>
      <c r="FG138" s="590"/>
      <c r="FH138" s="589"/>
      <c r="FI138" s="564"/>
      <c r="FJ138" s="564"/>
      <c r="FK138" s="590"/>
      <c r="FL138" s="589"/>
      <c r="FM138" s="564"/>
      <c r="FN138" s="564"/>
      <c r="FO138" s="590"/>
      <c r="FP138" s="589"/>
      <c r="FQ138" s="564"/>
      <c r="FR138" s="564"/>
      <c r="FS138" s="590"/>
      <c r="FT138" s="589"/>
      <c r="FU138" s="564"/>
      <c r="FV138" s="564"/>
      <c r="FW138" s="590"/>
      <c r="FX138" s="589"/>
      <c r="FY138" s="564"/>
      <c r="FZ138" s="564"/>
      <c r="GA138" s="590"/>
      <c r="GB138" s="589"/>
      <c r="GC138" s="564"/>
      <c r="GD138" s="564"/>
      <c r="GE138" s="590"/>
      <c r="GF138" s="589"/>
      <c r="GG138" s="564"/>
      <c r="GH138" s="564"/>
      <c r="GI138" s="590"/>
      <c r="GJ138" s="589"/>
      <c r="GK138" s="564"/>
      <c r="GL138" s="564"/>
      <c r="GM138" s="590"/>
      <c r="GN138" s="589"/>
      <c r="GO138" s="564"/>
      <c r="GP138" s="564"/>
      <c r="GQ138" s="590"/>
      <c r="GR138" s="589"/>
      <c r="GS138" s="564"/>
      <c r="GT138" s="564"/>
      <c r="GU138" s="590"/>
      <c r="GV138" s="672"/>
      <c r="GW138" s="676"/>
      <c r="GX138" s="676"/>
      <c r="GY138" s="1366"/>
      <c r="GZ138" s="1367"/>
      <c r="HA138" s="1373"/>
      <c r="HB138" s="1373"/>
      <c r="HC138" s="1366"/>
      <c r="HD138" s="1367"/>
      <c r="HE138" s="1373"/>
      <c r="HF138" s="1373"/>
      <c r="HG138" s="1366"/>
      <c r="HI138" s="589"/>
      <c r="HJ138" s="564"/>
      <c r="HK138" s="564"/>
      <c r="HL138" s="590"/>
      <c r="HM138" s="589"/>
      <c r="HN138" s="564"/>
      <c r="HO138" s="564"/>
      <c r="HP138" s="590"/>
      <c r="HQ138" s="589"/>
      <c r="HR138" s="564"/>
      <c r="HS138" s="564"/>
      <c r="HT138" s="590"/>
    </row>
    <row r="139" spans="1:228">
      <c r="A139" s="649" t="s">
        <v>24</v>
      </c>
      <c r="B139" s="670">
        <v>2056</v>
      </c>
      <c r="C139" s="671"/>
      <c r="D139" s="671"/>
      <c r="E139" s="671"/>
      <c r="F139" s="653"/>
      <c r="G139" s="671"/>
      <c r="H139" s="671"/>
      <c r="I139" s="671"/>
      <c r="J139" s="653"/>
      <c r="K139" s="658"/>
      <c r="L139" s="658"/>
      <c r="M139" s="658"/>
      <c r="N139" s="653"/>
      <c r="O139" s="671"/>
      <c r="P139" s="671"/>
      <c r="Q139" s="671"/>
      <c r="R139" s="653"/>
      <c r="S139" s="564"/>
      <c r="T139" s="564"/>
      <c r="U139" s="564"/>
      <c r="V139" s="590"/>
      <c r="W139" s="564"/>
      <c r="X139" s="564"/>
      <c r="Y139" s="564"/>
      <c r="Z139" s="590"/>
      <c r="AA139" s="606"/>
      <c r="AB139" s="606"/>
      <c r="AC139" s="606"/>
      <c r="AD139" s="606"/>
      <c r="AE139" s="564"/>
      <c r="AF139" s="564"/>
      <c r="AG139" s="564"/>
      <c r="AH139" s="590"/>
      <c r="AI139" s="564"/>
      <c r="AJ139" s="564"/>
      <c r="AK139" s="564"/>
      <c r="AL139" s="590"/>
      <c r="AM139" s="606"/>
      <c r="AN139" s="606"/>
      <c r="AO139" s="606"/>
      <c r="AP139" s="606"/>
      <c r="AQ139" s="564"/>
      <c r="AR139" s="564"/>
      <c r="AS139" s="564"/>
      <c r="AT139" s="590"/>
      <c r="AU139" s="671"/>
      <c r="AV139" s="671"/>
      <c r="AW139" s="671"/>
      <c r="AX139" s="653"/>
      <c r="AY139" s="671"/>
      <c r="AZ139" s="671"/>
      <c r="BA139" s="671"/>
      <c r="BB139" s="653"/>
      <c r="BC139" s="671"/>
      <c r="BD139" s="671"/>
      <c r="BE139" s="671"/>
      <c r="BF139" s="653"/>
      <c r="BG139" s="671"/>
      <c r="BH139" s="671"/>
      <c r="BI139" s="671"/>
      <c r="BJ139" s="653"/>
      <c r="BK139" s="671"/>
      <c r="BL139" s="671"/>
      <c r="BM139" s="671"/>
      <c r="BN139" s="653"/>
      <c r="BO139" s="671"/>
      <c r="BP139" s="671"/>
      <c r="BQ139" s="671"/>
      <c r="BR139" s="653"/>
      <c r="BS139" s="564"/>
      <c r="BT139" s="564"/>
      <c r="BU139" s="564"/>
      <c r="BV139" s="590"/>
      <c r="BW139" s="606"/>
      <c r="BX139" s="606"/>
      <c r="BY139" s="606"/>
      <c r="BZ139" s="606"/>
      <c r="CA139" s="564"/>
      <c r="CB139" s="564"/>
      <c r="CC139" s="564"/>
      <c r="CD139" s="590"/>
      <c r="CE139" s="564"/>
      <c r="CF139" s="564"/>
      <c r="CG139" s="564"/>
      <c r="CH139" s="590"/>
      <c r="CI139" s="589">
        <f>+CK138</f>
        <v>3090.6818181815179</v>
      </c>
      <c r="CJ139" s="564">
        <f>+CI$31/12*3</f>
        <v>3090.681818181818</v>
      </c>
      <c r="CK139" s="564">
        <f t="shared" ref="CK139:CK140" si="199">+CI139-CJ139</f>
        <v>-3.0013325158506632E-10</v>
      </c>
      <c r="CL139" s="590">
        <f>+CI$28*CK139+CJ139</f>
        <v>3090.6818181817835</v>
      </c>
      <c r="CM139" s="589">
        <f>+CO138</f>
        <v>2297535.3321022857</v>
      </c>
      <c r="CN139" s="564">
        <f>+CM$31</f>
        <v>483691.64886363636</v>
      </c>
      <c r="CO139" s="564">
        <f t="shared" ref="CO139:CO140" si="200">+CM139-CN139</f>
        <v>1813843.6832386493</v>
      </c>
      <c r="CP139" s="590">
        <f>+CM$28*CO139+CN139</f>
        <v>692418.83275878243</v>
      </c>
      <c r="CQ139" s="589">
        <f>+CS138</f>
        <v>9584245.8305113688</v>
      </c>
      <c r="CR139" s="564">
        <f>+CQ$31</f>
        <v>2017735.9643181816</v>
      </c>
      <c r="CS139" s="564">
        <f t="shared" ref="CS139:CS140" si="201">+CQ139-CR139</f>
        <v>7566509.8661931874</v>
      </c>
      <c r="CT139" s="590">
        <f>+CQ$28*CS139+CR139</f>
        <v>2888448.4247576669</v>
      </c>
      <c r="CU139" s="589">
        <f>+CW138</f>
        <v>3380976.8625000166</v>
      </c>
      <c r="CV139" s="564">
        <f>+CU$31</f>
        <v>676195.37250000006</v>
      </c>
      <c r="CW139" s="564">
        <f t="shared" ref="CW139:CW140" si="202">+CU139-CV139</f>
        <v>2704781.4900000165</v>
      </c>
      <c r="CX139" s="590">
        <f>+CU$28*CW139+CV139</f>
        <v>987446.79326818138</v>
      </c>
      <c r="CY139" s="589">
        <f>+DA138</f>
        <v>4035.4812499999903</v>
      </c>
      <c r="CZ139" s="564">
        <f>+CY$31</f>
        <v>733.72386363636497</v>
      </c>
      <c r="DA139" s="564">
        <f t="shared" si="155"/>
        <v>3301.7573863636253</v>
      </c>
      <c r="DB139" s="590">
        <f>+CY$28*DA139+CZ139</f>
        <v>1113.6719967247459</v>
      </c>
      <c r="DC139" s="589">
        <f>+DE138</f>
        <v>233786.03181818372</v>
      </c>
      <c r="DD139" s="564">
        <f>+DC$31</f>
        <v>44530.672727272722</v>
      </c>
      <c r="DE139" s="564">
        <f t="shared" si="156"/>
        <v>189255.35909091099</v>
      </c>
      <c r="DF139" s="590">
        <f>+DC$28*DE139+DD139</f>
        <v>66309.141569514773</v>
      </c>
      <c r="DG139" s="589">
        <f>+DI138</f>
        <v>135517.1087499992</v>
      </c>
      <c r="DH139" s="564">
        <f>+DG$31</f>
        <v>24639.474318181816</v>
      </c>
      <c r="DI139" s="564">
        <f t="shared" si="157"/>
        <v>110877.63443181738</v>
      </c>
      <c r="DJ139" s="590">
        <f>+DG$28*DI139+DH139</f>
        <v>37398.664432396166</v>
      </c>
      <c r="DK139" s="589">
        <f>+DM138</f>
        <v>2839903.8457954638</v>
      </c>
      <c r="DL139" s="564">
        <f>+DK$31</f>
        <v>549658.80886363634</v>
      </c>
      <c r="DM139" s="564">
        <f t="shared" si="158"/>
        <v>2290245.0369318277</v>
      </c>
      <c r="DN139" s="590">
        <f>+DK$28*DM139+DL139</f>
        <v>813207.64794279716</v>
      </c>
      <c r="DO139" s="589">
        <f>+DQ138</f>
        <v>120821.67382575735</v>
      </c>
      <c r="DP139" s="564">
        <f>+DO$31</f>
        <v>19592.703863636354</v>
      </c>
      <c r="DQ139" s="564">
        <f t="shared" si="134"/>
        <v>101228.96996212099</v>
      </c>
      <c r="DR139" s="590">
        <f>+DO$28*DQ139+DP139</f>
        <v>31241.578584236988</v>
      </c>
      <c r="DS139" s="589">
        <f>+DU138</f>
        <v>53922.392727272745</v>
      </c>
      <c r="DT139" s="564">
        <f>+DS$31</f>
        <v>8295.7527272726966</v>
      </c>
      <c r="DU139" s="564">
        <f t="shared" si="159"/>
        <v>45626.64000000005</v>
      </c>
      <c r="DV139" s="590">
        <f>+DS$28*DU139+DT139</f>
        <v>13546.216240640744</v>
      </c>
      <c r="DW139" s="589">
        <f>+DY138</f>
        <v>7636.0213068181365</v>
      </c>
      <c r="DX139" s="564">
        <f>+DW$31</f>
        <v>1221.7634090909089</v>
      </c>
      <c r="DY139" s="564">
        <f t="shared" si="160"/>
        <v>6414.2578977272278</v>
      </c>
      <c r="DZ139" s="590">
        <f>+DW$28*DY139+DX139</f>
        <v>1959.8810319829213</v>
      </c>
      <c r="EA139" s="589">
        <f>+EC138</f>
        <v>-49248.752670454967</v>
      </c>
      <c r="EB139" s="564">
        <f>+EA$31</f>
        <v>-7120.3015909091364</v>
      </c>
      <c r="EC139" s="564">
        <f t="shared" si="161"/>
        <v>-42128.451079545834</v>
      </c>
      <c r="ED139" s="590">
        <f>+EA$28*EC139+EB139</f>
        <v>-11968.212707481951</v>
      </c>
      <c r="EE139" s="589">
        <f>+EG138</f>
        <v>1616915.2436363585</v>
      </c>
      <c r="EF139" s="564">
        <f>+EE$31</f>
        <v>192108.74181818182</v>
      </c>
      <c r="EG139" s="564">
        <f t="shared" si="162"/>
        <v>1424806.5018181768</v>
      </c>
      <c r="EH139" s="590">
        <f>+EE$28*EG139+EF139</f>
        <v>356067.66036677302</v>
      </c>
      <c r="EI139" s="589">
        <f>+EK138</f>
        <v>67750.817462120962</v>
      </c>
      <c r="EJ139" s="564">
        <f>+EI$31</f>
        <v>7669.903863636363</v>
      </c>
      <c r="EK139" s="564">
        <f t="shared" si="163"/>
        <v>60080.9135984846</v>
      </c>
      <c r="EL139" s="590">
        <f>+EI$28*EK139+EJ139</f>
        <v>14583.685915057664</v>
      </c>
      <c r="EM139" s="589">
        <f>+EO138</f>
        <v>2345467.8886363711</v>
      </c>
      <c r="EN139" s="564">
        <f>+EM$31</f>
        <v>260607.54318181818</v>
      </c>
      <c r="EO139" s="564">
        <f t="shared" si="164"/>
        <v>2084860.3454545529</v>
      </c>
      <c r="EP139" s="590">
        <f>+EM$28*EO139+EN139</f>
        <v>500521.83830144611</v>
      </c>
      <c r="EQ139" s="678">
        <f t="shared" si="165"/>
        <v>6395386.5062768999</v>
      </c>
      <c r="ER139" s="652"/>
      <c r="ES139" s="674">
        <f>+EQ139</f>
        <v>6395386.5062768999</v>
      </c>
      <c r="EV139" s="589"/>
      <c r="EW139" s="564"/>
      <c r="EX139" s="564"/>
      <c r="EY139" s="590"/>
      <c r="EZ139" s="589"/>
      <c r="FA139" s="564"/>
      <c r="FB139" s="564"/>
      <c r="FC139" s="590"/>
      <c r="FD139" s="589"/>
      <c r="FE139" s="564"/>
      <c r="FF139" s="564"/>
      <c r="FG139" s="590"/>
      <c r="FH139" s="589"/>
      <c r="FI139" s="564"/>
      <c r="FJ139" s="564"/>
      <c r="FK139" s="590"/>
      <c r="FL139" s="589"/>
      <c r="FM139" s="564"/>
      <c r="FN139" s="564"/>
      <c r="FO139" s="590"/>
      <c r="FP139" s="589"/>
      <c r="FQ139" s="564"/>
      <c r="FR139" s="564"/>
      <c r="FS139" s="590"/>
      <c r="FT139" s="589"/>
      <c r="FU139" s="564"/>
      <c r="FV139" s="564"/>
      <c r="FW139" s="590"/>
      <c r="FX139" s="589"/>
      <c r="FY139" s="564"/>
      <c r="FZ139" s="564"/>
      <c r="GA139" s="590"/>
      <c r="GB139" s="589"/>
      <c r="GC139" s="564"/>
      <c r="GD139" s="564"/>
      <c r="GE139" s="590"/>
      <c r="GF139" s="589"/>
      <c r="GG139" s="564"/>
      <c r="GH139" s="564"/>
      <c r="GI139" s="590"/>
      <c r="GJ139" s="589"/>
      <c r="GK139" s="564"/>
      <c r="GL139" s="564"/>
      <c r="GM139" s="590"/>
      <c r="GN139" s="589"/>
      <c r="GO139" s="564"/>
      <c r="GP139" s="564"/>
      <c r="GQ139" s="590"/>
      <c r="GR139" s="589"/>
      <c r="GS139" s="564"/>
      <c r="GT139" s="564"/>
      <c r="GU139" s="590"/>
      <c r="GV139" s="672"/>
      <c r="GW139" s="676"/>
      <c r="GX139" s="676"/>
      <c r="GY139" s="1366"/>
      <c r="GZ139" s="1367"/>
      <c r="HA139" s="1373"/>
      <c r="HB139" s="1373"/>
      <c r="HC139" s="1366"/>
      <c r="HD139" s="1367"/>
      <c r="HE139" s="1373"/>
      <c r="HF139" s="1373"/>
      <c r="HG139" s="1366"/>
      <c r="HI139" s="589"/>
      <c r="HJ139" s="564"/>
      <c r="HK139" s="564"/>
      <c r="HL139" s="590"/>
      <c r="HM139" s="589"/>
      <c r="HN139" s="564"/>
      <c r="HO139" s="564"/>
      <c r="HP139" s="590"/>
      <c r="HQ139" s="589"/>
      <c r="HR139" s="564"/>
      <c r="HS139" s="564"/>
      <c r="HT139" s="590"/>
    </row>
    <row r="140" spans="1:228">
      <c r="A140" s="649" t="s">
        <v>23</v>
      </c>
      <c r="B140" s="670">
        <v>2056</v>
      </c>
      <c r="C140" s="671"/>
      <c r="D140" s="671"/>
      <c r="E140" s="671"/>
      <c r="F140" s="653"/>
      <c r="G140" s="671"/>
      <c r="H140" s="671"/>
      <c r="I140" s="671"/>
      <c r="J140" s="653"/>
      <c r="K140" s="658"/>
      <c r="L140" s="658"/>
      <c r="M140" s="658"/>
      <c r="N140" s="653"/>
      <c r="O140" s="671"/>
      <c r="P140" s="671"/>
      <c r="Q140" s="671"/>
      <c r="R140" s="653"/>
      <c r="S140" s="564"/>
      <c r="T140" s="564"/>
      <c r="U140" s="564"/>
      <c r="V140" s="590"/>
      <c r="W140" s="564"/>
      <c r="X140" s="564"/>
      <c r="Y140" s="564"/>
      <c r="Z140" s="590"/>
      <c r="AA140" s="606"/>
      <c r="AB140" s="606"/>
      <c r="AC140" s="606"/>
      <c r="AD140" s="606"/>
      <c r="AE140" s="564"/>
      <c r="AF140" s="564"/>
      <c r="AG140" s="564"/>
      <c r="AH140" s="590"/>
      <c r="AI140" s="564"/>
      <c r="AJ140" s="564"/>
      <c r="AK140" s="564"/>
      <c r="AL140" s="590"/>
      <c r="AM140" s="606"/>
      <c r="AN140" s="606"/>
      <c r="AO140" s="606"/>
      <c r="AP140" s="606"/>
      <c r="AQ140" s="564"/>
      <c r="AR140" s="564"/>
      <c r="AS140" s="564"/>
      <c r="AT140" s="590"/>
      <c r="AU140" s="671"/>
      <c r="AV140" s="671"/>
      <c r="AW140" s="671"/>
      <c r="AX140" s="653"/>
      <c r="AY140" s="671"/>
      <c r="AZ140" s="671"/>
      <c r="BA140" s="671"/>
      <c r="BB140" s="653"/>
      <c r="BC140" s="671"/>
      <c r="BD140" s="671"/>
      <c r="BE140" s="671"/>
      <c r="BF140" s="653"/>
      <c r="BG140" s="671"/>
      <c r="BH140" s="671"/>
      <c r="BI140" s="671"/>
      <c r="BJ140" s="653"/>
      <c r="BK140" s="671"/>
      <c r="BL140" s="671"/>
      <c r="BM140" s="671"/>
      <c r="BN140" s="653"/>
      <c r="BO140" s="671"/>
      <c r="BP140" s="671"/>
      <c r="BQ140" s="671"/>
      <c r="BR140" s="653"/>
      <c r="BS140" s="564"/>
      <c r="BT140" s="564"/>
      <c r="BU140" s="564"/>
      <c r="BV140" s="590"/>
      <c r="BW140" s="606"/>
      <c r="BX140" s="606"/>
      <c r="BY140" s="606"/>
      <c r="BZ140" s="606"/>
      <c r="CA140" s="564"/>
      <c r="CB140" s="564"/>
      <c r="CC140" s="564"/>
      <c r="CD140" s="590"/>
      <c r="CE140" s="564"/>
      <c r="CF140" s="564"/>
      <c r="CG140" s="564"/>
      <c r="CH140" s="590"/>
      <c r="CI140" s="589">
        <f>+CI139</f>
        <v>3090.6818181815179</v>
      </c>
      <c r="CJ140" s="564">
        <f>+CJ139</f>
        <v>3090.681818181818</v>
      </c>
      <c r="CK140" s="564">
        <f t="shared" si="199"/>
        <v>-3.0013325158506632E-10</v>
      </c>
      <c r="CL140" s="590">
        <f>+CI$29*CK140+CJ140</f>
        <v>3090.6818181817835</v>
      </c>
      <c r="CM140" s="589">
        <f>+CM139</f>
        <v>2297535.3321022857</v>
      </c>
      <c r="CN140" s="564">
        <f>+CN139</f>
        <v>483691.64886363636</v>
      </c>
      <c r="CO140" s="564">
        <f t="shared" si="200"/>
        <v>1813843.6832386493</v>
      </c>
      <c r="CP140" s="590">
        <f>+CM$29*CO140+CN140</f>
        <v>692418.83275878243</v>
      </c>
      <c r="CQ140" s="589">
        <f>+CQ139</f>
        <v>9584245.8305113688</v>
      </c>
      <c r="CR140" s="564">
        <f>+CR139</f>
        <v>2017735.9643181816</v>
      </c>
      <c r="CS140" s="564">
        <f t="shared" si="201"/>
        <v>7566509.8661931874</v>
      </c>
      <c r="CT140" s="590">
        <f>+CQ$29*CS140+CR140</f>
        <v>2888448.4247576669</v>
      </c>
      <c r="CU140" s="589">
        <f>+CU139</f>
        <v>3380976.8625000166</v>
      </c>
      <c r="CV140" s="564">
        <f>+CV139</f>
        <v>676195.37250000006</v>
      </c>
      <c r="CW140" s="564">
        <f t="shared" si="202"/>
        <v>2704781.4900000165</v>
      </c>
      <c r="CX140" s="590">
        <f>+CU$29*CW140+CV140</f>
        <v>987446.79326818138</v>
      </c>
      <c r="CY140" s="589">
        <f>+CY139</f>
        <v>4035.4812499999903</v>
      </c>
      <c r="CZ140" s="564">
        <f>+CZ139</f>
        <v>733.72386363636497</v>
      </c>
      <c r="DA140" s="564">
        <f t="shared" si="155"/>
        <v>3301.7573863636253</v>
      </c>
      <c r="DB140" s="590">
        <f>+CY$29*DA140+CZ140</f>
        <v>1113.6719967247459</v>
      </c>
      <c r="DC140" s="589">
        <f>+DC139</f>
        <v>233786.03181818372</v>
      </c>
      <c r="DD140" s="564">
        <f>+DD139</f>
        <v>44530.672727272722</v>
      </c>
      <c r="DE140" s="564">
        <f t="shared" si="156"/>
        <v>189255.35909091099</v>
      </c>
      <c r="DF140" s="590">
        <f>+DC$29*DE140+DD140</f>
        <v>66309.141569514773</v>
      </c>
      <c r="DG140" s="589">
        <f>+DG139</f>
        <v>135517.1087499992</v>
      </c>
      <c r="DH140" s="564">
        <f>+DH139</f>
        <v>24639.474318181816</v>
      </c>
      <c r="DI140" s="564">
        <f t="shared" si="157"/>
        <v>110877.63443181738</v>
      </c>
      <c r="DJ140" s="590">
        <f>+DG$29*DI140+DH140</f>
        <v>37398.664432396166</v>
      </c>
      <c r="DK140" s="589">
        <f>+DK139</f>
        <v>2839903.8457954638</v>
      </c>
      <c r="DL140" s="564">
        <f>+DL139</f>
        <v>549658.80886363634</v>
      </c>
      <c r="DM140" s="564">
        <f t="shared" si="158"/>
        <v>2290245.0369318277</v>
      </c>
      <c r="DN140" s="590">
        <f>+DK$29*DM140+DL140</f>
        <v>813207.64794279716</v>
      </c>
      <c r="DO140" s="589">
        <f>+DO139</f>
        <v>120821.67382575735</v>
      </c>
      <c r="DP140" s="564">
        <f>+DP139</f>
        <v>19592.703863636354</v>
      </c>
      <c r="DQ140" s="564">
        <f t="shared" si="134"/>
        <v>101228.96996212099</v>
      </c>
      <c r="DR140" s="590">
        <f>+DO$29*DQ140+DP140</f>
        <v>31241.578584236988</v>
      </c>
      <c r="DS140" s="589">
        <f>+DS139</f>
        <v>53922.392727272745</v>
      </c>
      <c r="DT140" s="564">
        <f>+DT139</f>
        <v>8295.7527272726966</v>
      </c>
      <c r="DU140" s="564">
        <f t="shared" si="159"/>
        <v>45626.64000000005</v>
      </c>
      <c r="DV140" s="590">
        <f>+DS$29*DU140+DT140</f>
        <v>13546.216240640744</v>
      </c>
      <c r="DW140" s="589">
        <f>+DW139</f>
        <v>7636.0213068181365</v>
      </c>
      <c r="DX140" s="564">
        <f>+DX139</f>
        <v>1221.7634090909089</v>
      </c>
      <c r="DY140" s="564">
        <f t="shared" si="160"/>
        <v>6414.2578977272278</v>
      </c>
      <c r="DZ140" s="590">
        <f>+DW$29*DY140+DX140</f>
        <v>1959.8810319829213</v>
      </c>
      <c r="EA140" s="589">
        <f>+EA139</f>
        <v>-49248.752670454967</v>
      </c>
      <c r="EB140" s="564">
        <f>+EB139</f>
        <v>-7120.3015909091364</v>
      </c>
      <c r="EC140" s="564">
        <f t="shared" si="161"/>
        <v>-42128.451079545834</v>
      </c>
      <c r="ED140" s="590">
        <f>+EA$29*EC140+EB140</f>
        <v>-11968.212707481951</v>
      </c>
      <c r="EE140" s="589">
        <f>+EE139</f>
        <v>1616915.2436363585</v>
      </c>
      <c r="EF140" s="564">
        <f>+EF139</f>
        <v>192108.74181818182</v>
      </c>
      <c r="EG140" s="564">
        <f t="shared" si="162"/>
        <v>1424806.5018181768</v>
      </c>
      <c r="EH140" s="590">
        <f>+EE$29*EG140+EF140</f>
        <v>356067.66036677302</v>
      </c>
      <c r="EI140" s="589">
        <f>+EI139</f>
        <v>67750.817462120962</v>
      </c>
      <c r="EJ140" s="564">
        <f>+EJ139</f>
        <v>7669.903863636363</v>
      </c>
      <c r="EK140" s="564">
        <f t="shared" si="163"/>
        <v>60080.9135984846</v>
      </c>
      <c r="EL140" s="590">
        <f>+EI$29*EK140+EJ140</f>
        <v>14583.685915057664</v>
      </c>
      <c r="EM140" s="589">
        <f>+EM139</f>
        <v>2345467.8886363711</v>
      </c>
      <c r="EN140" s="564">
        <f>+EN139</f>
        <v>260607.54318181818</v>
      </c>
      <c r="EO140" s="564">
        <f t="shared" si="164"/>
        <v>2084860.3454545529</v>
      </c>
      <c r="EP140" s="590">
        <f>+EM$29*EO140+EN140</f>
        <v>500521.83830144611</v>
      </c>
      <c r="EQ140" s="678">
        <f t="shared" si="165"/>
        <v>6395386.5062768999</v>
      </c>
      <c r="ER140" s="675">
        <f>+EQ140</f>
        <v>6395386.5062768999</v>
      </c>
      <c r="ES140" s="648"/>
      <c r="EV140" s="589"/>
      <c r="EW140" s="564"/>
      <c r="EX140" s="564"/>
      <c r="EY140" s="590"/>
      <c r="EZ140" s="589"/>
      <c r="FA140" s="564"/>
      <c r="FB140" s="564"/>
      <c r="FC140" s="590"/>
      <c r="FD140" s="589"/>
      <c r="FE140" s="564"/>
      <c r="FF140" s="564"/>
      <c r="FG140" s="590"/>
      <c r="FH140" s="589"/>
      <c r="FI140" s="564"/>
      <c r="FJ140" s="564"/>
      <c r="FK140" s="590"/>
      <c r="FL140" s="589"/>
      <c r="FM140" s="564"/>
      <c r="FN140" s="564"/>
      <c r="FO140" s="590"/>
      <c r="FP140" s="589"/>
      <c r="FQ140" s="564"/>
      <c r="FR140" s="564"/>
      <c r="FS140" s="590"/>
      <c r="FT140" s="589"/>
      <c r="FU140" s="564"/>
      <c r="FV140" s="564"/>
      <c r="FW140" s="590"/>
      <c r="FX140" s="589"/>
      <c r="FY140" s="564"/>
      <c r="FZ140" s="564"/>
      <c r="GA140" s="590"/>
      <c r="GB140" s="589"/>
      <c r="GC140" s="564"/>
      <c r="GD140" s="564"/>
      <c r="GE140" s="590"/>
      <c r="GF140" s="589"/>
      <c r="GG140" s="564"/>
      <c r="GH140" s="564"/>
      <c r="GI140" s="590"/>
      <c r="GJ140" s="589"/>
      <c r="GK140" s="564"/>
      <c r="GL140" s="564"/>
      <c r="GM140" s="590"/>
      <c r="GN140" s="589"/>
      <c r="GO140" s="564"/>
      <c r="GP140" s="564"/>
      <c r="GQ140" s="590"/>
      <c r="GR140" s="589"/>
      <c r="GS140" s="564"/>
      <c r="GT140" s="564"/>
      <c r="GU140" s="590"/>
      <c r="GV140" s="672"/>
      <c r="GW140" s="676"/>
      <c r="GX140" s="676"/>
      <c r="GY140" s="1366"/>
      <c r="GZ140" s="1367"/>
      <c r="HA140" s="1373"/>
      <c r="HB140" s="1373"/>
      <c r="HC140" s="1366"/>
      <c r="HD140" s="1367"/>
      <c r="HE140" s="1373"/>
      <c r="HF140" s="1373"/>
      <c r="HG140" s="1366"/>
      <c r="HI140" s="589"/>
      <c r="HJ140" s="564"/>
      <c r="HK140" s="564"/>
      <c r="HL140" s="590"/>
      <c r="HM140" s="589"/>
      <c r="HN140" s="564"/>
      <c r="HO140" s="564"/>
      <c r="HP140" s="590"/>
      <c r="HQ140" s="589"/>
      <c r="HR140" s="564"/>
      <c r="HS140" s="564"/>
      <c r="HT140" s="590"/>
    </row>
    <row r="141" spans="1:228">
      <c r="A141" s="649" t="s">
        <v>24</v>
      </c>
      <c r="B141" s="670">
        <v>2057</v>
      </c>
      <c r="C141" s="671"/>
      <c r="D141" s="671"/>
      <c r="E141" s="671"/>
      <c r="F141" s="653"/>
      <c r="G141" s="671"/>
      <c r="H141" s="671"/>
      <c r="I141" s="671"/>
      <c r="J141" s="653"/>
      <c r="K141" s="658"/>
      <c r="L141" s="658"/>
      <c r="M141" s="658"/>
      <c r="N141" s="653"/>
      <c r="O141" s="671"/>
      <c r="P141" s="671"/>
      <c r="Q141" s="671"/>
      <c r="R141" s="653"/>
      <c r="S141" s="564"/>
      <c r="T141" s="564"/>
      <c r="U141" s="564"/>
      <c r="V141" s="590"/>
      <c r="W141" s="564"/>
      <c r="X141" s="564"/>
      <c r="Y141" s="564"/>
      <c r="Z141" s="590"/>
      <c r="AA141" s="606"/>
      <c r="AB141" s="606"/>
      <c r="AC141" s="606"/>
      <c r="AD141" s="606"/>
      <c r="AE141" s="564"/>
      <c r="AF141" s="564"/>
      <c r="AG141" s="564"/>
      <c r="AH141" s="590"/>
      <c r="AI141" s="564"/>
      <c r="AJ141" s="564"/>
      <c r="AK141" s="564"/>
      <c r="AL141" s="590"/>
      <c r="AM141" s="606"/>
      <c r="AN141" s="606"/>
      <c r="AO141" s="606"/>
      <c r="AP141" s="606"/>
      <c r="AQ141" s="564"/>
      <c r="AR141" s="564"/>
      <c r="AS141" s="564"/>
      <c r="AT141" s="590"/>
      <c r="AU141" s="671"/>
      <c r="AV141" s="671"/>
      <c r="AW141" s="671"/>
      <c r="AX141" s="653"/>
      <c r="AY141" s="671"/>
      <c r="AZ141" s="671"/>
      <c r="BA141" s="671"/>
      <c r="BB141" s="653"/>
      <c r="BC141" s="671"/>
      <c r="BD141" s="671"/>
      <c r="BE141" s="671"/>
      <c r="BF141" s="653"/>
      <c r="BG141" s="671"/>
      <c r="BH141" s="671"/>
      <c r="BI141" s="671"/>
      <c r="BJ141" s="653"/>
      <c r="BK141" s="671"/>
      <c r="BL141" s="671"/>
      <c r="BM141" s="671"/>
      <c r="BN141" s="653"/>
      <c r="BO141" s="671"/>
      <c r="BP141" s="671"/>
      <c r="BQ141" s="671"/>
      <c r="BR141" s="653"/>
      <c r="BS141" s="564"/>
      <c r="BT141" s="564"/>
      <c r="BU141" s="564"/>
      <c r="BV141" s="590"/>
      <c r="BW141" s="606"/>
      <c r="BX141" s="606"/>
      <c r="BY141" s="606"/>
      <c r="BZ141" s="606"/>
      <c r="CA141" s="564"/>
      <c r="CB141" s="564"/>
      <c r="CC141" s="564"/>
      <c r="CD141" s="590"/>
      <c r="CE141" s="564"/>
      <c r="CF141" s="564"/>
      <c r="CG141" s="564"/>
      <c r="CH141" s="590"/>
      <c r="CI141" s="606"/>
      <c r="CJ141" s="606"/>
      <c r="CK141" s="606"/>
      <c r="CL141" s="606"/>
      <c r="CM141" s="589">
        <f>+CO140</f>
        <v>1813843.6832386493</v>
      </c>
      <c r="CN141" s="564">
        <f>+CM$31</f>
        <v>483691.64886363636</v>
      </c>
      <c r="CO141" s="564">
        <f t="shared" ref="CO141:CO142" si="203">+CM141-CN141</f>
        <v>1330152.0343750129</v>
      </c>
      <c r="CP141" s="590">
        <f>+CM$28*CO141+CN141</f>
        <v>636758.25038674381</v>
      </c>
      <c r="CQ141" s="589">
        <f>+CS140</f>
        <v>7566509.8661931874</v>
      </c>
      <c r="CR141" s="564">
        <f>+CQ$31</f>
        <v>2017735.9643181816</v>
      </c>
      <c r="CS141" s="564">
        <f t="shared" ref="CS141:CS142" si="204">+CQ141-CR141</f>
        <v>5548773.901875006</v>
      </c>
      <c r="CT141" s="590">
        <f>+CQ$28*CS141+CR141</f>
        <v>2656258.4353071377</v>
      </c>
      <c r="CU141" s="589">
        <f>+CW140</f>
        <v>2704781.4900000165</v>
      </c>
      <c r="CV141" s="564">
        <f>+CU$31</f>
        <v>676195.37250000006</v>
      </c>
      <c r="CW141" s="564">
        <f t="shared" ref="CW141:CW142" si="205">+CU141-CV141</f>
        <v>2028586.1175000165</v>
      </c>
      <c r="CX141" s="590">
        <f>+CU$28*CW141+CV141</f>
        <v>909633.93807613652</v>
      </c>
      <c r="CY141" s="589">
        <f>+DA140</f>
        <v>3301.7573863636253</v>
      </c>
      <c r="CZ141" s="564">
        <f>+CY$31</f>
        <v>733.72386363636497</v>
      </c>
      <c r="DA141" s="564">
        <f t="shared" si="155"/>
        <v>2568.0335227272603</v>
      </c>
      <c r="DB141" s="590">
        <f>+CY$28*DA141+CZ141</f>
        <v>1029.2390782606608</v>
      </c>
      <c r="DC141" s="589">
        <f>+DE140</f>
        <v>189255.35909091099</v>
      </c>
      <c r="DD141" s="564">
        <f>+DC$31</f>
        <v>44530.672727272722</v>
      </c>
      <c r="DE141" s="564">
        <f t="shared" si="156"/>
        <v>144724.68636363826</v>
      </c>
      <c r="DF141" s="590">
        <f>+DC$28*DE141+DD141</f>
        <v>61184.795959575516</v>
      </c>
      <c r="DG141" s="589">
        <f>+DI140</f>
        <v>110877.63443181738</v>
      </c>
      <c r="DH141" s="564">
        <f>+DG$31</f>
        <v>24639.474318181816</v>
      </c>
      <c r="DI141" s="564">
        <f t="shared" si="157"/>
        <v>86238.16011363556</v>
      </c>
      <c r="DJ141" s="590">
        <f>+DG$28*DI141+DH141</f>
        <v>34563.288851459627</v>
      </c>
      <c r="DK141" s="589">
        <f>+DM140</f>
        <v>2290245.0369318277</v>
      </c>
      <c r="DL141" s="564">
        <f>+DK$31</f>
        <v>549658.80886363634</v>
      </c>
      <c r="DM141" s="564">
        <f t="shared" si="158"/>
        <v>1740586.2280681913</v>
      </c>
      <c r="DN141" s="590">
        <f>+DK$28*DM141+DL141</f>
        <v>749955.92656379892</v>
      </c>
      <c r="DO141" s="589">
        <f>+DQ140</f>
        <v>101228.96996212099</v>
      </c>
      <c r="DP141" s="564">
        <f>+DO$31</f>
        <v>19592.703863636354</v>
      </c>
      <c r="DQ141" s="564">
        <f t="shared" si="134"/>
        <v>81636.26609848463</v>
      </c>
      <c r="DR141" s="590">
        <f>+DO$28*DQ141+DP141</f>
        <v>28986.957670572345</v>
      </c>
      <c r="DS141" s="589">
        <f>+DU140</f>
        <v>45626.64000000005</v>
      </c>
      <c r="DT141" s="564">
        <f>+DS$31</f>
        <v>8295.7527272726966</v>
      </c>
      <c r="DU141" s="564">
        <f t="shared" si="159"/>
        <v>37330.887272727356</v>
      </c>
      <c r="DV141" s="590">
        <f>+DS$28*DU141+DT141</f>
        <v>12591.586510937468</v>
      </c>
      <c r="DW141" s="589">
        <f>+DY140</f>
        <v>6414.2578977272278</v>
      </c>
      <c r="DX141" s="564">
        <f>+DW$31</f>
        <v>1221.7634090909089</v>
      </c>
      <c r="DY141" s="564">
        <f t="shared" si="160"/>
        <v>5192.4944886363191</v>
      </c>
      <c r="DZ141" s="590">
        <f>+DW$28*DY141+DX141</f>
        <v>1819.2871990511085</v>
      </c>
      <c r="EA141" s="589">
        <f>+EC140</f>
        <v>-42128.451079545834</v>
      </c>
      <c r="EB141" s="564">
        <f>+EA$31</f>
        <v>-7120.3015909091364</v>
      </c>
      <c r="EC141" s="564">
        <f t="shared" si="161"/>
        <v>-35008.1494886367</v>
      </c>
      <c r="ED141" s="590">
        <f>+EA$28*EC141+EB141</f>
        <v>-11148.847448342887</v>
      </c>
      <c r="EE141" s="589">
        <f>+EG140</f>
        <v>1424806.5018181768</v>
      </c>
      <c r="EF141" s="564">
        <f>+EE$31</f>
        <v>192108.74181818182</v>
      </c>
      <c r="EG141" s="564">
        <f t="shared" si="162"/>
        <v>1232697.7599999951</v>
      </c>
      <c r="EH141" s="590">
        <f>+EE$28*EG141+EF141</f>
        <v>333960.83988831122</v>
      </c>
      <c r="EI141" s="589">
        <f>+EK140</f>
        <v>60080.9135984846</v>
      </c>
      <c r="EJ141" s="564">
        <f>+EI$31</f>
        <v>7669.903863636363</v>
      </c>
      <c r="EK141" s="564">
        <f t="shared" si="163"/>
        <v>52411.009734848238</v>
      </c>
      <c r="EL141" s="590">
        <f>+EI$28*EK141+EJ141</f>
        <v>13701.075440408133</v>
      </c>
      <c r="EM141" s="589">
        <f>+EO140</f>
        <v>2084860.3454545529</v>
      </c>
      <c r="EN141" s="564">
        <f>+EM$31</f>
        <v>260607.54318181818</v>
      </c>
      <c r="EO141" s="564">
        <f t="shared" si="164"/>
        <v>1824252.8022727347</v>
      </c>
      <c r="EP141" s="590">
        <f>+EM$28*EO141+EN141</f>
        <v>470532.55141149275</v>
      </c>
      <c r="EQ141" s="678">
        <f t="shared" si="165"/>
        <v>5899827.324895543</v>
      </c>
      <c r="ER141" s="652"/>
      <c r="ES141" s="674">
        <f>+EQ141</f>
        <v>5899827.324895543</v>
      </c>
      <c r="EV141" s="589"/>
      <c r="EW141" s="564"/>
      <c r="EX141" s="564"/>
      <c r="EY141" s="590"/>
      <c r="EZ141" s="589"/>
      <c r="FA141" s="564"/>
      <c r="FB141" s="564"/>
      <c r="FC141" s="590"/>
      <c r="FD141" s="589"/>
      <c r="FE141" s="564"/>
      <c r="FF141" s="564"/>
      <c r="FG141" s="590"/>
      <c r="FH141" s="589"/>
      <c r="FI141" s="564"/>
      <c r="FJ141" s="564"/>
      <c r="FK141" s="590"/>
      <c r="FL141" s="589"/>
      <c r="FM141" s="564"/>
      <c r="FN141" s="564"/>
      <c r="FO141" s="590"/>
      <c r="FP141" s="589"/>
      <c r="FQ141" s="564"/>
      <c r="FR141" s="564"/>
      <c r="FS141" s="590"/>
      <c r="FT141" s="589"/>
      <c r="FU141" s="564"/>
      <c r="FV141" s="564"/>
      <c r="FW141" s="590"/>
      <c r="FX141" s="589"/>
      <c r="FY141" s="564"/>
      <c r="FZ141" s="564"/>
      <c r="GA141" s="590"/>
      <c r="GB141" s="589"/>
      <c r="GC141" s="564"/>
      <c r="GD141" s="564"/>
      <c r="GE141" s="590"/>
      <c r="GF141" s="589"/>
      <c r="GG141" s="564"/>
      <c r="GH141" s="564"/>
      <c r="GI141" s="590"/>
      <c r="GJ141" s="589"/>
      <c r="GK141" s="564"/>
      <c r="GL141" s="564"/>
      <c r="GM141" s="590"/>
      <c r="GN141" s="589"/>
      <c r="GO141" s="564"/>
      <c r="GP141" s="564"/>
      <c r="GQ141" s="590"/>
      <c r="GR141" s="589"/>
      <c r="GS141" s="564"/>
      <c r="GT141" s="564"/>
      <c r="GU141" s="590"/>
      <c r="GV141" s="672"/>
      <c r="GW141" s="676"/>
      <c r="GX141" s="676"/>
      <c r="GY141" s="1366"/>
      <c r="GZ141" s="1367"/>
      <c r="HA141" s="1373"/>
      <c r="HB141" s="1373"/>
      <c r="HC141" s="1366"/>
      <c r="HD141" s="1367"/>
      <c r="HE141" s="1373"/>
      <c r="HF141" s="1373"/>
      <c r="HG141" s="1366"/>
      <c r="HI141" s="589"/>
      <c r="HJ141" s="564"/>
      <c r="HK141" s="564"/>
      <c r="HL141" s="590"/>
      <c r="HM141" s="589"/>
      <c r="HN141" s="564"/>
      <c r="HO141" s="564"/>
      <c r="HP141" s="590"/>
      <c r="HQ141" s="589"/>
      <c r="HR141" s="564"/>
      <c r="HS141" s="564"/>
      <c r="HT141" s="590"/>
    </row>
    <row r="142" spans="1:228">
      <c r="A142" s="649" t="s">
        <v>23</v>
      </c>
      <c r="B142" s="670">
        <v>2057</v>
      </c>
      <c r="C142" s="671"/>
      <c r="D142" s="671"/>
      <c r="E142" s="671"/>
      <c r="F142" s="653"/>
      <c r="G142" s="671"/>
      <c r="H142" s="671"/>
      <c r="I142" s="671"/>
      <c r="J142" s="653"/>
      <c r="K142" s="658"/>
      <c r="L142" s="658"/>
      <c r="M142" s="658"/>
      <c r="N142" s="653"/>
      <c r="O142" s="671"/>
      <c r="P142" s="671"/>
      <c r="Q142" s="671"/>
      <c r="R142" s="653"/>
      <c r="S142" s="564"/>
      <c r="T142" s="564"/>
      <c r="U142" s="564"/>
      <c r="V142" s="590"/>
      <c r="W142" s="564"/>
      <c r="X142" s="564"/>
      <c r="Y142" s="564"/>
      <c r="Z142" s="590"/>
      <c r="AA142" s="606"/>
      <c r="AB142" s="606"/>
      <c r="AC142" s="606"/>
      <c r="AD142" s="606"/>
      <c r="AE142" s="564"/>
      <c r="AF142" s="564"/>
      <c r="AG142" s="564"/>
      <c r="AH142" s="590"/>
      <c r="AI142" s="564"/>
      <c r="AJ142" s="564"/>
      <c r="AK142" s="564"/>
      <c r="AL142" s="590"/>
      <c r="AM142" s="606"/>
      <c r="AN142" s="606"/>
      <c r="AO142" s="606"/>
      <c r="AP142" s="606"/>
      <c r="AQ142" s="564"/>
      <c r="AR142" s="564"/>
      <c r="AS142" s="564"/>
      <c r="AT142" s="590"/>
      <c r="AU142" s="671"/>
      <c r="AV142" s="671"/>
      <c r="AW142" s="671"/>
      <c r="AX142" s="653"/>
      <c r="AY142" s="671"/>
      <c r="AZ142" s="671"/>
      <c r="BA142" s="671"/>
      <c r="BB142" s="653"/>
      <c r="BC142" s="671"/>
      <c r="BD142" s="671"/>
      <c r="BE142" s="671"/>
      <c r="BF142" s="653"/>
      <c r="BG142" s="671"/>
      <c r="BH142" s="671"/>
      <c r="BI142" s="671"/>
      <c r="BJ142" s="653"/>
      <c r="BK142" s="671"/>
      <c r="BL142" s="671"/>
      <c r="BM142" s="671"/>
      <c r="BN142" s="653"/>
      <c r="BO142" s="671"/>
      <c r="BP142" s="671"/>
      <c r="BQ142" s="671"/>
      <c r="BR142" s="653"/>
      <c r="BS142" s="564"/>
      <c r="BT142" s="564"/>
      <c r="BU142" s="564"/>
      <c r="BV142" s="590"/>
      <c r="BW142" s="606"/>
      <c r="BX142" s="606"/>
      <c r="BY142" s="606"/>
      <c r="BZ142" s="606"/>
      <c r="CA142" s="564"/>
      <c r="CB142" s="564"/>
      <c r="CC142" s="564"/>
      <c r="CD142" s="590"/>
      <c r="CE142" s="564"/>
      <c r="CF142" s="564"/>
      <c r="CG142" s="564"/>
      <c r="CH142" s="590"/>
      <c r="CI142" s="606"/>
      <c r="CJ142" s="606"/>
      <c r="CK142" s="606"/>
      <c r="CL142" s="606"/>
      <c r="CM142" s="589">
        <f>+CM141</f>
        <v>1813843.6832386493</v>
      </c>
      <c r="CN142" s="564">
        <f>+CN141</f>
        <v>483691.64886363636</v>
      </c>
      <c r="CO142" s="564">
        <f t="shared" si="203"/>
        <v>1330152.0343750129</v>
      </c>
      <c r="CP142" s="590">
        <f>+CM$29*CO142+CN142</f>
        <v>636758.25038674381</v>
      </c>
      <c r="CQ142" s="589">
        <f>+CQ141</f>
        <v>7566509.8661931874</v>
      </c>
      <c r="CR142" s="564">
        <f>+CR141</f>
        <v>2017735.9643181816</v>
      </c>
      <c r="CS142" s="564">
        <f t="shared" si="204"/>
        <v>5548773.901875006</v>
      </c>
      <c r="CT142" s="590">
        <f>+CQ$29*CS142+CR142</f>
        <v>2656258.4353071377</v>
      </c>
      <c r="CU142" s="589">
        <f>+CU141</f>
        <v>2704781.4900000165</v>
      </c>
      <c r="CV142" s="564">
        <f>+CV141</f>
        <v>676195.37250000006</v>
      </c>
      <c r="CW142" s="564">
        <f t="shared" si="205"/>
        <v>2028586.1175000165</v>
      </c>
      <c r="CX142" s="590">
        <f>+CU$29*CW142+CV142</f>
        <v>909633.93807613652</v>
      </c>
      <c r="CY142" s="589">
        <f>+CY141</f>
        <v>3301.7573863636253</v>
      </c>
      <c r="CZ142" s="564">
        <f>+CZ141</f>
        <v>733.72386363636497</v>
      </c>
      <c r="DA142" s="564">
        <f t="shared" si="155"/>
        <v>2568.0335227272603</v>
      </c>
      <c r="DB142" s="590">
        <f>+CY$29*DA142+CZ142</f>
        <v>1029.2390782606608</v>
      </c>
      <c r="DC142" s="589">
        <f>+DC141</f>
        <v>189255.35909091099</v>
      </c>
      <c r="DD142" s="564">
        <f>+DD141</f>
        <v>44530.672727272722</v>
      </c>
      <c r="DE142" s="564">
        <f t="shared" si="156"/>
        <v>144724.68636363826</v>
      </c>
      <c r="DF142" s="590">
        <f>+DC$29*DE142+DD142</f>
        <v>61184.795959575516</v>
      </c>
      <c r="DG142" s="589">
        <f>+DG141</f>
        <v>110877.63443181738</v>
      </c>
      <c r="DH142" s="564">
        <f>+DH141</f>
        <v>24639.474318181816</v>
      </c>
      <c r="DI142" s="564">
        <f t="shared" si="157"/>
        <v>86238.16011363556</v>
      </c>
      <c r="DJ142" s="590">
        <f>+DG$29*DI142+DH142</f>
        <v>34563.288851459627</v>
      </c>
      <c r="DK142" s="589">
        <f>+DK141</f>
        <v>2290245.0369318277</v>
      </c>
      <c r="DL142" s="564">
        <f>+DL141</f>
        <v>549658.80886363634</v>
      </c>
      <c r="DM142" s="564">
        <f t="shared" si="158"/>
        <v>1740586.2280681913</v>
      </c>
      <c r="DN142" s="590">
        <f>+DK$29*DM142+DL142</f>
        <v>749955.92656379892</v>
      </c>
      <c r="DO142" s="589">
        <f>+DO141</f>
        <v>101228.96996212099</v>
      </c>
      <c r="DP142" s="564">
        <f>+DP141</f>
        <v>19592.703863636354</v>
      </c>
      <c r="DQ142" s="564">
        <f t="shared" si="134"/>
        <v>81636.26609848463</v>
      </c>
      <c r="DR142" s="590">
        <f>+DO$29*DQ142+DP142</f>
        <v>28986.957670572345</v>
      </c>
      <c r="DS142" s="589">
        <f>+DS141</f>
        <v>45626.64000000005</v>
      </c>
      <c r="DT142" s="564">
        <f>+DT141</f>
        <v>8295.7527272726966</v>
      </c>
      <c r="DU142" s="564">
        <f t="shared" si="159"/>
        <v>37330.887272727356</v>
      </c>
      <c r="DV142" s="590">
        <f>+DS$29*DU142+DT142</f>
        <v>12591.586510937468</v>
      </c>
      <c r="DW142" s="589">
        <f>+DW141</f>
        <v>6414.2578977272278</v>
      </c>
      <c r="DX142" s="564">
        <f>+DX141</f>
        <v>1221.7634090909089</v>
      </c>
      <c r="DY142" s="564">
        <f t="shared" si="160"/>
        <v>5192.4944886363191</v>
      </c>
      <c r="DZ142" s="590">
        <f>+DW$29*DY142+DX142</f>
        <v>1819.2871990511085</v>
      </c>
      <c r="EA142" s="589">
        <f>+EA141</f>
        <v>-42128.451079545834</v>
      </c>
      <c r="EB142" s="564">
        <f>+EB141</f>
        <v>-7120.3015909091364</v>
      </c>
      <c r="EC142" s="564">
        <f t="shared" si="161"/>
        <v>-35008.1494886367</v>
      </c>
      <c r="ED142" s="590">
        <f>+EA$29*EC142+EB142</f>
        <v>-11148.847448342887</v>
      </c>
      <c r="EE142" s="589">
        <f>+EE141</f>
        <v>1424806.5018181768</v>
      </c>
      <c r="EF142" s="564">
        <f>+EF141</f>
        <v>192108.74181818182</v>
      </c>
      <c r="EG142" s="564">
        <f t="shared" si="162"/>
        <v>1232697.7599999951</v>
      </c>
      <c r="EH142" s="590">
        <f>+EE$29*EG142+EF142</f>
        <v>333960.83988831122</v>
      </c>
      <c r="EI142" s="589">
        <f>+EI141</f>
        <v>60080.9135984846</v>
      </c>
      <c r="EJ142" s="564">
        <f>+EJ141</f>
        <v>7669.903863636363</v>
      </c>
      <c r="EK142" s="564">
        <f t="shared" si="163"/>
        <v>52411.009734848238</v>
      </c>
      <c r="EL142" s="590">
        <f>+EI$29*EK142+EJ142</f>
        <v>13701.075440408133</v>
      </c>
      <c r="EM142" s="589">
        <f>+EM141</f>
        <v>2084860.3454545529</v>
      </c>
      <c r="EN142" s="564">
        <f>+EN141</f>
        <v>260607.54318181818</v>
      </c>
      <c r="EO142" s="564">
        <f t="shared" si="164"/>
        <v>1824252.8022727347</v>
      </c>
      <c r="EP142" s="590">
        <f>+EM$29*EO142+EN142</f>
        <v>470532.55141149275</v>
      </c>
      <c r="EQ142" s="678">
        <f t="shared" si="165"/>
        <v>5899827.324895543</v>
      </c>
      <c r="ER142" s="675">
        <f>+EQ142</f>
        <v>5899827.324895543</v>
      </c>
      <c r="ES142" s="648"/>
      <c r="EV142" s="589"/>
      <c r="EW142" s="564"/>
      <c r="EX142" s="564"/>
      <c r="EY142" s="590"/>
      <c r="EZ142" s="589"/>
      <c r="FA142" s="564"/>
      <c r="FB142" s="564"/>
      <c r="FC142" s="590"/>
      <c r="FD142" s="589"/>
      <c r="FE142" s="564"/>
      <c r="FF142" s="564"/>
      <c r="FG142" s="590"/>
      <c r="FH142" s="589"/>
      <c r="FI142" s="564"/>
      <c r="FJ142" s="564"/>
      <c r="FK142" s="590"/>
      <c r="FL142" s="589"/>
      <c r="FM142" s="564"/>
      <c r="FN142" s="564"/>
      <c r="FO142" s="590"/>
      <c r="FP142" s="589"/>
      <c r="FQ142" s="564"/>
      <c r="FR142" s="564"/>
      <c r="FS142" s="590"/>
      <c r="FT142" s="589"/>
      <c r="FU142" s="564"/>
      <c r="FV142" s="564"/>
      <c r="FW142" s="590"/>
      <c r="FX142" s="589"/>
      <c r="FY142" s="564"/>
      <c r="FZ142" s="564"/>
      <c r="GA142" s="590"/>
      <c r="GB142" s="589"/>
      <c r="GC142" s="564"/>
      <c r="GD142" s="564"/>
      <c r="GE142" s="590"/>
      <c r="GF142" s="589"/>
      <c r="GG142" s="564"/>
      <c r="GH142" s="564"/>
      <c r="GI142" s="590"/>
      <c r="GJ142" s="589"/>
      <c r="GK142" s="564"/>
      <c r="GL142" s="564"/>
      <c r="GM142" s="590"/>
      <c r="GN142" s="589"/>
      <c r="GO142" s="564"/>
      <c r="GP142" s="564"/>
      <c r="GQ142" s="590"/>
      <c r="GR142" s="589"/>
      <c r="GS142" s="564"/>
      <c r="GT142" s="564"/>
      <c r="GU142" s="590"/>
      <c r="GV142" s="672"/>
      <c r="GW142" s="676"/>
      <c r="GX142" s="676"/>
      <c r="GY142" s="1366"/>
      <c r="GZ142" s="1367"/>
      <c r="HA142" s="1373"/>
      <c r="HB142" s="1373"/>
      <c r="HC142" s="1366"/>
      <c r="HD142" s="1367"/>
      <c r="HE142" s="1373"/>
      <c r="HF142" s="1373"/>
      <c r="HG142" s="1366"/>
      <c r="HI142" s="589"/>
      <c r="HJ142" s="564"/>
      <c r="HK142" s="564"/>
      <c r="HL142" s="590"/>
      <c r="HM142" s="589"/>
      <c r="HN142" s="564"/>
      <c r="HO142" s="564"/>
      <c r="HP142" s="590"/>
      <c r="HQ142" s="589"/>
      <c r="HR142" s="564"/>
      <c r="HS142" s="564"/>
      <c r="HT142" s="590"/>
    </row>
    <row r="143" spans="1:228">
      <c r="A143" s="649" t="s">
        <v>24</v>
      </c>
      <c r="B143" s="670">
        <v>2058</v>
      </c>
      <c r="C143" s="671"/>
      <c r="D143" s="671"/>
      <c r="E143" s="671"/>
      <c r="F143" s="653"/>
      <c r="G143" s="671"/>
      <c r="H143" s="671"/>
      <c r="I143" s="671"/>
      <c r="J143" s="653"/>
      <c r="K143" s="658"/>
      <c r="L143" s="658"/>
      <c r="M143" s="658"/>
      <c r="N143" s="653"/>
      <c r="O143" s="671"/>
      <c r="P143" s="671"/>
      <c r="Q143" s="671"/>
      <c r="R143" s="653"/>
      <c r="S143" s="564"/>
      <c r="T143" s="564"/>
      <c r="U143" s="564"/>
      <c r="V143" s="590"/>
      <c r="W143" s="564"/>
      <c r="X143" s="564"/>
      <c r="Y143" s="564"/>
      <c r="Z143" s="590"/>
      <c r="AA143" s="606"/>
      <c r="AB143" s="606"/>
      <c r="AC143" s="606"/>
      <c r="AD143" s="606"/>
      <c r="AE143" s="564"/>
      <c r="AF143" s="564"/>
      <c r="AG143" s="564"/>
      <c r="AH143" s="590"/>
      <c r="AI143" s="564"/>
      <c r="AJ143" s="564"/>
      <c r="AK143" s="564"/>
      <c r="AL143" s="590"/>
      <c r="AM143" s="606"/>
      <c r="AN143" s="606"/>
      <c r="AO143" s="606"/>
      <c r="AP143" s="606"/>
      <c r="AQ143" s="564"/>
      <c r="AR143" s="564"/>
      <c r="AS143" s="564"/>
      <c r="AT143" s="590"/>
      <c r="AU143" s="671"/>
      <c r="AV143" s="671"/>
      <c r="AW143" s="671"/>
      <c r="AX143" s="653"/>
      <c r="AY143" s="671"/>
      <c r="AZ143" s="671"/>
      <c r="BA143" s="671"/>
      <c r="BB143" s="653"/>
      <c r="BC143" s="671"/>
      <c r="BD143" s="671"/>
      <c r="BE143" s="671"/>
      <c r="BF143" s="653"/>
      <c r="BG143" s="671"/>
      <c r="BH143" s="671"/>
      <c r="BI143" s="671"/>
      <c r="BJ143" s="653"/>
      <c r="BK143" s="671"/>
      <c r="BL143" s="671"/>
      <c r="BM143" s="671"/>
      <c r="BN143" s="653"/>
      <c r="BO143" s="671"/>
      <c r="BP143" s="671"/>
      <c r="BQ143" s="671"/>
      <c r="BR143" s="653"/>
      <c r="BS143" s="564"/>
      <c r="BT143" s="564"/>
      <c r="BU143" s="564"/>
      <c r="BV143" s="590"/>
      <c r="BW143" s="606"/>
      <c r="BX143" s="606"/>
      <c r="BY143" s="606"/>
      <c r="BZ143" s="606"/>
      <c r="CA143" s="564"/>
      <c r="CB143" s="564"/>
      <c r="CC143" s="564"/>
      <c r="CD143" s="590"/>
      <c r="CE143" s="564"/>
      <c r="CF143" s="564"/>
      <c r="CG143" s="564"/>
      <c r="CH143" s="590"/>
      <c r="CI143" s="606"/>
      <c r="CJ143" s="606"/>
      <c r="CK143" s="606"/>
      <c r="CL143" s="606"/>
      <c r="CM143" s="589">
        <f>+CO142</f>
        <v>1330152.0343750129</v>
      </c>
      <c r="CN143" s="564">
        <f>+CM$31</f>
        <v>483691.64886363636</v>
      </c>
      <c r="CO143" s="564">
        <f t="shared" ref="CO143:CO144" si="206">+CM143-CN143</f>
        <v>846460.38551137643</v>
      </c>
      <c r="CP143" s="590">
        <f>+CM$28*CO143+CN143</f>
        <v>581097.6680147053</v>
      </c>
      <c r="CQ143" s="589">
        <f>+CS142</f>
        <v>5548773.901875006</v>
      </c>
      <c r="CR143" s="564">
        <f>+CQ$31</f>
        <v>2017735.9643181816</v>
      </c>
      <c r="CS143" s="564">
        <f t="shared" ref="CS143:CS144" si="207">+CQ143-CR143</f>
        <v>3531037.9375568246</v>
      </c>
      <c r="CT143" s="590">
        <f>+CQ$28*CS143+CR143</f>
        <v>2424068.4458566085</v>
      </c>
      <c r="CU143" s="589">
        <f>+CW142</f>
        <v>2028586.1175000165</v>
      </c>
      <c r="CV143" s="564">
        <f>+CU$31</f>
        <v>676195.37250000006</v>
      </c>
      <c r="CW143" s="564">
        <f t="shared" ref="CW143:CW144" si="208">+CU143-CV143</f>
        <v>1352390.7450000164</v>
      </c>
      <c r="CX143" s="590">
        <f>+CU$28*CW143+CV143</f>
        <v>831821.08288409165</v>
      </c>
      <c r="CY143" s="589">
        <f>+DA142</f>
        <v>2568.0335227272603</v>
      </c>
      <c r="CZ143" s="564">
        <f>+CY$31</f>
        <v>733.72386363636497</v>
      </c>
      <c r="DA143" s="564">
        <f t="shared" si="155"/>
        <v>1834.3096590908954</v>
      </c>
      <c r="DB143" s="590">
        <f>+CY$28*DA143+CZ143</f>
        <v>944.80615979657568</v>
      </c>
      <c r="DC143" s="589">
        <f>+DE142</f>
        <v>144724.68636363826</v>
      </c>
      <c r="DD143" s="564">
        <f>+DC$31</f>
        <v>44530.672727272722</v>
      </c>
      <c r="DE143" s="564">
        <f t="shared" si="156"/>
        <v>100194.01363636553</v>
      </c>
      <c r="DF143" s="590">
        <f>+DC$28*DE143+DD143</f>
        <v>56060.450349636259</v>
      </c>
      <c r="DG143" s="589">
        <f>+DI142</f>
        <v>86238.16011363556</v>
      </c>
      <c r="DH143" s="564">
        <f>+DG$31</f>
        <v>24639.474318181816</v>
      </c>
      <c r="DI143" s="564">
        <f t="shared" si="157"/>
        <v>61598.685795453741</v>
      </c>
      <c r="DJ143" s="590">
        <f>+DG$28*DI143+DH143</f>
        <v>31727.91327052308</v>
      </c>
      <c r="DK143" s="589">
        <f>+DM142</f>
        <v>1740586.2280681913</v>
      </c>
      <c r="DL143" s="564">
        <f>+DK$31</f>
        <v>549658.80886363634</v>
      </c>
      <c r="DM143" s="564">
        <f t="shared" si="158"/>
        <v>1190927.419204555</v>
      </c>
      <c r="DN143" s="590">
        <f>+DK$28*DM143+DL143</f>
        <v>686704.20518480055</v>
      </c>
      <c r="DO143" s="589">
        <f>+DQ142</f>
        <v>81636.26609848463</v>
      </c>
      <c r="DP143" s="564">
        <f>+DO$31</f>
        <v>19592.703863636354</v>
      </c>
      <c r="DQ143" s="564">
        <f t="shared" si="134"/>
        <v>62043.562234848272</v>
      </c>
      <c r="DR143" s="590">
        <f>+DO$28*DQ143+DP143</f>
        <v>26732.336756907702</v>
      </c>
      <c r="DS143" s="589">
        <f>+DU142</f>
        <v>37330.887272727356</v>
      </c>
      <c r="DT143" s="564">
        <f>+DS$31</f>
        <v>8295.7527272726966</v>
      </c>
      <c r="DU143" s="564">
        <f t="shared" si="159"/>
        <v>29035.134545454661</v>
      </c>
      <c r="DV143" s="590">
        <f>+DS$28*DU143+DT143</f>
        <v>11636.95678123419</v>
      </c>
      <c r="DW143" s="589">
        <f>+DY142</f>
        <v>5192.4944886363191</v>
      </c>
      <c r="DX143" s="564">
        <f>+DW$31</f>
        <v>1221.7634090909089</v>
      </c>
      <c r="DY143" s="564">
        <f t="shared" si="160"/>
        <v>3970.7310795454105</v>
      </c>
      <c r="DZ143" s="590">
        <f>+DW$28*DY143+DX143</f>
        <v>1678.6933661192957</v>
      </c>
      <c r="EA143" s="589">
        <f>+EC142</f>
        <v>-35008.1494886367</v>
      </c>
      <c r="EB143" s="564">
        <f>+EA$31</f>
        <v>-7120.3015909091364</v>
      </c>
      <c r="EC143" s="564">
        <f t="shared" si="161"/>
        <v>-27887.847897727563</v>
      </c>
      <c r="ED143" s="590">
        <f>+EA$28*EC143+EB143</f>
        <v>-10329.482189203822</v>
      </c>
      <c r="EE143" s="589">
        <f>+EG142</f>
        <v>1232697.7599999951</v>
      </c>
      <c r="EF143" s="564">
        <f>+EE$31</f>
        <v>192108.74181818182</v>
      </c>
      <c r="EG143" s="564">
        <f t="shared" si="162"/>
        <v>1040589.0181818133</v>
      </c>
      <c r="EH143" s="590">
        <f>+EE$28*EG143+EF143</f>
        <v>311854.01940984942</v>
      </c>
      <c r="EI143" s="589">
        <f>+EK142</f>
        <v>52411.009734848238</v>
      </c>
      <c r="EJ143" s="564">
        <f>+EI$31</f>
        <v>7669.903863636363</v>
      </c>
      <c r="EK143" s="564">
        <f t="shared" si="163"/>
        <v>44741.105871211876</v>
      </c>
      <c r="EL143" s="590">
        <f>+EI$28*EK143+EJ143</f>
        <v>12818.464965758601</v>
      </c>
      <c r="EM143" s="589">
        <f>+EO142</f>
        <v>1824252.8022727347</v>
      </c>
      <c r="EN143" s="564">
        <f>+EM$31</f>
        <v>260607.54318181818</v>
      </c>
      <c r="EO143" s="564">
        <f t="shared" si="164"/>
        <v>1563645.2590909165</v>
      </c>
      <c r="EP143" s="590">
        <f>+EM$28*EO143+EN143</f>
        <v>440543.26452153933</v>
      </c>
      <c r="EQ143" s="678">
        <f t="shared" si="165"/>
        <v>5407358.8253323678</v>
      </c>
      <c r="ER143" s="652"/>
      <c r="ES143" s="674">
        <f>+EQ143</f>
        <v>5407358.8253323678</v>
      </c>
      <c r="EV143" s="589"/>
      <c r="EW143" s="564"/>
      <c r="EX143" s="564"/>
      <c r="EY143" s="590"/>
      <c r="EZ143" s="589"/>
      <c r="FA143" s="564"/>
      <c r="FB143" s="564"/>
      <c r="FC143" s="590"/>
      <c r="FD143" s="589"/>
      <c r="FE143" s="564"/>
      <c r="FF143" s="564"/>
      <c r="FG143" s="590"/>
      <c r="FH143" s="589"/>
      <c r="FI143" s="564"/>
      <c r="FJ143" s="564"/>
      <c r="FK143" s="590"/>
      <c r="FL143" s="589"/>
      <c r="FM143" s="564"/>
      <c r="FN143" s="564"/>
      <c r="FO143" s="590"/>
      <c r="FP143" s="589"/>
      <c r="FQ143" s="564"/>
      <c r="FR143" s="564"/>
      <c r="FS143" s="590"/>
      <c r="FT143" s="589"/>
      <c r="FU143" s="564"/>
      <c r="FV143" s="564"/>
      <c r="FW143" s="590"/>
      <c r="FX143" s="589"/>
      <c r="FY143" s="564"/>
      <c r="FZ143" s="564"/>
      <c r="GA143" s="590"/>
      <c r="GB143" s="589"/>
      <c r="GC143" s="564"/>
      <c r="GD143" s="564"/>
      <c r="GE143" s="590"/>
      <c r="GF143" s="589"/>
      <c r="GG143" s="564"/>
      <c r="GH143" s="564"/>
      <c r="GI143" s="590"/>
      <c r="GJ143" s="589"/>
      <c r="GK143" s="564"/>
      <c r="GL143" s="564"/>
      <c r="GM143" s="590"/>
      <c r="GN143" s="589"/>
      <c r="GO143" s="564"/>
      <c r="GP143" s="564"/>
      <c r="GQ143" s="590"/>
      <c r="GR143" s="589"/>
      <c r="GS143" s="564"/>
      <c r="GT143" s="564"/>
      <c r="GU143" s="590"/>
      <c r="GV143" s="672"/>
      <c r="GW143" s="676"/>
      <c r="GX143" s="676"/>
      <c r="GY143" s="1366"/>
      <c r="GZ143" s="1367"/>
      <c r="HA143" s="1373"/>
      <c r="HB143" s="1373"/>
      <c r="HC143" s="1366"/>
      <c r="HD143" s="1367"/>
      <c r="HE143" s="1373"/>
      <c r="HF143" s="1373"/>
      <c r="HG143" s="1366"/>
      <c r="HI143" s="589"/>
      <c r="HJ143" s="564"/>
      <c r="HK143" s="564"/>
      <c r="HL143" s="590"/>
      <c r="HM143" s="589"/>
      <c r="HN143" s="564"/>
      <c r="HO143" s="564"/>
      <c r="HP143" s="590"/>
      <c r="HQ143" s="589"/>
      <c r="HR143" s="564"/>
      <c r="HS143" s="564"/>
      <c r="HT143" s="590"/>
    </row>
    <row r="144" spans="1:228">
      <c r="A144" s="649" t="s">
        <v>23</v>
      </c>
      <c r="B144" s="670">
        <v>2058</v>
      </c>
      <c r="C144" s="671"/>
      <c r="D144" s="671"/>
      <c r="E144" s="671"/>
      <c r="F144" s="653"/>
      <c r="G144" s="671"/>
      <c r="H144" s="671"/>
      <c r="I144" s="671"/>
      <c r="J144" s="653"/>
      <c r="K144" s="658"/>
      <c r="L144" s="658"/>
      <c r="M144" s="658"/>
      <c r="N144" s="653"/>
      <c r="O144" s="671"/>
      <c r="P144" s="671"/>
      <c r="Q144" s="671"/>
      <c r="R144" s="653"/>
      <c r="S144" s="564"/>
      <c r="T144" s="564"/>
      <c r="U144" s="564"/>
      <c r="V144" s="590"/>
      <c r="W144" s="564"/>
      <c r="X144" s="564"/>
      <c r="Y144" s="564"/>
      <c r="Z144" s="590"/>
      <c r="AA144" s="606"/>
      <c r="AB144" s="606"/>
      <c r="AC144" s="606"/>
      <c r="AD144" s="606"/>
      <c r="AE144" s="564"/>
      <c r="AF144" s="564"/>
      <c r="AG144" s="564"/>
      <c r="AH144" s="590"/>
      <c r="AI144" s="564"/>
      <c r="AJ144" s="564"/>
      <c r="AK144" s="564"/>
      <c r="AL144" s="590"/>
      <c r="AM144" s="606"/>
      <c r="AN144" s="606"/>
      <c r="AO144" s="606"/>
      <c r="AP144" s="606"/>
      <c r="AQ144" s="564"/>
      <c r="AR144" s="564"/>
      <c r="AS144" s="564"/>
      <c r="AT144" s="590"/>
      <c r="AU144" s="671"/>
      <c r="AV144" s="671"/>
      <c r="AW144" s="671"/>
      <c r="AX144" s="653"/>
      <c r="AY144" s="671"/>
      <c r="AZ144" s="671"/>
      <c r="BA144" s="671"/>
      <c r="BB144" s="653"/>
      <c r="BC144" s="671"/>
      <c r="BD144" s="671"/>
      <c r="BE144" s="671"/>
      <c r="BF144" s="653"/>
      <c r="BG144" s="671"/>
      <c r="BH144" s="671"/>
      <c r="BI144" s="671"/>
      <c r="BJ144" s="653"/>
      <c r="BK144" s="671"/>
      <c r="BL144" s="671"/>
      <c r="BM144" s="671"/>
      <c r="BN144" s="653"/>
      <c r="BO144" s="671"/>
      <c r="BP144" s="671"/>
      <c r="BQ144" s="671"/>
      <c r="BR144" s="653"/>
      <c r="BS144" s="564"/>
      <c r="BT144" s="564"/>
      <c r="BU144" s="564"/>
      <c r="BV144" s="590"/>
      <c r="BW144" s="606"/>
      <c r="BX144" s="606"/>
      <c r="BY144" s="606"/>
      <c r="BZ144" s="606"/>
      <c r="CA144" s="564"/>
      <c r="CB144" s="564"/>
      <c r="CC144" s="564"/>
      <c r="CD144" s="590"/>
      <c r="CE144" s="564"/>
      <c r="CF144" s="564"/>
      <c r="CG144" s="564"/>
      <c r="CH144" s="590"/>
      <c r="CI144" s="606"/>
      <c r="CJ144" s="606"/>
      <c r="CK144" s="606"/>
      <c r="CL144" s="606"/>
      <c r="CM144" s="589">
        <f>+CM143</f>
        <v>1330152.0343750129</v>
      </c>
      <c r="CN144" s="564">
        <f>+CN143</f>
        <v>483691.64886363636</v>
      </c>
      <c r="CO144" s="564">
        <f t="shared" si="206"/>
        <v>846460.38551137643</v>
      </c>
      <c r="CP144" s="590">
        <f>+CM$29*CO144+CN144</f>
        <v>581097.6680147053</v>
      </c>
      <c r="CQ144" s="589">
        <f>+CQ143</f>
        <v>5548773.901875006</v>
      </c>
      <c r="CR144" s="564">
        <f>+CR143</f>
        <v>2017735.9643181816</v>
      </c>
      <c r="CS144" s="564">
        <f t="shared" si="207"/>
        <v>3531037.9375568246</v>
      </c>
      <c r="CT144" s="590">
        <f>+CQ$29*CS144+CR144</f>
        <v>2424068.4458566085</v>
      </c>
      <c r="CU144" s="589">
        <f>+CU143</f>
        <v>2028586.1175000165</v>
      </c>
      <c r="CV144" s="564">
        <f>+CV143</f>
        <v>676195.37250000006</v>
      </c>
      <c r="CW144" s="564">
        <f t="shared" si="208"/>
        <v>1352390.7450000164</v>
      </c>
      <c r="CX144" s="590">
        <f>+CU$29*CW144+CV144</f>
        <v>831821.08288409165</v>
      </c>
      <c r="CY144" s="589">
        <f>+CY143</f>
        <v>2568.0335227272603</v>
      </c>
      <c r="CZ144" s="564">
        <f>+CZ143</f>
        <v>733.72386363636497</v>
      </c>
      <c r="DA144" s="564">
        <f t="shared" si="155"/>
        <v>1834.3096590908954</v>
      </c>
      <c r="DB144" s="590">
        <f>+CY$29*DA144+CZ144</f>
        <v>944.80615979657568</v>
      </c>
      <c r="DC144" s="589">
        <f>+DC143</f>
        <v>144724.68636363826</v>
      </c>
      <c r="DD144" s="564">
        <f>+DD143</f>
        <v>44530.672727272722</v>
      </c>
      <c r="DE144" s="564">
        <f t="shared" si="156"/>
        <v>100194.01363636553</v>
      </c>
      <c r="DF144" s="590">
        <f>+DC$29*DE144+DD144</f>
        <v>56060.450349636259</v>
      </c>
      <c r="DG144" s="589">
        <f>+DG143</f>
        <v>86238.16011363556</v>
      </c>
      <c r="DH144" s="564">
        <f>+DH143</f>
        <v>24639.474318181816</v>
      </c>
      <c r="DI144" s="564">
        <f t="shared" si="157"/>
        <v>61598.685795453741</v>
      </c>
      <c r="DJ144" s="590">
        <f>+DG$29*DI144+DH144</f>
        <v>31727.91327052308</v>
      </c>
      <c r="DK144" s="589">
        <f>+DK143</f>
        <v>1740586.2280681913</v>
      </c>
      <c r="DL144" s="564">
        <f>+DL143</f>
        <v>549658.80886363634</v>
      </c>
      <c r="DM144" s="564">
        <f t="shared" si="158"/>
        <v>1190927.419204555</v>
      </c>
      <c r="DN144" s="590">
        <f>+DK$29*DM144+DL144</f>
        <v>686704.20518480055</v>
      </c>
      <c r="DO144" s="589">
        <f>+DO143</f>
        <v>81636.26609848463</v>
      </c>
      <c r="DP144" s="564">
        <f>+DP143</f>
        <v>19592.703863636354</v>
      </c>
      <c r="DQ144" s="564">
        <f t="shared" si="134"/>
        <v>62043.562234848272</v>
      </c>
      <c r="DR144" s="590">
        <f>+DO$29*DQ144+DP144</f>
        <v>26732.336756907702</v>
      </c>
      <c r="DS144" s="589">
        <f>+DS143</f>
        <v>37330.887272727356</v>
      </c>
      <c r="DT144" s="564">
        <f>+DT143</f>
        <v>8295.7527272726966</v>
      </c>
      <c r="DU144" s="564">
        <f t="shared" si="159"/>
        <v>29035.134545454661</v>
      </c>
      <c r="DV144" s="590">
        <f>+DS$29*DU144+DT144</f>
        <v>11636.95678123419</v>
      </c>
      <c r="DW144" s="589">
        <f>+DW143</f>
        <v>5192.4944886363191</v>
      </c>
      <c r="DX144" s="564">
        <f>+DX143</f>
        <v>1221.7634090909089</v>
      </c>
      <c r="DY144" s="564">
        <f t="shared" si="160"/>
        <v>3970.7310795454105</v>
      </c>
      <c r="DZ144" s="590">
        <f>+DW$29*DY144+DX144</f>
        <v>1678.6933661192957</v>
      </c>
      <c r="EA144" s="589">
        <f>+EA143</f>
        <v>-35008.1494886367</v>
      </c>
      <c r="EB144" s="564">
        <f>+EB143</f>
        <v>-7120.3015909091364</v>
      </c>
      <c r="EC144" s="564">
        <f t="shared" si="161"/>
        <v>-27887.847897727563</v>
      </c>
      <c r="ED144" s="590">
        <f>+EA$29*EC144+EB144</f>
        <v>-10329.482189203822</v>
      </c>
      <c r="EE144" s="589">
        <f>+EE143</f>
        <v>1232697.7599999951</v>
      </c>
      <c r="EF144" s="564">
        <f>+EF143</f>
        <v>192108.74181818182</v>
      </c>
      <c r="EG144" s="564">
        <f t="shared" si="162"/>
        <v>1040589.0181818133</v>
      </c>
      <c r="EH144" s="590">
        <f>+EE$29*EG144+EF144</f>
        <v>311854.01940984942</v>
      </c>
      <c r="EI144" s="589">
        <f>+EI143</f>
        <v>52411.009734848238</v>
      </c>
      <c r="EJ144" s="564">
        <f>+EJ143</f>
        <v>7669.903863636363</v>
      </c>
      <c r="EK144" s="564">
        <f t="shared" si="163"/>
        <v>44741.105871211876</v>
      </c>
      <c r="EL144" s="590">
        <f>+EI$29*EK144+EJ144</f>
        <v>12818.464965758601</v>
      </c>
      <c r="EM144" s="589">
        <f>+EM143</f>
        <v>1824252.8022727347</v>
      </c>
      <c r="EN144" s="564">
        <f>+EN143</f>
        <v>260607.54318181818</v>
      </c>
      <c r="EO144" s="564">
        <f t="shared" si="164"/>
        <v>1563645.2590909165</v>
      </c>
      <c r="EP144" s="590">
        <f>+EM$29*EO144+EN144</f>
        <v>440543.26452153933</v>
      </c>
      <c r="EQ144" s="678">
        <f t="shared" si="165"/>
        <v>5407358.8253323678</v>
      </c>
      <c r="ER144" s="675">
        <f>+EQ144</f>
        <v>5407358.8253323678</v>
      </c>
      <c r="ES144" s="648"/>
      <c r="EV144" s="589"/>
      <c r="EW144" s="564"/>
      <c r="EX144" s="564"/>
      <c r="EY144" s="590"/>
      <c r="EZ144" s="589"/>
      <c r="FA144" s="564"/>
      <c r="FB144" s="564"/>
      <c r="FC144" s="590"/>
      <c r="FD144" s="589"/>
      <c r="FE144" s="564"/>
      <c r="FF144" s="564"/>
      <c r="FG144" s="590"/>
      <c r="FH144" s="589"/>
      <c r="FI144" s="564"/>
      <c r="FJ144" s="564"/>
      <c r="FK144" s="590"/>
      <c r="FL144" s="589"/>
      <c r="FM144" s="564"/>
      <c r="FN144" s="564"/>
      <c r="FO144" s="590"/>
      <c r="FP144" s="589"/>
      <c r="FQ144" s="564"/>
      <c r="FR144" s="564"/>
      <c r="FS144" s="590"/>
      <c r="FT144" s="589"/>
      <c r="FU144" s="564"/>
      <c r="FV144" s="564"/>
      <c r="FW144" s="590"/>
      <c r="FX144" s="589"/>
      <c r="FY144" s="564"/>
      <c r="FZ144" s="564"/>
      <c r="GA144" s="590"/>
      <c r="GB144" s="589"/>
      <c r="GC144" s="564"/>
      <c r="GD144" s="564"/>
      <c r="GE144" s="590"/>
      <c r="GF144" s="589"/>
      <c r="GG144" s="564"/>
      <c r="GH144" s="564"/>
      <c r="GI144" s="590"/>
      <c r="GJ144" s="589"/>
      <c r="GK144" s="564"/>
      <c r="GL144" s="564"/>
      <c r="GM144" s="590"/>
      <c r="GN144" s="589"/>
      <c r="GO144" s="564"/>
      <c r="GP144" s="564"/>
      <c r="GQ144" s="590"/>
      <c r="GR144" s="589"/>
      <c r="GS144" s="564"/>
      <c r="GT144" s="564"/>
      <c r="GU144" s="590"/>
      <c r="GV144" s="672"/>
      <c r="GW144" s="676"/>
      <c r="GX144" s="676"/>
      <c r="GY144" s="1366"/>
      <c r="GZ144" s="1367"/>
      <c r="HA144" s="1373"/>
      <c r="HB144" s="1373"/>
      <c r="HC144" s="1366"/>
      <c r="HD144" s="1367"/>
      <c r="HE144" s="1373"/>
      <c r="HF144" s="1373"/>
      <c r="HG144" s="1366"/>
      <c r="HI144" s="589"/>
      <c r="HJ144" s="564"/>
      <c r="HK144" s="564"/>
      <c r="HL144" s="590"/>
      <c r="HM144" s="589"/>
      <c r="HN144" s="564"/>
      <c r="HO144" s="564"/>
      <c r="HP144" s="590"/>
      <c r="HQ144" s="589"/>
      <c r="HR144" s="564"/>
      <c r="HS144" s="564"/>
      <c r="HT144" s="590"/>
    </row>
    <row r="145" spans="1:228">
      <c r="A145" s="649" t="s">
        <v>24</v>
      </c>
      <c r="B145" s="670">
        <v>2059</v>
      </c>
      <c r="C145" s="671"/>
      <c r="D145" s="671"/>
      <c r="E145" s="671"/>
      <c r="F145" s="653"/>
      <c r="G145" s="671"/>
      <c r="H145" s="671"/>
      <c r="I145" s="671"/>
      <c r="J145" s="653"/>
      <c r="K145" s="658"/>
      <c r="L145" s="658"/>
      <c r="M145" s="658"/>
      <c r="N145" s="653"/>
      <c r="O145" s="671"/>
      <c r="P145" s="671"/>
      <c r="Q145" s="671"/>
      <c r="R145" s="653"/>
      <c r="S145" s="564"/>
      <c r="T145" s="564"/>
      <c r="U145" s="564"/>
      <c r="V145" s="590"/>
      <c r="W145" s="564"/>
      <c r="X145" s="564"/>
      <c r="Y145" s="564"/>
      <c r="Z145" s="590"/>
      <c r="AA145" s="606"/>
      <c r="AB145" s="606"/>
      <c r="AC145" s="606"/>
      <c r="AD145" s="606"/>
      <c r="AE145" s="564"/>
      <c r="AF145" s="564"/>
      <c r="AG145" s="564"/>
      <c r="AH145" s="590"/>
      <c r="AI145" s="564"/>
      <c r="AJ145" s="564"/>
      <c r="AK145" s="564"/>
      <c r="AL145" s="590"/>
      <c r="AM145" s="606"/>
      <c r="AN145" s="606"/>
      <c r="AO145" s="606"/>
      <c r="AP145" s="606"/>
      <c r="AQ145" s="564"/>
      <c r="AR145" s="564"/>
      <c r="AS145" s="564"/>
      <c r="AT145" s="590"/>
      <c r="AU145" s="671"/>
      <c r="AV145" s="671"/>
      <c r="AW145" s="671"/>
      <c r="AX145" s="653"/>
      <c r="AY145" s="671"/>
      <c r="AZ145" s="671"/>
      <c r="BA145" s="671"/>
      <c r="BB145" s="653"/>
      <c r="BC145" s="671"/>
      <c r="BD145" s="671"/>
      <c r="BE145" s="671"/>
      <c r="BF145" s="653"/>
      <c r="BG145" s="671"/>
      <c r="BH145" s="671"/>
      <c r="BI145" s="671"/>
      <c r="BJ145" s="653"/>
      <c r="BK145" s="671"/>
      <c r="BL145" s="671"/>
      <c r="BM145" s="671"/>
      <c r="BN145" s="653"/>
      <c r="BO145" s="671"/>
      <c r="BP145" s="671"/>
      <c r="BQ145" s="671"/>
      <c r="BR145" s="653"/>
      <c r="BS145" s="564"/>
      <c r="BT145" s="564"/>
      <c r="BU145" s="564"/>
      <c r="BV145" s="590"/>
      <c r="BW145" s="606"/>
      <c r="BX145" s="606"/>
      <c r="BY145" s="606"/>
      <c r="BZ145" s="606"/>
      <c r="CA145" s="564"/>
      <c r="CB145" s="564"/>
      <c r="CC145" s="564"/>
      <c r="CD145" s="590"/>
      <c r="CE145" s="564"/>
      <c r="CF145" s="564"/>
      <c r="CG145" s="564"/>
      <c r="CH145" s="590"/>
      <c r="CI145" s="606"/>
      <c r="CJ145" s="606"/>
      <c r="CK145" s="606"/>
      <c r="CL145" s="606"/>
      <c r="CM145" s="589">
        <f>+CO144</f>
        <v>846460.38551137643</v>
      </c>
      <c r="CN145" s="564">
        <f>+CM$31</f>
        <v>483691.64886363636</v>
      </c>
      <c r="CO145" s="564">
        <f t="shared" ref="CO145:CO146" si="209">+CM145-CN145</f>
        <v>362768.73664774006</v>
      </c>
      <c r="CP145" s="590">
        <f>+CM$28*CO145+CN145</f>
        <v>525437.08564266679</v>
      </c>
      <c r="CQ145" s="589">
        <f>+CS144</f>
        <v>3531037.9375568246</v>
      </c>
      <c r="CR145" s="564">
        <f>+CQ$31</f>
        <v>2017735.9643181816</v>
      </c>
      <c r="CS145" s="564">
        <f t="shared" ref="CS145:CS146" si="210">+CQ145-CR145</f>
        <v>1513301.973238643</v>
      </c>
      <c r="CT145" s="590">
        <f>+CQ$28*CS145+CR145</f>
        <v>2191878.4564060792</v>
      </c>
      <c r="CU145" s="589">
        <f>+CW144</f>
        <v>1352390.7450000164</v>
      </c>
      <c r="CV145" s="564">
        <f>+CU$31</f>
        <v>676195.37250000006</v>
      </c>
      <c r="CW145" s="564">
        <f t="shared" ref="CW145:CW146" si="211">+CU145-CV145</f>
        <v>676195.37250001635</v>
      </c>
      <c r="CX145" s="590">
        <f>+CU$28*CW145+CV145</f>
        <v>754008.22769204678</v>
      </c>
      <c r="CY145" s="589">
        <f>+DA144</f>
        <v>1834.3096590908954</v>
      </c>
      <c r="CZ145" s="564">
        <f>+CY$31</f>
        <v>733.72386363636497</v>
      </c>
      <c r="DA145" s="564">
        <f t="shared" si="155"/>
        <v>1100.5857954545304</v>
      </c>
      <c r="DB145" s="590">
        <f>+CY$28*DA145+CZ145</f>
        <v>860.37324133249058</v>
      </c>
      <c r="DC145" s="589">
        <f>+DE144</f>
        <v>100194.01363636553</v>
      </c>
      <c r="DD145" s="564">
        <f>+DC$31</f>
        <v>44530.672727272722</v>
      </c>
      <c r="DE145" s="564">
        <f t="shared" si="156"/>
        <v>55663.340909092811</v>
      </c>
      <c r="DF145" s="590">
        <f>+DC$28*DE145+DD145</f>
        <v>50936.10473969701</v>
      </c>
      <c r="DG145" s="589">
        <f>+DI144</f>
        <v>61598.685795453741</v>
      </c>
      <c r="DH145" s="564">
        <f>+DG$31</f>
        <v>24639.474318181816</v>
      </c>
      <c r="DI145" s="564">
        <f t="shared" si="157"/>
        <v>36959.211477271921</v>
      </c>
      <c r="DJ145" s="590">
        <f>+DG$28*DI145+DH145</f>
        <v>28892.537689586537</v>
      </c>
      <c r="DK145" s="589">
        <f>+DM144</f>
        <v>1190927.419204555</v>
      </c>
      <c r="DL145" s="564">
        <f>+DK$31</f>
        <v>549658.80886363634</v>
      </c>
      <c r="DM145" s="564">
        <f t="shared" si="158"/>
        <v>641268.61034091865</v>
      </c>
      <c r="DN145" s="590">
        <f>+DK$28*DM145+DL145</f>
        <v>623452.48380580219</v>
      </c>
      <c r="DO145" s="589">
        <f>+DQ144</f>
        <v>62043.562234848272</v>
      </c>
      <c r="DP145" s="564">
        <f>+DO$31</f>
        <v>19592.703863636354</v>
      </c>
      <c r="DQ145" s="564">
        <f t="shared" si="134"/>
        <v>42450.858371211914</v>
      </c>
      <c r="DR145" s="590">
        <f>+DO$28*DQ145+DP145</f>
        <v>24477.715843243059</v>
      </c>
      <c r="DS145" s="589">
        <f>+DU144</f>
        <v>29035.134545454661</v>
      </c>
      <c r="DT145" s="564">
        <f>+DS$31</f>
        <v>8295.7527272726966</v>
      </c>
      <c r="DU145" s="564">
        <f t="shared" si="159"/>
        <v>20739.381818181966</v>
      </c>
      <c r="DV145" s="590">
        <f>+DS$28*DU145+DT145</f>
        <v>10682.327051530914</v>
      </c>
      <c r="DW145" s="589">
        <f>+DY144</f>
        <v>3970.7310795454105</v>
      </c>
      <c r="DX145" s="564">
        <f>+DW$31</f>
        <v>1221.7634090909089</v>
      </c>
      <c r="DY145" s="564">
        <f t="shared" si="160"/>
        <v>2748.9676704545018</v>
      </c>
      <c r="DZ145" s="590">
        <f>+DW$28*DY145+DX145</f>
        <v>1538.0995331874828</v>
      </c>
      <c r="EA145" s="589">
        <f>+EC144</f>
        <v>-27887.847897727563</v>
      </c>
      <c r="EB145" s="564">
        <f>+EA$31</f>
        <v>-7120.3015909091364</v>
      </c>
      <c r="EC145" s="564">
        <f t="shared" si="161"/>
        <v>-20767.546306818425</v>
      </c>
      <c r="ED145" s="590">
        <f>+EA$28*EC145+EB145</f>
        <v>-9510.1169300647562</v>
      </c>
      <c r="EE145" s="589">
        <f>+EG144</f>
        <v>1040589.0181818133</v>
      </c>
      <c r="EF145" s="564">
        <f>+EE$31</f>
        <v>192108.74181818182</v>
      </c>
      <c r="EG145" s="564">
        <f t="shared" si="162"/>
        <v>848480.27636363148</v>
      </c>
      <c r="EH145" s="590">
        <f>+EE$28*EG145+EF145</f>
        <v>289747.19893138763</v>
      </c>
      <c r="EI145" s="589">
        <f>+EK144</f>
        <v>44741.105871211876</v>
      </c>
      <c r="EJ145" s="564">
        <f>+EI$31</f>
        <v>7669.903863636363</v>
      </c>
      <c r="EK145" s="564">
        <f t="shared" si="163"/>
        <v>37071.202007575514</v>
      </c>
      <c r="EL145" s="590">
        <f>+EI$28*EK145+EJ145</f>
        <v>11935.85449110907</v>
      </c>
      <c r="EM145" s="589">
        <f>+EO144</f>
        <v>1563645.2590909165</v>
      </c>
      <c r="EN145" s="564">
        <f>+EM$31</f>
        <v>260607.54318181818</v>
      </c>
      <c r="EO145" s="564">
        <f t="shared" si="164"/>
        <v>1303037.7159090983</v>
      </c>
      <c r="EP145" s="590">
        <f>+EM$28*EO145+EN145</f>
        <v>410553.97763158591</v>
      </c>
      <c r="EQ145" s="678">
        <f t="shared" si="165"/>
        <v>4914890.3257691888</v>
      </c>
      <c r="ER145" s="652"/>
      <c r="ES145" s="674">
        <f>+EQ145</f>
        <v>4914890.3257691888</v>
      </c>
      <c r="EV145" s="589"/>
      <c r="EW145" s="564"/>
      <c r="EX145" s="564"/>
      <c r="EY145" s="590"/>
      <c r="EZ145" s="589"/>
      <c r="FA145" s="564"/>
      <c r="FB145" s="564"/>
      <c r="FC145" s="590"/>
      <c r="FD145" s="589"/>
      <c r="FE145" s="564"/>
      <c r="FF145" s="564"/>
      <c r="FG145" s="590"/>
      <c r="FH145" s="589"/>
      <c r="FI145" s="564"/>
      <c r="FJ145" s="564"/>
      <c r="FK145" s="590"/>
      <c r="FL145" s="589"/>
      <c r="FM145" s="564"/>
      <c r="FN145" s="564"/>
      <c r="FO145" s="590"/>
      <c r="FP145" s="589"/>
      <c r="FQ145" s="564"/>
      <c r="FR145" s="564"/>
      <c r="FS145" s="590"/>
      <c r="FT145" s="589"/>
      <c r="FU145" s="564"/>
      <c r="FV145" s="564"/>
      <c r="FW145" s="590"/>
      <c r="FX145" s="589"/>
      <c r="FY145" s="564"/>
      <c r="FZ145" s="564"/>
      <c r="GA145" s="590"/>
      <c r="GB145" s="589"/>
      <c r="GC145" s="564"/>
      <c r="GD145" s="564"/>
      <c r="GE145" s="590"/>
      <c r="GF145" s="589"/>
      <c r="GG145" s="564"/>
      <c r="GH145" s="564"/>
      <c r="GI145" s="590"/>
      <c r="GJ145" s="589"/>
      <c r="GK145" s="564"/>
      <c r="GL145" s="564"/>
      <c r="GM145" s="590"/>
      <c r="GN145" s="589"/>
      <c r="GO145" s="564"/>
      <c r="GP145" s="564"/>
      <c r="GQ145" s="590"/>
      <c r="GR145" s="589"/>
      <c r="GS145" s="564"/>
      <c r="GT145" s="564"/>
      <c r="GU145" s="590"/>
      <c r="GV145" s="672"/>
      <c r="GW145" s="676"/>
      <c r="GX145" s="676"/>
      <c r="GY145" s="1366"/>
      <c r="GZ145" s="1367"/>
      <c r="HA145" s="1373"/>
      <c r="HB145" s="1373"/>
      <c r="HC145" s="1366"/>
      <c r="HD145" s="1367"/>
      <c r="HE145" s="1373"/>
      <c r="HF145" s="1373"/>
      <c r="HG145" s="1366"/>
      <c r="HI145" s="589"/>
      <c r="HJ145" s="564"/>
      <c r="HK145" s="564"/>
      <c r="HL145" s="590"/>
      <c r="HM145" s="589"/>
      <c r="HN145" s="564"/>
      <c r="HO145" s="564"/>
      <c r="HP145" s="590"/>
      <c r="HQ145" s="589"/>
      <c r="HR145" s="564"/>
      <c r="HS145" s="564"/>
      <c r="HT145" s="590"/>
    </row>
    <row r="146" spans="1:228">
      <c r="A146" s="649" t="s">
        <v>23</v>
      </c>
      <c r="B146" s="670">
        <v>2059</v>
      </c>
      <c r="C146" s="671"/>
      <c r="D146" s="671"/>
      <c r="E146" s="671"/>
      <c r="F146" s="653"/>
      <c r="G146" s="671"/>
      <c r="H146" s="671"/>
      <c r="I146" s="671"/>
      <c r="J146" s="653"/>
      <c r="K146" s="658"/>
      <c r="L146" s="658"/>
      <c r="M146" s="658"/>
      <c r="N146" s="653"/>
      <c r="O146" s="671"/>
      <c r="P146" s="671"/>
      <c r="Q146" s="671"/>
      <c r="R146" s="653"/>
      <c r="S146" s="564"/>
      <c r="T146" s="564"/>
      <c r="U146" s="564"/>
      <c r="V146" s="590"/>
      <c r="W146" s="564"/>
      <c r="X146" s="564"/>
      <c r="Y146" s="564"/>
      <c r="Z146" s="590"/>
      <c r="AA146" s="606"/>
      <c r="AB146" s="606"/>
      <c r="AC146" s="606"/>
      <c r="AD146" s="606"/>
      <c r="AE146" s="564"/>
      <c r="AF146" s="564"/>
      <c r="AG146" s="564"/>
      <c r="AH146" s="590"/>
      <c r="AI146" s="564"/>
      <c r="AJ146" s="564"/>
      <c r="AK146" s="564"/>
      <c r="AL146" s="590"/>
      <c r="AM146" s="606"/>
      <c r="AN146" s="606"/>
      <c r="AO146" s="606"/>
      <c r="AP146" s="606"/>
      <c r="AQ146" s="564"/>
      <c r="AR146" s="564"/>
      <c r="AS146" s="564"/>
      <c r="AT146" s="590"/>
      <c r="AU146" s="671"/>
      <c r="AV146" s="671"/>
      <c r="AW146" s="671"/>
      <c r="AX146" s="653"/>
      <c r="AY146" s="671"/>
      <c r="AZ146" s="671"/>
      <c r="BA146" s="671"/>
      <c r="BB146" s="653"/>
      <c r="BC146" s="671"/>
      <c r="BD146" s="671"/>
      <c r="BE146" s="671"/>
      <c r="BF146" s="653"/>
      <c r="BG146" s="671"/>
      <c r="BH146" s="671"/>
      <c r="BI146" s="671"/>
      <c r="BJ146" s="653"/>
      <c r="BK146" s="671"/>
      <c r="BL146" s="671"/>
      <c r="BM146" s="671"/>
      <c r="BN146" s="653"/>
      <c r="BO146" s="671"/>
      <c r="BP146" s="671"/>
      <c r="BQ146" s="671"/>
      <c r="BR146" s="653"/>
      <c r="BS146" s="564"/>
      <c r="BT146" s="564"/>
      <c r="BU146" s="564"/>
      <c r="BV146" s="590"/>
      <c r="BW146" s="606"/>
      <c r="BX146" s="606"/>
      <c r="BY146" s="606"/>
      <c r="BZ146" s="606"/>
      <c r="CA146" s="564"/>
      <c r="CB146" s="564"/>
      <c r="CC146" s="564"/>
      <c r="CD146" s="590"/>
      <c r="CE146" s="564"/>
      <c r="CF146" s="564"/>
      <c r="CG146" s="564"/>
      <c r="CH146" s="590"/>
      <c r="CI146" s="606"/>
      <c r="CJ146" s="606"/>
      <c r="CK146" s="606"/>
      <c r="CL146" s="606"/>
      <c r="CM146" s="589">
        <f>+CM145</f>
        <v>846460.38551137643</v>
      </c>
      <c r="CN146" s="564">
        <f>+CN145</f>
        <v>483691.64886363636</v>
      </c>
      <c r="CO146" s="564">
        <f t="shared" si="209"/>
        <v>362768.73664774006</v>
      </c>
      <c r="CP146" s="590">
        <f>+CM$29*CO146+CN146</f>
        <v>525437.08564266679</v>
      </c>
      <c r="CQ146" s="589">
        <f>+CQ145</f>
        <v>3531037.9375568246</v>
      </c>
      <c r="CR146" s="564">
        <f>+CR145</f>
        <v>2017735.9643181816</v>
      </c>
      <c r="CS146" s="564">
        <f t="shared" si="210"/>
        <v>1513301.973238643</v>
      </c>
      <c r="CT146" s="590">
        <f>+CQ$29*CS146+CR146</f>
        <v>2191878.4564060792</v>
      </c>
      <c r="CU146" s="589">
        <f>+CU145</f>
        <v>1352390.7450000164</v>
      </c>
      <c r="CV146" s="564">
        <f>+CV145</f>
        <v>676195.37250000006</v>
      </c>
      <c r="CW146" s="564">
        <f t="shared" si="211"/>
        <v>676195.37250001635</v>
      </c>
      <c r="CX146" s="590">
        <f>+CU$29*CW146+CV146</f>
        <v>754008.22769204678</v>
      </c>
      <c r="CY146" s="589">
        <f>+CY145</f>
        <v>1834.3096590908954</v>
      </c>
      <c r="CZ146" s="564">
        <f>+CZ145</f>
        <v>733.72386363636497</v>
      </c>
      <c r="DA146" s="564">
        <f t="shared" si="155"/>
        <v>1100.5857954545304</v>
      </c>
      <c r="DB146" s="590">
        <f>+CY$29*DA146+CZ146</f>
        <v>860.37324133249058</v>
      </c>
      <c r="DC146" s="589">
        <f>+DC145</f>
        <v>100194.01363636553</v>
      </c>
      <c r="DD146" s="564">
        <f>+DD145</f>
        <v>44530.672727272722</v>
      </c>
      <c r="DE146" s="564">
        <f t="shared" si="156"/>
        <v>55663.340909092811</v>
      </c>
      <c r="DF146" s="590">
        <f>+DC$29*DE146+DD146</f>
        <v>50936.10473969701</v>
      </c>
      <c r="DG146" s="589">
        <f>+DG145</f>
        <v>61598.685795453741</v>
      </c>
      <c r="DH146" s="564">
        <f>+DH145</f>
        <v>24639.474318181816</v>
      </c>
      <c r="DI146" s="564">
        <f t="shared" si="157"/>
        <v>36959.211477271921</v>
      </c>
      <c r="DJ146" s="590">
        <f>+DG$29*DI146+DH146</f>
        <v>28892.537689586537</v>
      </c>
      <c r="DK146" s="589">
        <f>+DK145</f>
        <v>1190927.419204555</v>
      </c>
      <c r="DL146" s="564">
        <f>+DL145</f>
        <v>549658.80886363634</v>
      </c>
      <c r="DM146" s="564">
        <f t="shared" si="158"/>
        <v>641268.61034091865</v>
      </c>
      <c r="DN146" s="590">
        <f>+DK$29*DM146+DL146</f>
        <v>623452.48380580219</v>
      </c>
      <c r="DO146" s="589">
        <f>+DO145</f>
        <v>62043.562234848272</v>
      </c>
      <c r="DP146" s="564">
        <f>+DP145</f>
        <v>19592.703863636354</v>
      </c>
      <c r="DQ146" s="564">
        <f t="shared" si="134"/>
        <v>42450.858371211914</v>
      </c>
      <c r="DR146" s="590">
        <f>+DO$29*DQ146+DP146</f>
        <v>24477.715843243059</v>
      </c>
      <c r="DS146" s="589">
        <f>+DS145</f>
        <v>29035.134545454661</v>
      </c>
      <c r="DT146" s="564">
        <f>+DT145</f>
        <v>8295.7527272726966</v>
      </c>
      <c r="DU146" s="564">
        <f t="shared" si="159"/>
        <v>20739.381818181966</v>
      </c>
      <c r="DV146" s="590">
        <f>+DS$29*DU146+DT146</f>
        <v>10682.327051530914</v>
      </c>
      <c r="DW146" s="589">
        <f>+DW145</f>
        <v>3970.7310795454105</v>
      </c>
      <c r="DX146" s="564">
        <f>+DX145</f>
        <v>1221.7634090909089</v>
      </c>
      <c r="DY146" s="564">
        <f t="shared" si="160"/>
        <v>2748.9676704545018</v>
      </c>
      <c r="DZ146" s="590">
        <f>+DW$29*DY146+DX146</f>
        <v>1538.0995331874828</v>
      </c>
      <c r="EA146" s="589">
        <f>+EA145</f>
        <v>-27887.847897727563</v>
      </c>
      <c r="EB146" s="564">
        <f>+EB145</f>
        <v>-7120.3015909091364</v>
      </c>
      <c r="EC146" s="564">
        <f t="shared" si="161"/>
        <v>-20767.546306818425</v>
      </c>
      <c r="ED146" s="590">
        <f>+EA$29*EC146+EB146</f>
        <v>-9510.1169300647562</v>
      </c>
      <c r="EE146" s="589">
        <f>+EE145</f>
        <v>1040589.0181818133</v>
      </c>
      <c r="EF146" s="564">
        <f>+EF145</f>
        <v>192108.74181818182</v>
      </c>
      <c r="EG146" s="564">
        <f t="shared" si="162"/>
        <v>848480.27636363148</v>
      </c>
      <c r="EH146" s="590">
        <f>+EE$29*EG146+EF146</f>
        <v>289747.19893138763</v>
      </c>
      <c r="EI146" s="589">
        <f>+EI145</f>
        <v>44741.105871211876</v>
      </c>
      <c r="EJ146" s="564">
        <f>+EJ145</f>
        <v>7669.903863636363</v>
      </c>
      <c r="EK146" s="564">
        <f t="shared" si="163"/>
        <v>37071.202007575514</v>
      </c>
      <c r="EL146" s="590">
        <f>+EI$29*EK146+EJ146</f>
        <v>11935.85449110907</v>
      </c>
      <c r="EM146" s="589">
        <f>+EM145</f>
        <v>1563645.2590909165</v>
      </c>
      <c r="EN146" s="564">
        <f>+EN145</f>
        <v>260607.54318181818</v>
      </c>
      <c r="EO146" s="564">
        <f t="shared" si="164"/>
        <v>1303037.7159090983</v>
      </c>
      <c r="EP146" s="590">
        <f>+EM$29*EO146+EN146</f>
        <v>410553.97763158591</v>
      </c>
      <c r="EQ146" s="678">
        <f t="shared" si="165"/>
        <v>4914890.3257691888</v>
      </c>
      <c r="ER146" s="675">
        <f>+EQ146</f>
        <v>4914890.3257691888</v>
      </c>
      <c r="ES146" s="648"/>
      <c r="EV146" s="589"/>
      <c r="EW146" s="564"/>
      <c r="EX146" s="564"/>
      <c r="EY146" s="590"/>
      <c r="EZ146" s="589"/>
      <c r="FA146" s="564"/>
      <c r="FB146" s="564"/>
      <c r="FC146" s="590"/>
      <c r="FD146" s="589"/>
      <c r="FE146" s="564"/>
      <c r="FF146" s="564"/>
      <c r="FG146" s="590"/>
      <c r="FH146" s="589"/>
      <c r="FI146" s="564"/>
      <c r="FJ146" s="564"/>
      <c r="FK146" s="590"/>
      <c r="FL146" s="589"/>
      <c r="FM146" s="564"/>
      <c r="FN146" s="564"/>
      <c r="FO146" s="590"/>
      <c r="FP146" s="589"/>
      <c r="FQ146" s="564"/>
      <c r="FR146" s="564"/>
      <c r="FS146" s="590"/>
      <c r="FT146" s="589"/>
      <c r="FU146" s="564"/>
      <c r="FV146" s="564"/>
      <c r="FW146" s="590"/>
      <c r="FX146" s="589"/>
      <c r="FY146" s="564"/>
      <c r="FZ146" s="564"/>
      <c r="GA146" s="590"/>
      <c r="GB146" s="589"/>
      <c r="GC146" s="564"/>
      <c r="GD146" s="564"/>
      <c r="GE146" s="590"/>
      <c r="GF146" s="589"/>
      <c r="GG146" s="564"/>
      <c r="GH146" s="564"/>
      <c r="GI146" s="590"/>
      <c r="GJ146" s="589"/>
      <c r="GK146" s="564"/>
      <c r="GL146" s="564"/>
      <c r="GM146" s="590"/>
      <c r="GN146" s="589"/>
      <c r="GO146" s="564"/>
      <c r="GP146" s="564"/>
      <c r="GQ146" s="590"/>
      <c r="GR146" s="589"/>
      <c r="GS146" s="564"/>
      <c r="GT146" s="564"/>
      <c r="GU146" s="590"/>
      <c r="GV146" s="672"/>
      <c r="GW146" s="676"/>
      <c r="GX146" s="676"/>
      <c r="GY146" s="1366"/>
      <c r="GZ146" s="1367"/>
      <c r="HA146" s="1373"/>
      <c r="HB146" s="1373"/>
      <c r="HC146" s="1366"/>
      <c r="HD146" s="1367"/>
      <c r="HE146" s="1373"/>
      <c r="HF146" s="1373"/>
      <c r="HG146" s="1366"/>
      <c r="HI146" s="589"/>
      <c r="HJ146" s="564"/>
      <c r="HK146" s="564"/>
      <c r="HL146" s="590"/>
      <c r="HM146" s="589"/>
      <c r="HN146" s="564"/>
      <c r="HO146" s="564"/>
      <c r="HP146" s="590"/>
      <c r="HQ146" s="589"/>
      <c r="HR146" s="564"/>
      <c r="HS146" s="564"/>
      <c r="HT146" s="590"/>
    </row>
    <row r="147" spans="1:228">
      <c r="A147" s="649" t="s">
        <v>24</v>
      </c>
      <c r="B147" s="670">
        <v>2060</v>
      </c>
      <c r="C147" s="671"/>
      <c r="D147" s="671"/>
      <c r="E147" s="671"/>
      <c r="F147" s="653"/>
      <c r="G147" s="671"/>
      <c r="H147" s="671"/>
      <c r="I147" s="671"/>
      <c r="J147" s="653"/>
      <c r="K147" s="658"/>
      <c r="L147" s="658"/>
      <c r="M147" s="658"/>
      <c r="N147" s="653"/>
      <c r="O147" s="671"/>
      <c r="P147" s="671"/>
      <c r="Q147" s="671"/>
      <c r="R147" s="653"/>
      <c r="S147" s="564"/>
      <c r="T147" s="564"/>
      <c r="U147" s="564"/>
      <c r="V147" s="590"/>
      <c r="W147" s="564"/>
      <c r="X147" s="564"/>
      <c r="Y147" s="564"/>
      <c r="Z147" s="590"/>
      <c r="AA147" s="606"/>
      <c r="AB147" s="606"/>
      <c r="AC147" s="606"/>
      <c r="AD147" s="606"/>
      <c r="AE147" s="564"/>
      <c r="AF147" s="564"/>
      <c r="AG147" s="564"/>
      <c r="AH147" s="590"/>
      <c r="AI147" s="564"/>
      <c r="AJ147" s="564"/>
      <c r="AK147" s="564"/>
      <c r="AL147" s="590"/>
      <c r="AM147" s="606"/>
      <c r="AN147" s="606"/>
      <c r="AO147" s="606"/>
      <c r="AP147" s="606"/>
      <c r="AQ147" s="564"/>
      <c r="AR147" s="564"/>
      <c r="AS147" s="564"/>
      <c r="AT147" s="590"/>
      <c r="AU147" s="671"/>
      <c r="AV147" s="671"/>
      <c r="AW147" s="671"/>
      <c r="AX147" s="653"/>
      <c r="AY147" s="671"/>
      <c r="AZ147" s="671"/>
      <c r="BA147" s="671"/>
      <c r="BB147" s="653"/>
      <c r="BC147" s="671"/>
      <c r="BD147" s="671"/>
      <c r="BE147" s="671"/>
      <c r="BF147" s="653"/>
      <c r="BG147" s="671"/>
      <c r="BH147" s="671"/>
      <c r="BI147" s="671"/>
      <c r="BJ147" s="653"/>
      <c r="BK147" s="671"/>
      <c r="BL147" s="671"/>
      <c r="BM147" s="671"/>
      <c r="BN147" s="653"/>
      <c r="BO147" s="671"/>
      <c r="BP147" s="671"/>
      <c r="BQ147" s="671"/>
      <c r="BR147" s="653"/>
      <c r="BS147" s="564"/>
      <c r="BT147" s="564"/>
      <c r="BU147" s="564"/>
      <c r="BV147" s="590"/>
      <c r="BW147" s="606"/>
      <c r="BX147" s="606"/>
      <c r="BY147" s="606"/>
      <c r="BZ147" s="606"/>
      <c r="CA147" s="564"/>
      <c r="CB147" s="564"/>
      <c r="CC147" s="564"/>
      <c r="CD147" s="590"/>
      <c r="CE147" s="564"/>
      <c r="CF147" s="564"/>
      <c r="CG147" s="564"/>
      <c r="CH147" s="590"/>
      <c r="CI147" s="606"/>
      <c r="CJ147" s="606"/>
      <c r="CK147" s="606"/>
      <c r="CL147" s="606"/>
      <c r="CM147" s="589">
        <f>+CO146</f>
        <v>362768.73664774006</v>
      </c>
      <c r="CN147" s="564">
        <f>+CM$31/12*CM32</f>
        <v>362768.73664772726</v>
      </c>
      <c r="CO147" s="564">
        <f t="shared" ref="CO147:CO148" si="212">+CM147-CN147</f>
        <v>1.280568540096283E-8</v>
      </c>
      <c r="CP147" s="590">
        <f>+CM$28*CO147+CN147</f>
        <v>362768.73664772871</v>
      </c>
      <c r="CQ147" s="589">
        <f>+CS146</f>
        <v>1513301.973238643</v>
      </c>
      <c r="CR147" s="564">
        <f>+CQ$31/12*CQ32</f>
        <v>1513301.973238636</v>
      </c>
      <c r="CS147" s="564">
        <f t="shared" ref="CS147:CS148" si="213">+CQ147-CR147</f>
        <v>6.9849193096160889E-9</v>
      </c>
      <c r="CT147" s="590">
        <f>+CQ$28*CS147+CR147</f>
        <v>1513301.9732386367</v>
      </c>
      <c r="CU147" s="589">
        <f>+CW146</f>
        <v>676195.37250001635</v>
      </c>
      <c r="CV147" s="564">
        <f>+CU$31/12*CU32</f>
        <v>676195.37250000006</v>
      </c>
      <c r="CW147" s="564">
        <f t="shared" ref="CW147:CW148" si="214">+CU147-CV147</f>
        <v>1.6298145055770874E-8</v>
      </c>
      <c r="CX147" s="590">
        <f>+CU$28*CW147+CV147</f>
        <v>676195.37250000192</v>
      </c>
      <c r="CY147" s="589">
        <f>+DA146</f>
        <v>1100.5857954545304</v>
      </c>
      <c r="CZ147" s="564">
        <f>+CY$31</f>
        <v>733.72386363636497</v>
      </c>
      <c r="DA147" s="564">
        <f t="shared" si="155"/>
        <v>366.86193181816543</v>
      </c>
      <c r="DB147" s="590">
        <f>+CY$28*DA147+CZ147</f>
        <v>775.94032286840559</v>
      </c>
      <c r="DC147" s="589">
        <f>+DE146</f>
        <v>55663.340909092811</v>
      </c>
      <c r="DD147" s="564">
        <f>+DC$31</f>
        <v>44530.672727272722</v>
      </c>
      <c r="DE147" s="564">
        <f t="shared" si="156"/>
        <v>11132.668181820089</v>
      </c>
      <c r="DF147" s="590">
        <f>+DC$28*DE147+DD147</f>
        <v>45811.759129757753</v>
      </c>
      <c r="DG147" s="589">
        <f>+DI146</f>
        <v>36959.211477271921</v>
      </c>
      <c r="DH147" s="564">
        <f>+DG$31</f>
        <v>24639.474318181816</v>
      </c>
      <c r="DI147" s="564">
        <f t="shared" si="157"/>
        <v>12319.737159090106</v>
      </c>
      <c r="DJ147" s="590">
        <f>+DG$28*DI147+DH147</f>
        <v>26057.162108649994</v>
      </c>
      <c r="DK147" s="589">
        <f>+DM146</f>
        <v>641268.61034091865</v>
      </c>
      <c r="DL147" s="564">
        <f>+DK$31</f>
        <v>549658.80886363634</v>
      </c>
      <c r="DM147" s="564">
        <f t="shared" si="158"/>
        <v>91609.801477282308</v>
      </c>
      <c r="DN147" s="590">
        <f>+DK$28*DM147+DL147</f>
        <v>560200.76242680382</v>
      </c>
      <c r="DO147" s="589">
        <f>+DQ146</f>
        <v>42450.858371211914</v>
      </c>
      <c r="DP147" s="564">
        <f>+DO$31</f>
        <v>19592.703863636354</v>
      </c>
      <c r="DQ147" s="564">
        <f t="shared" si="134"/>
        <v>22858.15450757556</v>
      </c>
      <c r="DR147" s="590">
        <f>+DO$28*DQ147+DP147</f>
        <v>22223.094929578416</v>
      </c>
      <c r="DS147" s="589">
        <f>+DU146</f>
        <v>20739.381818181966</v>
      </c>
      <c r="DT147" s="564">
        <f>+DS$31</f>
        <v>8295.7527272726966</v>
      </c>
      <c r="DU147" s="564">
        <f t="shared" si="159"/>
        <v>12443.62909090927</v>
      </c>
      <c r="DV147" s="590">
        <f>+DS$28*DU147+DT147</f>
        <v>9727.697321827638</v>
      </c>
      <c r="DW147" s="589">
        <f>+DY146</f>
        <v>2748.9676704545018</v>
      </c>
      <c r="DX147" s="564">
        <f>+DW$31</f>
        <v>1221.7634090909089</v>
      </c>
      <c r="DY147" s="564">
        <f t="shared" si="160"/>
        <v>1527.2042613635929</v>
      </c>
      <c r="DZ147" s="590">
        <f>+DW$28*DY147+DX147</f>
        <v>1397.50570025567</v>
      </c>
      <c r="EA147" s="589">
        <f>+EC146</f>
        <v>-20767.546306818425</v>
      </c>
      <c r="EB147" s="564">
        <f>+EA$31</f>
        <v>-7120.3015909091364</v>
      </c>
      <c r="EC147" s="564">
        <f t="shared" si="161"/>
        <v>-13647.244715909288</v>
      </c>
      <c r="ED147" s="590">
        <f>+EA$28*EC147+EB147</f>
        <v>-8690.7516709256906</v>
      </c>
      <c r="EE147" s="589">
        <f>+EG146</f>
        <v>848480.27636363148</v>
      </c>
      <c r="EF147" s="564">
        <f>+EE$31</f>
        <v>192108.74181818182</v>
      </c>
      <c r="EG147" s="564">
        <f t="shared" si="162"/>
        <v>656371.53454544966</v>
      </c>
      <c r="EH147" s="590">
        <f>+EE$28*EG147+EF147</f>
        <v>267640.37845292577</v>
      </c>
      <c r="EI147" s="589">
        <f>+EK146</f>
        <v>37071.202007575514</v>
      </c>
      <c r="EJ147" s="564">
        <f>+EI$31</f>
        <v>7669.903863636363</v>
      </c>
      <c r="EK147" s="564">
        <f t="shared" si="163"/>
        <v>29401.298143939151</v>
      </c>
      <c r="EL147" s="590">
        <f>+EI$28*EK147+EJ147</f>
        <v>11053.244016459539</v>
      </c>
      <c r="EM147" s="589">
        <f>+EO146</f>
        <v>1303037.7159090983</v>
      </c>
      <c r="EN147" s="564">
        <f>+EM$31</f>
        <v>260607.54318181818</v>
      </c>
      <c r="EO147" s="564">
        <f t="shared" si="164"/>
        <v>1042430.1727272801</v>
      </c>
      <c r="EP147" s="590">
        <f>+EM$28*EO147+EN147</f>
        <v>380564.69074163254</v>
      </c>
      <c r="EQ147" s="678">
        <f t="shared" si="165"/>
        <v>3869027.5658662012</v>
      </c>
      <c r="ER147" s="652"/>
      <c r="ES147" s="674">
        <f>+EQ147</f>
        <v>3869027.5658662012</v>
      </c>
      <c r="EV147" s="589"/>
      <c r="EW147" s="564"/>
      <c r="EX147" s="564"/>
      <c r="EY147" s="590"/>
      <c r="EZ147" s="589"/>
      <c r="FA147" s="564"/>
      <c r="FB147" s="564"/>
      <c r="FC147" s="590"/>
      <c r="FD147" s="589"/>
      <c r="FE147" s="564"/>
      <c r="FF147" s="564"/>
      <c r="FG147" s="590"/>
      <c r="FH147" s="589"/>
      <c r="FI147" s="564"/>
      <c r="FJ147" s="564"/>
      <c r="FK147" s="590"/>
      <c r="FL147" s="589"/>
      <c r="FM147" s="564"/>
      <c r="FN147" s="564"/>
      <c r="FO147" s="590"/>
      <c r="FP147" s="589"/>
      <c r="FQ147" s="564"/>
      <c r="FR147" s="564"/>
      <c r="FS147" s="590"/>
      <c r="FT147" s="589"/>
      <c r="FU147" s="564"/>
      <c r="FV147" s="564"/>
      <c r="FW147" s="590"/>
      <c r="FX147" s="589"/>
      <c r="FY147" s="564"/>
      <c r="FZ147" s="564"/>
      <c r="GA147" s="590"/>
      <c r="GB147" s="589"/>
      <c r="GC147" s="564"/>
      <c r="GD147" s="564"/>
      <c r="GE147" s="590"/>
      <c r="GF147" s="589"/>
      <c r="GG147" s="564"/>
      <c r="GH147" s="564"/>
      <c r="GI147" s="590"/>
      <c r="GJ147" s="589"/>
      <c r="GK147" s="564"/>
      <c r="GL147" s="564"/>
      <c r="GM147" s="590"/>
      <c r="GN147" s="589"/>
      <c r="GO147" s="564"/>
      <c r="GP147" s="564"/>
      <c r="GQ147" s="590"/>
      <c r="GR147" s="589"/>
      <c r="GS147" s="564"/>
      <c r="GT147" s="564"/>
      <c r="GU147" s="590"/>
      <c r="GV147" s="672"/>
      <c r="GW147" s="676"/>
      <c r="GX147" s="676"/>
      <c r="GY147" s="1366"/>
      <c r="GZ147" s="1367"/>
      <c r="HA147" s="1373"/>
      <c r="HB147" s="1373"/>
      <c r="HC147" s="1366"/>
      <c r="HD147" s="1367"/>
      <c r="HE147" s="1373"/>
      <c r="HF147" s="1373"/>
      <c r="HG147" s="1366"/>
      <c r="HI147" s="589"/>
      <c r="HJ147" s="564"/>
      <c r="HK147" s="564"/>
      <c r="HL147" s="590"/>
      <c r="HM147" s="589"/>
      <c r="HN147" s="564"/>
      <c r="HO147" s="564"/>
      <c r="HP147" s="590"/>
      <c r="HQ147" s="589"/>
      <c r="HR147" s="564"/>
      <c r="HS147" s="564"/>
      <c r="HT147" s="590"/>
    </row>
    <row r="148" spans="1:228">
      <c r="A148" s="649" t="s">
        <v>23</v>
      </c>
      <c r="B148" s="670">
        <v>2060</v>
      </c>
      <c r="C148" s="671"/>
      <c r="D148" s="671"/>
      <c r="E148" s="671"/>
      <c r="F148" s="653"/>
      <c r="G148" s="671"/>
      <c r="H148" s="671"/>
      <c r="I148" s="671"/>
      <c r="J148" s="653"/>
      <c r="K148" s="658"/>
      <c r="L148" s="658"/>
      <c r="M148" s="658"/>
      <c r="N148" s="653"/>
      <c r="O148" s="671"/>
      <c r="P148" s="671"/>
      <c r="Q148" s="671"/>
      <c r="R148" s="653"/>
      <c r="S148" s="564"/>
      <c r="T148" s="564"/>
      <c r="U148" s="564"/>
      <c r="V148" s="590"/>
      <c r="W148" s="564"/>
      <c r="X148" s="564"/>
      <c r="Y148" s="564"/>
      <c r="Z148" s="590"/>
      <c r="AA148" s="606"/>
      <c r="AB148" s="606"/>
      <c r="AC148" s="606"/>
      <c r="AD148" s="606"/>
      <c r="AE148" s="564"/>
      <c r="AF148" s="564"/>
      <c r="AG148" s="564"/>
      <c r="AH148" s="590"/>
      <c r="AI148" s="564"/>
      <c r="AJ148" s="564"/>
      <c r="AK148" s="564"/>
      <c r="AL148" s="590"/>
      <c r="AM148" s="606"/>
      <c r="AN148" s="606"/>
      <c r="AO148" s="606"/>
      <c r="AP148" s="606"/>
      <c r="AQ148" s="564"/>
      <c r="AR148" s="564"/>
      <c r="AS148" s="564"/>
      <c r="AT148" s="590"/>
      <c r="AU148" s="671"/>
      <c r="AV148" s="671"/>
      <c r="AW148" s="671"/>
      <c r="AX148" s="653"/>
      <c r="AY148" s="671"/>
      <c r="AZ148" s="671"/>
      <c r="BA148" s="671"/>
      <c r="BB148" s="653"/>
      <c r="BC148" s="671"/>
      <c r="BD148" s="671"/>
      <c r="BE148" s="671"/>
      <c r="BF148" s="653"/>
      <c r="BG148" s="671"/>
      <c r="BH148" s="671"/>
      <c r="BI148" s="671"/>
      <c r="BJ148" s="653"/>
      <c r="BK148" s="671"/>
      <c r="BL148" s="671"/>
      <c r="BM148" s="671"/>
      <c r="BN148" s="653"/>
      <c r="BO148" s="671"/>
      <c r="BP148" s="671"/>
      <c r="BQ148" s="671"/>
      <c r="BR148" s="653"/>
      <c r="BS148" s="564"/>
      <c r="BT148" s="564"/>
      <c r="BU148" s="564"/>
      <c r="BV148" s="590"/>
      <c r="BW148" s="606"/>
      <c r="BX148" s="606"/>
      <c r="BY148" s="606"/>
      <c r="BZ148" s="606"/>
      <c r="CA148" s="564"/>
      <c r="CB148" s="564"/>
      <c r="CC148" s="564"/>
      <c r="CD148" s="590"/>
      <c r="CE148" s="564"/>
      <c r="CF148" s="564"/>
      <c r="CG148" s="564"/>
      <c r="CH148" s="590"/>
      <c r="CI148" s="606"/>
      <c r="CJ148" s="606"/>
      <c r="CK148" s="606"/>
      <c r="CL148" s="606"/>
      <c r="CM148" s="589">
        <f>+CM147</f>
        <v>362768.73664774006</v>
      </c>
      <c r="CN148" s="564">
        <f>+CN147</f>
        <v>362768.73664772726</v>
      </c>
      <c r="CO148" s="564">
        <f t="shared" si="212"/>
        <v>1.280568540096283E-8</v>
      </c>
      <c r="CP148" s="590">
        <f>+CM$29*CO148+CN148</f>
        <v>362768.73664772871</v>
      </c>
      <c r="CQ148" s="606">
        <f>+CQ147</f>
        <v>1513301.973238643</v>
      </c>
      <c r="CR148" s="564">
        <f>+CR147</f>
        <v>1513301.973238636</v>
      </c>
      <c r="CS148" s="564">
        <f t="shared" si="213"/>
        <v>6.9849193096160889E-9</v>
      </c>
      <c r="CT148" s="590">
        <f>+CQ$29*CS148+CR148</f>
        <v>1513301.9732386367</v>
      </c>
      <c r="CU148" s="589">
        <f>+CU147</f>
        <v>676195.37250001635</v>
      </c>
      <c r="CV148" s="564">
        <f>+CV147</f>
        <v>676195.37250000006</v>
      </c>
      <c r="CW148" s="564">
        <f t="shared" si="214"/>
        <v>1.6298145055770874E-8</v>
      </c>
      <c r="CX148" s="590">
        <f>+CU$29*CW148+CV148</f>
        <v>676195.37250000192</v>
      </c>
      <c r="CY148" s="589">
        <f>+CY147</f>
        <v>1100.5857954545304</v>
      </c>
      <c r="CZ148" s="564">
        <f>+CZ147</f>
        <v>733.72386363636497</v>
      </c>
      <c r="DA148" s="564">
        <f t="shared" si="155"/>
        <v>366.86193181816543</v>
      </c>
      <c r="DB148" s="590">
        <f>+CY$29*DA148+CZ148</f>
        <v>775.94032286840559</v>
      </c>
      <c r="DC148" s="589">
        <f>+DC147</f>
        <v>55663.340909092811</v>
      </c>
      <c r="DD148" s="564">
        <f>+DD147</f>
        <v>44530.672727272722</v>
      </c>
      <c r="DE148" s="564">
        <f t="shared" si="156"/>
        <v>11132.668181820089</v>
      </c>
      <c r="DF148" s="590">
        <f>+DC$29*DE148+DD148</f>
        <v>45811.759129757753</v>
      </c>
      <c r="DG148" s="589">
        <f>+DG147</f>
        <v>36959.211477271921</v>
      </c>
      <c r="DH148" s="564">
        <f>+DH147</f>
        <v>24639.474318181816</v>
      </c>
      <c r="DI148" s="564">
        <f t="shared" si="157"/>
        <v>12319.737159090106</v>
      </c>
      <c r="DJ148" s="590">
        <f>+DG$29*DI148+DH148</f>
        <v>26057.162108649994</v>
      </c>
      <c r="DK148" s="589">
        <f>+DK147</f>
        <v>641268.61034091865</v>
      </c>
      <c r="DL148" s="564">
        <f>+DL147</f>
        <v>549658.80886363634</v>
      </c>
      <c r="DM148" s="564">
        <f t="shared" si="158"/>
        <v>91609.801477282308</v>
      </c>
      <c r="DN148" s="590">
        <f>+DK$29*DM148+DL148</f>
        <v>560200.76242680382</v>
      </c>
      <c r="DO148" s="589">
        <f>+DO147</f>
        <v>42450.858371211914</v>
      </c>
      <c r="DP148" s="564">
        <f>+DP147</f>
        <v>19592.703863636354</v>
      </c>
      <c r="DQ148" s="564">
        <f t="shared" si="134"/>
        <v>22858.15450757556</v>
      </c>
      <c r="DR148" s="590">
        <f>+DO$29*DQ148+DP148</f>
        <v>22223.094929578416</v>
      </c>
      <c r="DS148" s="589">
        <f>+DS147</f>
        <v>20739.381818181966</v>
      </c>
      <c r="DT148" s="564">
        <f>+DT147</f>
        <v>8295.7527272726966</v>
      </c>
      <c r="DU148" s="564">
        <f t="shared" si="159"/>
        <v>12443.62909090927</v>
      </c>
      <c r="DV148" s="590">
        <f>+DS$29*DU148+DT148</f>
        <v>9727.697321827638</v>
      </c>
      <c r="DW148" s="589">
        <f>+DW147</f>
        <v>2748.9676704545018</v>
      </c>
      <c r="DX148" s="564">
        <f>+DX147</f>
        <v>1221.7634090909089</v>
      </c>
      <c r="DY148" s="564">
        <f t="shared" si="160"/>
        <v>1527.2042613635929</v>
      </c>
      <c r="DZ148" s="590">
        <f>+DW$29*DY148+DX148</f>
        <v>1397.50570025567</v>
      </c>
      <c r="EA148" s="589">
        <f>+EA147</f>
        <v>-20767.546306818425</v>
      </c>
      <c r="EB148" s="564">
        <f>+EB147</f>
        <v>-7120.3015909091364</v>
      </c>
      <c r="EC148" s="564">
        <f t="shared" si="161"/>
        <v>-13647.244715909288</v>
      </c>
      <c r="ED148" s="590">
        <f>+EA$29*EC148+EB148</f>
        <v>-8690.7516709256906</v>
      </c>
      <c r="EE148" s="589">
        <f>+EE147</f>
        <v>848480.27636363148</v>
      </c>
      <c r="EF148" s="564">
        <f>+EF147</f>
        <v>192108.74181818182</v>
      </c>
      <c r="EG148" s="564">
        <f t="shared" si="162"/>
        <v>656371.53454544966</v>
      </c>
      <c r="EH148" s="590">
        <f>+EE$29*EG148+EF148</f>
        <v>267640.37845292577</v>
      </c>
      <c r="EI148" s="589">
        <f>+EI147</f>
        <v>37071.202007575514</v>
      </c>
      <c r="EJ148" s="564">
        <f>+EJ147</f>
        <v>7669.903863636363</v>
      </c>
      <c r="EK148" s="564">
        <f t="shared" si="163"/>
        <v>29401.298143939151</v>
      </c>
      <c r="EL148" s="590">
        <f>+EI$29*EK148+EJ148</f>
        <v>11053.244016459539</v>
      </c>
      <c r="EM148" s="589">
        <f>+EM147</f>
        <v>1303037.7159090983</v>
      </c>
      <c r="EN148" s="564">
        <f>+EN147</f>
        <v>260607.54318181818</v>
      </c>
      <c r="EO148" s="564">
        <f t="shared" si="164"/>
        <v>1042430.1727272801</v>
      </c>
      <c r="EP148" s="590">
        <f>+EM$29*EO148+EN148</f>
        <v>380564.69074163254</v>
      </c>
      <c r="EQ148" s="678">
        <f t="shared" si="165"/>
        <v>3869027.5658662012</v>
      </c>
      <c r="ER148" s="675">
        <f>+EQ148</f>
        <v>3869027.5658662012</v>
      </c>
      <c r="ES148" s="648"/>
      <c r="EV148" s="589"/>
      <c r="EW148" s="564"/>
      <c r="EX148" s="564"/>
      <c r="EY148" s="590"/>
      <c r="EZ148" s="589"/>
      <c r="FA148" s="564"/>
      <c r="FB148" s="564"/>
      <c r="FC148" s="590"/>
      <c r="FD148" s="589"/>
      <c r="FE148" s="564"/>
      <c r="FF148" s="564"/>
      <c r="FG148" s="590"/>
      <c r="FH148" s="589"/>
      <c r="FI148" s="564"/>
      <c r="FJ148" s="564"/>
      <c r="FK148" s="590"/>
      <c r="FL148" s="589"/>
      <c r="FM148" s="564"/>
      <c r="FN148" s="564"/>
      <c r="FO148" s="590"/>
      <c r="FP148" s="589"/>
      <c r="FQ148" s="564"/>
      <c r="FR148" s="564"/>
      <c r="FS148" s="590"/>
      <c r="FT148" s="589"/>
      <c r="FU148" s="564"/>
      <c r="FV148" s="564"/>
      <c r="FW148" s="590"/>
      <c r="FX148" s="589"/>
      <c r="FY148" s="564"/>
      <c r="FZ148" s="564"/>
      <c r="GA148" s="590"/>
      <c r="GB148" s="589"/>
      <c r="GC148" s="564"/>
      <c r="GD148" s="564"/>
      <c r="GE148" s="590"/>
      <c r="GF148" s="589"/>
      <c r="GG148" s="564"/>
      <c r="GH148" s="564"/>
      <c r="GI148" s="590"/>
      <c r="GJ148" s="589"/>
      <c r="GK148" s="564"/>
      <c r="GL148" s="564"/>
      <c r="GM148" s="590"/>
      <c r="GN148" s="589"/>
      <c r="GO148" s="564"/>
      <c r="GP148" s="564"/>
      <c r="GQ148" s="590"/>
      <c r="GR148" s="589"/>
      <c r="GS148" s="564"/>
      <c r="GT148" s="564"/>
      <c r="GU148" s="590"/>
      <c r="GV148" s="672"/>
      <c r="GW148" s="676"/>
      <c r="GX148" s="676"/>
      <c r="GY148" s="1366"/>
      <c r="GZ148" s="1367"/>
      <c r="HA148" s="1373"/>
      <c r="HB148" s="1373"/>
      <c r="HC148" s="1366"/>
      <c r="HD148" s="1367"/>
      <c r="HE148" s="1373"/>
      <c r="HF148" s="1373"/>
      <c r="HG148" s="1366"/>
      <c r="HI148" s="589"/>
      <c r="HJ148" s="564"/>
      <c r="HK148" s="564"/>
      <c r="HL148" s="590"/>
      <c r="HM148" s="589"/>
      <c r="HN148" s="564"/>
      <c r="HO148" s="564"/>
      <c r="HP148" s="590"/>
      <c r="HQ148" s="589"/>
      <c r="HR148" s="564"/>
      <c r="HS148" s="564"/>
      <c r="HT148" s="590"/>
    </row>
    <row r="149" spans="1:228">
      <c r="A149" s="649" t="s">
        <v>24</v>
      </c>
      <c r="B149" s="670">
        <v>2061</v>
      </c>
      <c r="C149" s="671"/>
      <c r="D149" s="671"/>
      <c r="E149" s="671"/>
      <c r="F149" s="653"/>
      <c r="G149" s="671"/>
      <c r="H149" s="671"/>
      <c r="I149" s="671"/>
      <c r="J149" s="653"/>
      <c r="K149" s="658"/>
      <c r="L149" s="658"/>
      <c r="M149" s="658"/>
      <c r="N149" s="653"/>
      <c r="O149" s="671"/>
      <c r="P149" s="671"/>
      <c r="Q149" s="671"/>
      <c r="R149" s="653"/>
      <c r="S149" s="564"/>
      <c r="T149" s="564"/>
      <c r="U149" s="564"/>
      <c r="V149" s="590"/>
      <c r="W149" s="564"/>
      <c r="X149" s="564"/>
      <c r="Y149" s="564"/>
      <c r="Z149" s="590"/>
      <c r="AA149" s="606"/>
      <c r="AB149" s="606"/>
      <c r="AC149" s="606"/>
      <c r="AD149" s="606"/>
      <c r="AE149" s="564"/>
      <c r="AF149" s="564"/>
      <c r="AG149" s="564"/>
      <c r="AH149" s="590"/>
      <c r="AI149" s="564"/>
      <c r="AJ149" s="564"/>
      <c r="AK149" s="564"/>
      <c r="AL149" s="590"/>
      <c r="AM149" s="606"/>
      <c r="AN149" s="606"/>
      <c r="AO149" s="606"/>
      <c r="AP149" s="606"/>
      <c r="AQ149" s="564"/>
      <c r="AR149" s="564"/>
      <c r="AS149" s="564"/>
      <c r="AT149" s="590"/>
      <c r="AU149" s="671"/>
      <c r="AV149" s="671"/>
      <c r="AW149" s="671"/>
      <c r="AX149" s="653"/>
      <c r="AY149" s="671"/>
      <c r="AZ149" s="671"/>
      <c r="BA149" s="671"/>
      <c r="BB149" s="653"/>
      <c r="BC149" s="671"/>
      <c r="BD149" s="671"/>
      <c r="BE149" s="671"/>
      <c r="BF149" s="653"/>
      <c r="BG149" s="671"/>
      <c r="BH149" s="671"/>
      <c r="BI149" s="671"/>
      <c r="BJ149" s="653"/>
      <c r="BK149" s="671"/>
      <c r="BL149" s="671"/>
      <c r="BM149" s="671"/>
      <c r="BN149" s="653"/>
      <c r="BO149" s="671"/>
      <c r="BP149" s="671"/>
      <c r="BQ149" s="671"/>
      <c r="BR149" s="653"/>
      <c r="BS149" s="564"/>
      <c r="BT149" s="564"/>
      <c r="BU149" s="564"/>
      <c r="BV149" s="590"/>
      <c r="BW149" s="606"/>
      <c r="BX149" s="606"/>
      <c r="BY149" s="606"/>
      <c r="BZ149" s="606"/>
      <c r="CA149" s="564"/>
      <c r="CB149" s="564"/>
      <c r="CC149" s="564"/>
      <c r="CD149" s="590"/>
      <c r="CE149" s="564"/>
      <c r="CF149" s="564"/>
      <c r="CG149" s="564"/>
      <c r="CH149" s="590"/>
      <c r="CI149" s="606"/>
      <c r="CJ149" s="606"/>
      <c r="CK149" s="606"/>
      <c r="CL149" s="606"/>
      <c r="CM149" s="589"/>
      <c r="CN149" s="606"/>
      <c r="CO149" s="606"/>
      <c r="CP149" s="590"/>
      <c r="CQ149" s="606"/>
      <c r="CR149" s="606"/>
      <c r="CS149" s="606"/>
      <c r="CT149" s="590"/>
      <c r="CU149" s="606"/>
      <c r="CV149" s="606"/>
      <c r="CW149" s="606"/>
      <c r="CX149" s="590"/>
      <c r="CY149" s="589">
        <f>+DA148</f>
        <v>366.86193181816543</v>
      </c>
      <c r="CZ149" s="564">
        <f>+CY$31/12*CY32</f>
        <v>366.86193181818248</v>
      </c>
      <c r="DA149" s="564">
        <f t="shared" si="155"/>
        <v>-1.7053025658242404E-11</v>
      </c>
      <c r="DB149" s="590">
        <f>+CY$28*DA149+CZ149</f>
        <v>366.86193181818049</v>
      </c>
      <c r="DC149" s="589">
        <f>+DE148</f>
        <v>11132.668181820089</v>
      </c>
      <c r="DD149" s="564">
        <f>+DC$31/12*DC32</f>
        <v>11132.668181818181</v>
      </c>
      <c r="DE149" s="564">
        <f t="shared" si="156"/>
        <v>1.9081198843196034E-9</v>
      </c>
      <c r="DF149" s="590">
        <f>+DC$28*DE149+DD149</f>
        <v>11132.668181818401</v>
      </c>
      <c r="DG149" s="589">
        <f>+DI148</f>
        <v>12319.737159090106</v>
      </c>
      <c r="DH149" s="564">
        <f>+DG$31/12*DG32</f>
        <v>12319.73715909091</v>
      </c>
      <c r="DI149" s="564">
        <f t="shared" si="157"/>
        <v>-8.0399331636726856E-10</v>
      </c>
      <c r="DJ149" s="590">
        <f>+DG$28*DI149+DH149</f>
        <v>12319.737159090817</v>
      </c>
      <c r="DK149" s="589">
        <f>+DM148</f>
        <v>91609.801477282308</v>
      </c>
      <c r="DL149" s="564">
        <f>+DK$31/12*DK32</f>
        <v>91609.801477272718</v>
      </c>
      <c r="DM149" s="564">
        <f t="shared" si="158"/>
        <v>9.5897121354937553E-9</v>
      </c>
      <c r="DN149" s="590">
        <f>+DK$28*DM149+DL149</f>
        <v>91609.801477273824</v>
      </c>
      <c r="DO149" s="589">
        <f>+DQ148</f>
        <v>22858.15450757556</v>
      </c>
      <c r="DP149" s="564">
        <f>+DO$31</f>
        <v>19592.703863636354</v>
      </c>
      <c r="DQ149" s="564">
        <f t="shared" ref="DQ149:DQ150" si="215">+DO149-DP149</f>
        <v>3265.4506439392062</v>
      </c>
      <c r="DR149" s="590">
        <f>+DO$28*DQ149+DP149</f>
        <v>19968.474015913773</v>
      </c>
      <c r="DS149" s="589">
        <f>+DU148</f>
        <v>12443.62909090927</v>
      </c>
      <c r="DT149" s="564">
        <f>+DS$31</f>
        <v>8295.7527272726966</v>
      </c>
      <c r="DU149" s="564">
        <f t="shared" si="159"/>
        <v>4147.8763636365729</v>
      </c>
      <c r="DV149" s="590">
        <f>+DS$28*DU149+DT149</f>
        <v>8773.0675921243601</v>
      </c>
      <c r="DW149" s="589">
        <f>+DY148</f>
        <v>1527.2042613635929</v>
      </c>
      <c r="DX149" s="564">
        <f>+DW$31</f>
        <v>1221.7634090909089</v>
      </c>
      <c r="DY149" s="564">
        <f t="shared" si="160"/>
        <v>305.44085227268397</v>
      </c>
      <c r="DZ149" s="590">
        <f>+DW$28*DY149+DX149</f>
        <v>1256.9118673238572</v>
      </c>
      <c r="EA149" s="589">
        <f>+EC148</f>
        <v>-13647.244715909288</v>
      </c>
      <c r="EB149" s="564">
        <f>+EA$31</f>
        <v>-7120.3015909091364</v>
      </c>
      <c r="EC149" s="564">
        <f t="shared" si="161"/>
        <v>-6526.9431250001517</v>
      </c>
      <c r="ED149" s="590">
        <f>+EA$28*EC149+EB149</f>
        <v>-7871.3864117866251</v>
      </c>
      <c r="EE149" s="589">
        <f>+EG148</f>
        <v>656371.53454544966</v>
      </c>
      <c r="EF149" s="564">
        <f>+EE$31</f>
        <v>192108.74181818182</v>
      </c>
      <c r="EG149" s="564">
        <f t="shared" si="162"/>
        <v>464262.79272726784</v>
      </c>
      <c r="EH149" s="590">
        <f>+EE$28*EG149+EF149</f>
        <v>245533.55797446397</v>
      </c>
      <c r="EI149" s="589">
        <f>+EK148</f>
        <v>29401.298143939151</v>
      </c>
      <c r="EJ149" s="564">
        <f>+EI$31</f>
        <v>7669.903863636363</v>
      </c>
      <c r="EK149" s="564">
        <f t="shared" si="163"/>
        <v>21731.394280302789</v>
      </c>
      <c r="EL149" s="590">
        <f>+EI$28*EK149+EJ149</f>
        <v>10170.633541810008</v>
      </c>
      <c r="EM149" s="589">
        <f>+EO148</f>
        <v>1042430.1727272801</v>
      </c>
      <c r="EN149" s="564">
        <f>+EM$31</f>
        <v>260607.54318181818</v>
      </c>
      <c r="EO149" s="564">
        <f t="shared" si="164"/>
        <v>781822.62954546185</v>
      </c>
      <c r="EP149" s="590">
        <f>+EM$28*EO149+EN149</f>
        <v>350575.40385167918</v>
      </c>
      <c r="EQ149" s="678">
        <f t="shared" si="165"/>
        <v>743835.73118152982</v>
      </c>
      <c r="ER149" s="652"/>
      <c r="ES149" s="674">
        <f>+EQ149</f>
        <v>743835.73118152982</v>
      </c>
      <c r="EV149" s="589"/>
      <c r="EW149" s="564"/>
      <c r="EX149" s="564"/>
      <c r="EY149" s="590"/>
      <c r="EZ149" s="589"/>
      <c r="FA149" s="564"/>
      <c r="FB149" s="564"/>
      <c r="FC149" s="590"/>
      <c r="FD149" s="589"/>
      <c r="FE149" s="564"/>
      <c r="FF149" s="564"/>
      <c r="FG149" s="590"/>
      <c r="FH149" s="589"/>
      <c r="FI149" s="564"/>
      <c r="FJ149" s="564"/>
      <c r="FK149" s="590"/>
      <c r="FL149" s="589"/>
      <c r="FM149" s="564"/>
      <c r="FN149" s="564"/>
      <c r="FO149" s="590"/>
      <c r="FP149" s="589"/>
      <c r="FQ149" s="564"/>
      <c r="FR149" s="564"/>
      <c r="FS149" s="590"/>
      <c r="FT149" s="589"/>
      <c r="FU149" s="564"/>
      <c r="FV149" s="564"/>
      <c r="FW149" s="590"/>
      <c r="FX149" s="589"/>
      <c r="FY149" s="564"/>
      <c r="FZ149" s="564"/>
      <c r="GA149" s="590"/>
      <c r="GB149" s="589"/>
      <c r="GC149" s="564"/>
      <c r="GD149" s="564"/>
      <c r="GE149" s="590"/>
      <c r="GF149" s="589"/>
      <c r="GG149" s="564"/>
      <c r="GH149" s="564"/>
      <c r="GI149" s="590"/>
      <c r="GJ149" s="589"/>
      <c r="GK149" s="564"/>
      <c r="GL149" s="564"/>
      <c r="GM149" s="590"/>
      <c r="GN149" s="589"/>
      <c r="GO149" s="564"/>
      <c r="GP149" s="564"/>
      <c r="GQ149" s="590"/>
      <c r="GR149" s="589"/>
      <c r="GS149" s="564"/>
      <c r="GT149" s="564"/>
      <c r="GU149" s="590"/>
      <c r="GV149" s="672"/>
      <c r="GW149" s="676"/>
      <c r="GX149" s="676"/>
      <c r="GY149" s="1366"/>
      <c r="GZ149" s="1367"/>
      <c r="HA149" s="1373"/>
      <c r="HB149" s="1373"/>
      <c r="HC149" s="1366"/>
      <c r="HD149" s="1367"/>
      <c r="HE149" s="1373"/>
      <c r="HF149" s="1373"/>
      <c r="HG149" s="1366"/>
      <c r="HI149" s="589"/>
      <c r="HJ149" s="564"/>
      <c r="HK149" s="564"/>
      <c r="HL149" s="590"/>
      <c r="HM149" s="589"/>
      <c r="HN149" s="564"/>
      <c r="HO149" s="564"/>
      <c r="HP149" s="590"/>
      <c r="HQ149" s="589"/>
      <c r="HR149" s="564"/>
      <c r="HS149" s="564"/>
      <c r="HT149" s="590"/>
    </row>
    <row r="150" spans="1:228" ht="13">
      <c r="A150" s="649" t="s">
        <v>23</v>
      </c>
      <c r="B150" s="670">
        <v>2061</v>
      </c>
      <c r="C150" s="679"/>
      <c r="D150" s="679"/>
      <c r="E150" s="679"/>
      <c r="F150" s="680"/>
      <c r="G150" s="679"/>
      <c r="H150" s="679"/>
      <c r="I150" s="679"/>
      <c r="J150" s="680"/>
      <c r="K150" s="679"/>
      <c r="L150" s="679"/>
      <c r="M150" s="679"/>
      <c r="N150" s="680"/>
      <c r="O150" s="679"/>
      <c r="P150" s="679"/>
      <c r="Q150" s="679"/>
      <c r="R150" s="680"/>
      <c r="S150" s="681"/>
      <c r="T150" s="681"/>
      <c r="U150" s="681"/>
      <c r="V150" s="682"/>
      <c r="W150" s="681"/>
      <c r="X150" s="681"/>
      <c r="Y150" s="681"/>
      <c r="Z150" s="682"/>
      <c r="AA150" s="683"/>
      <c r="AB150" s="683"/>
      <c r="AC150" s="683"/>
      <c r="AD150" s="683"/>
      <c r="AE150" s="681"/>
      <c r="AF150" s="681"/>
      <c r="AG150" s="681"/>
      <c r="AH150" s="682"/>
      <c r="AI150" s="681"/>
      <c r="AJ150" s="681"/>
      <c r="AK150" s="681"/>
      <c r="AL150" s="682"/>
      <c r="AM150" s="683"/>
      <c r="AN150" s="683"/>
      <c r="AO150" s="683"/>
      <c r="AP150" s="683"/>
      <c r="AQ150" s="681"/>
      <c r="AR150" s="681"/>
      <c r="AS150" s="681"/>
      <c r="AT150" s="682"/>
      <c r="AU150" s="679"/>
      <c r="AV150" s="679"/>
      <c r="AW150" s="679"/>
      <c r="AX150" s="680"/>
      <c r="AY150" s="679"/>
      <c r="AZ150" s="679"/>
      <c r="BA150" s="679"/>
      <c r="BB150" s="680"/>
      <c r="BC150" s="679"/>
      <c r="BD150" s="679"/>
      <c r="BE150" s="679"/>
      <c r="BF150" s="680"/>
      <c r="BG150" s="679"/>
      <c r="BH150" s="679"/>
      <c r="BI150" s="679"/>
      <c r="BJ150" s="680"/>
      <c r="BK150" s="679"/>
      <c r="BL150" s="679"/>
      <c r="BM150" s="679"/>
      <c r="BN150" s="680"/>
      <c r="BO150" s="679"/>
      <c r="BP150" s="679"/>
      <c r="BQ150" s="679"/>
      <c r="BR150" s="680"/>
      <c r="BS150" s="681"/>
      <c r="BT150" s="681"/>
      <c r="BU150" s="681"/>
      <c r="BV150" s="682"/>
      <c r="BW150" s="683"/>
      <c r="BX150" s="683"/>
      <c r="BY150" s="683"/>
      <c r="BZ150" s="683"/>
      <c r="CA150" s="681"/>
      <c r="CB150" s="681"/>
      <c r="CC150" s="681"/>
      <c r="CD150" s="682"/>
      <c r="CE150" s="681"/>
      <c r="CF150" s="681"/>
      <c r="CG150" s="681"/>
      <c r="CH150" s="682"/>
      <c r="CI150" s="683"/>
      <c r="CJ150" s="683"/>
      <c r="CK150" s="683"/>
      <c r="CL150" s="606"/>
      <c r="CM150" s="589"/>
      <c r="CN150" s="683"/>
      <c r="CO150" s="683"/>
      <c r="CP150" s="590"/>
      <c r="CQ150" s="606"/>
      <c r="CR150" s="683"/>
      <c r="CS150" s="683"/>
      <c r="CT150" s="590"/>
      <c r="CU150" s="683"/>
      <c r="CV150" s="683"/>
      <c r="CW150" s="683"/>
      <c r="CX150" s="590"/>
      <c r="CY150" s="589">
        <f>+CY149</f>
        <v>366.86193181816543</v>
      </c>
      <c r="CZ150" s="564">
        <f>+CZ149</f>
        <v>366.86193181818248</v>
      </c>
      <c r="DA150" s="564">
        <f t="shared" si="155"/>
        <v>-1.7053025658242404E-11</v>
      </c>
      <c r="DB150" s="590">
        <f>+CY$29*DA150+CZ150</f>
        <v>366.86193181818049</v>
      </c>
      <c r="DC150" s="589">
        <f>+DC149</f>
        <v>11132.668181820089</v>
      </c>
      <c r="DD150" s="564">
        <f>+DD149</f>
        <v>11132.668181818181</v>
      </c>
      <c r="DE150" s="564">
        <f t="shared" si="156"/>
        <v>1.9081198843196034E-9</v>
      </c>
      <c r="DF150" s="590">
        <f>+DC$29*DE150+DD150</f>
        <v>11132.668181818401</v>
      </c>
      <c r="DG150" s="589">
        <f>+DG149</f>
        <v>12319.737159090106</v>
      </c>
      <c r="DH150" s="564">
        <f>+DH149</f>
        <v>12319.73715909091</v>
      </c>
      <c r="DI150" s="564">
        <f t="shared" si="157"/>
        <v>-8.0399331636726856E-10</v>
      </c>
      <c r="DJ150" s="590">
        <f>+DG$29*DI150+DH150</f>
        <v>12319.737159090817</v>
      </c>
      <c r="DK150" s="589">
        <f>+DK149</f>
        <v>91609.801477282308</v>
      </c>
      <c r="DL150" s="564">
        <f>+DL149</f>
        <v>91609.801477272718</v>
      </c>
      <c r="DM150" s="564">
        <f t="shared" si="158"/>
        <v>9.5897121354937553E-9</v>
      </c>
      <c r="DN150" s="590">
        <f>+DK$29*DM150+DL150</f>
        <v>91609.801477273824</v>
      </c>
      <c r="DO150" s="589">
        <f>+DO149</f>
        <v>22858.15450757556</v>
      </c>
      <c r="DP150" s="564">
        <f>+DP149</f>
        <v>19592.703863636354</v>
      </c>
      <c r="DQ150" s="564">
        <f t="shared" si="215"/>
        <v>3265.4506439392062</v>
      </c>
      <c r="DR150" s="590">
        <f>+DO$29*DQ150+DP150</f>
        <v>19968.474015913773</v>
      </c>
      <c r="DS150" s="589">
        <f>+DS149</f>
        <v>12443.62909090927</v>
      </c>
      <c r="DT150" s="564">
        <f>+DT149</f>
        <v>8295.7527272726966</v>
      </c>
      <c r="DU150" s="564">
        <f t="shared" si="159"/>
        <v>4147.8763636365729</v>
      </c>
      <c r="DV150" s="590">
        <f>+DS$29*DU150+DT150</f>
        <v>8773.0675921243601</v>
      </c>
      <c r="DW150" s="589">
        <f>+DW149</f>
        <v>1527.2042613635929</v>
      </c>
      <c r="DX150" s="564">
        <f>+DX149</f>
        <v>1221.7634090909089</v>
      </c>
      <c r="DY150" s="564">
        <f t="shared" si="160"/>
        <v>305.44085227268397</v>
      </c>
      <c r="DZ150" s="590">
        <f>+DW$29*DY150+DX150</f>
        <v>1256.9118673238572</v>
      </c>
      <c r="EA150" s="589">
        <f>+EA149</f>
        <v>-13647.244715909288</v>
      </c>
      <c r="EB150" s="564">
        <f>+EB149</f>
        <v>-7120.3015909091364</v>
      </c>
      <c r="EC150" s="564">
        <f t="shared" si="161"/>
        <v>-6526.9431250001517</v>
      </c>
      <c r="ED150" s="590">
        <f>+EA$29*EC150+EB150</f>
        <v>-7871.3864117866251</v>
      </c>
      <c r="EE150" s="589">
        <f>+EE149</f>
        <v>656371.53454544966</v>
      </c>
      <c r="EF150" s="564">
        <f>+EF149</f>
        <v>192108.74181818182</v>
      </c>
      <c r="EG150" s="564">
        <f t="shared" si="162"/>
        <v>464262.79272726784</v>
      </c>
      <c r="EH150" s="590">
        <f>+EE$29*EG150+EF150</f>
        <v>245533.55797446397</v>
      </c>
      <c r="EI150" s="589">
        <f>+EI149</f>
        <v>29401.298143939151</v>
      </c>
      <c r="EJ150" s="564">
        <f>+EJ149</f>
        <v>7669.903863636363</v>
      </c>
      <c r="EK150" s="564">
        <f t="shared" si="163"/>
        <v>21731.394280302789</v>
      </c>
      <c r="EL150" s="590">
        <f>+EI$29*EK150+EJ150</f>
        <v>10170.633541810008</v>
      </c>
      <c r="EM150" s="589">
        <f>+EM149</f>
        <v>1042430.1727272801</v>
      </c>
      <c r="EN150" s="564">
        <f>+EN149</f>
        <v>260607.54318181818</v>
      </c>
      <c r="EO150" s="564">
        <f t="shared" si="164"/>
        <v>781822.62954546185</v>
      </c>
      <c r="EP150" s="590">
        <f>+EM$29*EO150+EN150</f>
        <v>350575.40385167918</v>
      </c>
      <c r="EQ150" s="678">
        <f t="shared" si="165"/>
        <v>743835.73118152982</v>
      </c>
      <c r="ER150" s="675">
        <f>+EQ150</f>
        <v>743835.73118152982</v>
      </c>
      <c r="ES150" s="648"/>
      <c r="EV150" s="589"/>
      <c r="EW150" s="564"/>
      <c r="EX150" s="564"/>
      <c r="EY150" s="590"/>
      <c r="EZ150" s="589"/>
      <c r="FA150" s="564"/>
      <c r="FB150" s="564"/>
      <c r="FC150" s="590"/>
      <c r="FD150" s="589"/>
      <c r="FE150" s="564"/>
      <c r="FF150" s="564"/>
      <c r="FG150" s="590"/>
      <c r="FH150" s="589"/>
      <c r="FI150" s="564"/>
      <c r="FJ150" s="564"/>
      <c r="FK150" s="590"/>
      <c r="FL150" s="589"/>
      <c r="FM150" s="564"/>
      <c r="FN150" s="564"/>
      <c r="FO150" s="590"/>
      <c r="FP150" s="589"/>
      <c r="FQ150" s="564"/>
      <c r="FR150" s="564"/>
      <c r="FS150" s="590"/>
      <c r="FT150" s="589"/>
      <c r="FU150" s="564"/>
      <c r="FV150" s="564"/>
      <c r="FW150" s="590"/>
      <c r="FX150" s="589"/>
      <c r="FY150" s="564"/>
      <c r="FZ150" s="564"/>
      <c r="GA150" s="590"/>
      <c r="GB150" s="589"/>
      <c r="GC150" s="564"/>
      <c r="GD150" s="564"/>
      <c r="GE150" s="590"/>
      <c r="GF150" s="589"/>
      <c r="GG150" s="564"/>
      <c r="GH150" s="564"/>
      <c r="GI150" s="590"/>
      <c r="GJ150" s="589"/>
      <c r="GK150" s="564"/>
      <c r="GL150" s="564"/>
      <c r="GM150" s="590"/>
      <c r="GN150" s="589"/>
      <c r="GO150" s="564"/>
      <c r="GP150" s="564"/>
      <c r="GQ150" s="590"/>
      <c r="GR150" s="589"/>
      <c r="GS150" s="564"/>
      <c r="GT150" s="564"/>
      <c r="GU150" s="590"/>
      <c r="GV150" s="672"/>
      <c r="GW150" s="676"/>
      <c r="GX150" s="676"/>
      <c r="GY150" s="1366"/>
      <c r="GZ150" s="1367"/>
      <c r="HA150" s="1373"/>
      <c r="HB150" s="1373"/>
      <c r="HC150" s="1366"/>
      <c r="HD150" s="1367"/>
      <c r="HE150" s="1373"/>
      <c r="HF150" s="1373"/>
      <c r="HG150" s="1366"/>
      <c r="HI150" s="589"/>
      <c r="HJ150" s="564"/>
      <c r="HK150" s="564"/>
      <c r="HL150" s="590"/>
      <c r="HM150" s="589"/>
      <c r="HN150" s="564"/>
      <c r="HO150" s="564"/>
      <c r="HP150" s="590"/>
      <c r="HQ150" s="589"/>
      <c r="HR150" s="564"/>
      <c r="HS150" s="564"/>
      <c r="HT150" s="590"/>
    </row>
    <row r="151" spans="1:228" ht="13">
      <c r="A151" s="649" t="s">
        <v>24</v>
      </c>
      <c r="B151" s="670">
        <v>2062</v>
      </c>
      <c r="C151" s="679"/>
      <c r="D151" s="679"/>
      <c r="E151" s="679"/>
      <c r="F151" s="680"/>
      <c r="G151" s="679"/>
      <c r="H151" s="679"/>
      <c r="I151" s="679"/>
      <c r="J151" s="680"/>
      <c r="K151" s="679"/>
      <c r="L151" s="679"/>
      <c r="M151" s="679"/>
      <c r="N151" s="680"/>
      <c r="O151" s="679"/>
      <c r="P151" s="679"/>
      <c r="Q151" s="679"/>
      <c r="R151" s="680"/>
      <c r="S151" s="681"/>
      <c r="T151" s="681"/>
      <c r="U151" s="681"/>
      <c r="V151" s="682"/>
      <c r="W151" s="681"/>
      <c r="X151" s="681"/>
      <c r="Y151" s="681"/>
      <c r="Z151" s="682"/>
      <c r="AA151" s="683"/>
      <c r="AB151" s="683"/>
      <c r="AC151" s="683"/>
      <c r="AD151" s="683"/>
      <c r="AE151" s="681"/>
      <c r="AF151" s="681"/>
      <c r="AG151" s="681"/>
      <c r="AH151" s="682"/>
      <c r="AI151" s="681"/>
      <c r="AJ151" s="681"/>
      <c r="AK151" s="681"/>
      <c r="AL151" s="682"/>
      <c r="AM151" s="683"/>
      <c r="AN151" s="683"/>
      <c r="AO151" s="683"/>
      <c r="AP151" s="683"/>
      <c r="AQ151" s="681"/>
      <c r="AR151" s="681"/>
      <c r="AS151" s="681"/>
      <c r="AT151" s="682"/>
      <c r="AU151" s="679"/>
      <c r="AV151" s="679"/>
      <c r="AW151" s="679"/>
      <c r="AX151" s="680"/>
      <c r="AY151" s="679"/>
      <c r="AZ151" s="679"/>
      <c r="BA151" s="679"/>
      <c r="BB151" s="680"/>
      <c r="BC151" s="679"/>
      <c r="BD151" s="679"/>
      <c r="BE151" s="679"/>
      <c r="BF151" s="680"/>
      <c r="BG151" s="679"/>
      <c r="BH151" s="679"/>
      <c r="BI151" s="679"/>
      <c r="BJ151" s="680"/>
      <c r="BK151" s="679"/>
      <c r="BL151" s="679"/>
      <c r="BM151" s="679"/>
      <c r="BN151" s="680"/>
      <c r="BO151" s="679"/>
      <c r="BP151" s="679"/>
      <c r="BQ151" s="679"/>
      <c r="BR151" s="680"/>
      <c r="BS151" s="681"/>
      <c r="BT151" s="681"/>
      <c r="BU151" s="681"/>
      <c r="BV151" s="682"/>
      <c r="BW151" s="683"/>
      <c r="BX151" s="683"/>
      <c r="BY151" s="683"/>
      <c r="BZ151" s="683"/>
      <c r="CA151" s="681"/>
      <c r="CB151" s="681"/>
      <c r="CC151" s="681"/>
      <c r="CD151" s="682"/>
      <c r="CE151" s="681"/>
      <c r="CF151" s="681"/>
      <c r="CG151" s="681"/>
      <c r="CH151" s="682"/>
      <c r="CI151" s="683"/>
      <c r="CJ151" s="683"/>
      <c r="CK151" s="683"/>
      <c r="CL151" s="606"/>
      <c r="CM151" s="589"/>
      <c r="CN151" s="683"/>
      <c r="CO151" s="683"/>
      <c r="CP151" s="590"/>
      <c r="CQ151" s="606"/>
      <c r="CR151" s="683"/>
      <c r="CS151" s="683"/>
      <c r="CT151" s="590"/>
      <c r="CU151" s="683"/>
      <c r="CV151" s="683"/>
      <c r="CW151" s="683"/>
      <c r="CX151" s="590"/>
      <c r="CY151" s="683"/>
      <c r="CZ151" s="683"/>
      <c r="DA151" s="683"/>
      <c r="DB151" s="590"/>
      <c r="DC151" s="683"/>
      <c r="DD151" s="683"/>
      <c r="DE151" s="683"/>
      <c r="DF151" s="683"/>
      <c r="DG151" s="683"/>
      <c r="DH151" s="683"/>
      <c r="DI151" s="683"/>
      <c r="DJ151" s="590"/>
      <c r="DK151" s="683"/>
      <c r="DL151" s="683"/>
      <c r="DM151" s="683"/>
      <c r="DN151" s="590"/>
      <c r="DO151" s="589">
        <f>+DQ150</f>
        <v>3265.4506439392062</v>
      </c>
      <c r="DP151" s="564">
        <f>+DO$31/12*(12-10)</f>
        <v>3265.4506439393922</v>
      </c>
      <c r="DQ151" s="564">
        <f t="shared" ref="DQ151:DQ152" si="216">+DO151-DP151</f>
        <v>-1.8599166651256382E-10</v>
      </c>
      <c r="DR151" s="590">
        <f>+DO$28*DQ151+DP151</f>
        <v>3265.4506439393708</v>
      </c>
      <c r="DS151" s="589">
        <f>+DU150</f>
        <v>4147.8763636365729</v>
      </c>
      <c r="DT151" s="564">
        <f>+DS$31/12*(12-6)</f>
        <v>4147.8763636363483</v>
      </c>
      <c r="DU151" s="564">
        <f t="shared" si="159"/>
        <v>2.2464519133791327E-10</v>
      </c>
      <c r="DV151" s="590">
        <f>+DS$28*DU151+DT151</f>
        <v>4147.8763636363738</v>
      </c>
      <c r="DW151" s="589">
        <f>+DY150</f>
        <v>305.44085227268397</v>
      </c>
      <c r="DX151" s="564">
        <f>+DW$31/12*(12-9)</f>
        <v>305.44085227272723</v>
      </c>
      <c r="DY151" s="564">
        <f t="shared" si="160"/>
        <v>-4.3257841753074899E-11</v>
      </c>
      <c r="DZ151" s="590">
        <f>+DW$28*DY151+DX151</f>
        <v>305.44085227272222</v>
      </c>
      <c r="EA151" s="589">
        <f>+EC150</f>
        <v>-6526.9431250001517</v>
      </c>
      <c r="EB151" s="564">
        <f>+EA$31/12*(12-1)</f>
        <v>-6526.9431250000416</v>
      </c>
      <c r="EC151" s="564">
        <f t="shared" si="161"/>
        <v>-1.1004885891452432E-10</v>
      </c>
      <c r="ED151" s="590">
        <f>+EA$28*EC151+EB151</f>
        <v>-6526.9431250000544</v>
      </c>
      <c r="EE151" s="589">
        <f>+EG150</f>
        <v>464262.79272726784</v>
      </c>
      <c r="EF151" s="564">
        <f>+EF150</f>
        <v>192108.74181818182</v>
      </c>
      <c r="EG151" s="564">
        <f t="shared" si="162"/>
        <v>272154.05090908601</v>
      </c>
      <c r="EH151" s="590">
        <f>+EE$28*EG151+EF151</f>
        <v>223426.73749600217</v>
      </c>
      <c r="EI151" s="589">
        <f>+EK150</f>
        <v>21731.394280302789</v>
      </c>
      <c r="EJ151" s="564">
        <f>+EJ150</f>
        <v>7669.903863636363</v>
      </c>
      <c r="EK151" s="564">
        <f t="shared" si="163"/>
        <v>14061.490416666427</v>
      </c>
      <c r="EL151" s="590">
        <f>+EI$28*EK151+EJ151</f>
        <v>9288.0230671604768</v>
      </c>
      <c r="EM151" s="589">
        <f>+EO150</f>
        <v>781822.62954546185</v>
      </c>
      <c r="EN151" s="564">
        <f>+EN150</f>
        <v>260607.54318181818</v>
      </c>
      <c r="EO151" s="564">
        <f t="shared" si="164"/>
        <v>521215.08636364364</v>
      </c>
      <c r="EP151" s="590">
        <f>+EM$28*EO151+EN151</f>
        <v>320586.11696172575</v>
      </c>
      <c r="EQ151" s="678">
        <f t="shared" si="165"/>
        <v>554492.70225973683</v>
      </c>
      <c r="ER151" s="652"/>
      <c r="ES151" s="674">
        <f>+EQ151</f>
        <v>554492.70225973683</v>
      </c>
      <c r="EV151" s="589"/>
      <c r="EW151" s="564"/>
      <c r="EX151" s="564"/>
      <c r="EY151" s="590"/>
      <c r="EZ151" s="589"/>
      <c r="FA151" s="564"/>
      <c r="FB151" s="564"/>
      <c r="FC151" s="590"/>
      <c r="FD151" s="589"/>
      <c r="FE151" s="564"/>
      <c r="FF151" s="564"/>
      <c r="FG151" s="590"/>
      <c r="FH151" s="589"/>
      <c r="FI151" s="564"/>
      <c r="FJ151" s="564"/>
      <c r="FK151" s="590"/>
      <c r="FL151" s="589"/>
      <c r="FM151" s="564"/>
      <c r="FN151" s="564"/>
      <c r="FO151" s="590"/>
      <c r="FP151" s="589"/>
      <c r="FQ151" s="564"/>
      <c r="FR151" s="564"/>
      <c r="FS151" s="590"/>
      <c r="FT151" s="589"/>
      <c r="FU151" s="564"/>
      <c r="FV151" s="564"/>
      <c r="FW151" s="590"/>
      <c r="FX151" s="589"/>
      <c r="FY151" s="564"/>
      <c r="FZ151" s="564"/>
      <c r="GA151" s="590"/>
      <c r="GB151" s="589"/>
      <c r="GC151" s="564"/>
      <c r="GD151" s="564"/>
      <c r="GE151" s="590"/>
      <c r="GF151" s="589"/>
      <c r="GG151" s="564"/>
      <c r="GH151" s="564"/>
      <c r="GI151" s="590"/>
      <c r="GJ151" s="589"/>
      <c r="GK151" s="564"/>
      <c r="GL151" s="564"/>
      <c r="GM151" s="590"/>
      <c r="GN151" s="589"/>
      <c r="GO151" s="564"/>
      <c r="GP151" s="564"/>
      <c r="GQ151" s="590"/>
      <c r="GR151" s="589"/>
      <c r="GS151" s="564"/>
      <c r="GT151" s="564"/>
      <c r="GU151" s="590"/>
      <c r="GV151" s="672"/>
      <c r="GW151" s="676"/>
      <c r="GX151" s="676"/>
      <c r="GY151" s="1366"/>
      <c r="GZ151" s="1367"/>
      <c r="HA151" s="1373"/>
      <c r="HB151" s="1373"/>
      <c r="HC151" s="1366"/>
      <c r="HD151" s="1367"/>
      <c r="HE151" s="1373"/>
      <c r="HF151" s="1373"/>
      <c r="HG151" s="1366"/>
      <c r="HI151" s="589"/>
      <c r="HJ151" s="564"/>
      <c r="HK151" s="564"/>
      <c r="HL151" s="590"/>
      <c r="HM151" s="589"/>
      <c r="HN151" s="564"/>
      <c r="HO151" s="564"/>
      <c r="HP151" s="590"/>
      <c r="HQ151" s="589"/>
      <c r="HR151" s="564"/>
      <c r="HS151" s="564"/>
      <c r="HT151" s="590"/>
    </row>
    <row r="152" spans="1:228" ht="13">
      <c r="A152" s="649" t="s">
        <v>23</v>
      </c>
      <c r="B152" s="670">
        <v>2062</v>
      </c>
      <c r="C152" s="679"/>
      <c r="D152" s="679"/>
      <c r="E152" s="679"/>
      <c r="F152" s="680"/>
      <c r="G152" s="679"/>
      <c r="H152" s="679"/>
      <c r="I152" s="679"/>
      <c r="J152" s="680"/>
      <c r="K152" s="679"/>
      <c r="L152" s="679"/>
      <c r="M152" s="679"/>
      <c r="N152" s="680"/>
      <c r="O152" s="679"/>
      <c r="P152" s="679"/>
      <c r="Q152" s="679"/>
      <c r="R152" s="680"/>
      <c r="S152" s="681"/>
      <c r="T152" s="681"/>
      <c r="U152" s="681"/>
      <c r="V152" s="682"/>
      <c r="W152" s="681"/>
      <c r="X152" s="681"/>
      <c r="Y152" s="681"/>
      <c r="Z152" s="682"/>
      <c r="AA152" s="683"/>
      <c r="AB152" s="683"/>
      <c r="AC152" s="683"/>
      <c r="AD152" s="683"/>
      <c r="AE152" s="681"/>
      <c r="AF152" s="681"/>
      <c r="AG152" s="681"/>
      <c r="AH152" s="682"/>
      <c r="AI152" s="681"/>
      <c r="AJ152" s="681"/>
      <c r="AK152" s="681"/>
      <c r="AL152" s="682"/>
      <c r="AM152" s="683"/>
      <c r="AN152" s="683"/>
      <c r="AO152" s="683"/>
      <c r="AP152" s="683"/>
      <c r="AQ152" s="681"/>
      <c r="AR152" s="681"/>
      <c r="AS152" s="681"/>
      <c r="AT152" s="682"/>
      <c r="AU152" s="679"/>
      <c r="AV152" s="679"/>
      <c r="AW152" s="679"/>
      <c r="AX152" s="680"/>
      <c r="AY152" s="679"/>
      <c r="AZ152" s="679"/>
      <c r="BA152" s="679"/>
      <c r="BB152" s="680"/>
      <c r="BC152" s="679"/>
      <c r="BD152" s="679"/>
      <c r="BE152" s="679"/>
      <c r="BF152" s="680"/>
      <c r="BG152" s="679"/>
      <c r="BH152" s="679"/>
      <c r="BI152" s="679"/>
      <c r="BJ152" s="680"/>
      <c r="BK152" s="679"/>
      <c r="BL152" s="679"/>
      <c r="BM152" s="679"/>
      <c r="BN152" s="680"/>
      <c r="BO152" s="679"/>
      <c r="BP152" s="679"/>
      <c r="BQ152" s="679"/>
      <c r="BR152" s="680"/>
      <c r="BS152" s="681"/>
      <c r="BT152" s="681"/>
      <c r="BU152" s="681"/>
      <c r="BV152" s="682"/>
      <c r="BW152" s="683"/>
      <c r="BX152" s="683"/>
      <c r="BY152" s="683"/>
      <c r="BZ152" s="683"/>
      <c r="CA152" s="681"/>
      <c r="CB152" s="681"/>
      <c r="CC152" s="681"/>
      <c r="CD152" s="682"/>
      <c r="CE152" s="681"/>
      <c r="CF152" s="681"/>
      <c r="CG152" s="681"/>
      <c r="CH152" s="682"/>
      <c r="CI152" s="683"/>
      <c r="CJ152" s="683"/>
      <c r="CK152" s="683"/>
      <c r="CL152" s="606"/>
      <c r="CM152" s="589"/>
      <c r="CN152" s="683"/>
      <c r="CO152" s="683"/>
      <c r="CP152" s="590"/>
      <c r="CQ152" s="606"/>
      <c r="CR152" s="683"/>
      <c r="CS152" s="683"/>
      <c r="CT152" s="590"/>
      <c r="CU152" s="683"/>
      <c r="CV152" s="683"/>
      <c r="CW152" s="683"/>
      <c r="CX152" s="590"/>
      <c r="CY152" s="683"/>
      <c r="CZ152" s="683"/>
      <c r="DA152" s="683"/>
      <c r="DB152" s="590"/>
      <c r="DC152" s="683"/>
      <c r="DD152" s="683"/>
      <c r="DE152" s="683"/>
      <c r="DF152" s="683"/>
      <c r="DG152" s="683"/>
      <c r="DH152" s="683"/>
      <c r="DI152" s="683"/>
      <c r="DJ152" s="590"/>
      <c r="DK152" s="683"/>
      <c r="DL152" s="683"/>
      <c r="DM152" s="683"/>
      <c r="DN152" s="590"/>
      <c r="DO152" s="589">
        <f>+DO151</f>
        <v>3265.4506439392062</v>
      </c>
      <c r="DP152" s="564">
        <f>+DP151</f>
        <v>3265.4506439393922</v>
      </c>
      <c r="DQ152" s="564">
        <f t="shared" si="216"/>
        <v>-1.8599166651256382E-10</v>
      </c>
      <c r="DR152" s="590">
        <f>+DO$29*DQ152+DP152</f>
        <v>3265.4506439393708</v>
      </c>
      <c r="DS152" s="589">
        <f>+DS151</f>
        <v>4147.8763636365729</v>
      </c>
      <c r="DT152" s="564">
        <f>+DT151</f>
        <v>4147.8763636363483</v>
      </c>
      <c r="DU152" s="564">
        <f t="shared" si="159"/>
        <v>2.2464519133791327E-10</v>
      </c>
      <c r="DV152" s="590">
        <f>+DS$29*DU152+DT152</f>
        <v>4147.8763636363738</v>
      </c>
      <c r="DW152" s="589">
        <f>+DW151</f>
        <v>305.44085227268397</v>
      </c>
      <c r="DX152" s="564">
        <f>+DX151</f>
        <v>305.44085227272723</v>
      </c>
      <c r="DY152" s="564">
        <f t="shared" si="160"/>
        <v>-4.3257841753074899E-11</v>
      </c>
      <c r="DZ152" s="590">
        <f>+DW$29*DY152+DX152</f>
        <v>305.44085227272222</v>
      </c>
      <c r="EA152" s="589">
        <f>+EA151</f>
        <v>-6526.9431250001517</v>
      </c>
      <c r="EB152" s="564">
        <f>+EB151</f>
        <v>-6526.9431250000416</v>
      </c>
      <c r="EC152" s="564">
        <f t="shared" si="161"/>
        <v>-1.1004885891452432E-10</v>
      </c>
      <c r="ED152" s="590">
        <f>+EA$29*EC152+EB152</f>
        <v>-6526.9431250000544</v>
      </c>
      <c r="EE152" s="589">
        <f>+EE151</f>
        <v>464262.79272726784</v>
      </c>
      <c r="EF152" s="564">
        <f>+EF151</f>
        <v>192108.74181818182</v>
      </c>
      <c r="EG152" s="564">
        <f t="shared" si="162"/>
        <v>272154.05090908601</v>
      </c>
      <c r="EH152" s="590">
        <f>+EE$29*EG152+EF152</f>
        <v>223426.73749600217</v>
      </c>
      <c r="EI152" s="589">
        <f>+EI151</f>
        <v>21731.394280302789</v>
      </c>
      <c r="EJ152" s="564">
        <f>+EJ151</f>
        <v>7669.903863636363</v>
      </c>
      <c r="EK152" s="564">
        <f t="shared" si="163"/>
        <v>14061.490416666427</v>
      </c>
      <c r="EL152" s="590">
        <f>+EI$29*EK152+EJ152</f>
        <v>9288.0230671604768</v>
      </c>
      <c r="EM152" s="589">
        <f>+EM151</f>
        <v>781822.62954546185</v>
      </c>
      <c r="EN152" s="564">
        <f>+EN151</f>
        <v>260607.54318181818</v>
      </c>
      <c r="EO152" s="564">
        <f t="shared" si="164"/>
        <v>521215.08636364364</v>
      </c>
      <c r="EP152" s="590">
        <f>+EM$29*EO152+EN152</f>
        <v>320586.11696172575</v>
      </c>
      <c r="EQ152" s="678">
        <f t="shared" si="165"/>
        <v>554492.70225973683</v>
      </c>
      <c r="ER152" s="675">
        <f>+EQ152</f>
        <v>554492.70225973683</v>
      </c>
      <c r="ES152" s="648"/>
      <c r="EV152" s="589"/>
      <c r="EW152" s="564"/>
      <c r="EX152" s="564"/>
      <c r="EY152" s="590"/>
      <c r="EZ152" s="589"/>
      <c r="FA152" s="564"/>
      <c r="FB152" s="564"/>
      <c r="FC152" s="590"/>
      <c r="FD152" s="589"/>
      <c r="FE152" s="564"/>
      <c r="FF152" s="564"/>
      <c r="FG152" s="590"/>
      <c r="FH152" s="589"/>
      <c r="FI152" s="564"/>
      <c r="FJ152" s="564"/>
      <c r="FK152" s="590"/>
      <c r="FL152" s="589"/>
      <c r="FM152" s="564"/>
      <c r="FN152" s="564"/>
      <c r="FO152" s="590"/>
      <c r="FP152" s="589"/>
      <c r="FQ152" s="564"/>
      <c r="FR152" s="564"/>
      <c r="FS152" s="590"/>
      <c r="FT152" s="589"/>
      <c r="FU152" s="564"/>
      <c r="FV152" s="564"/>
      <c r="FW152" s="590"/>
      <c r="FX152" s="589"/>
      <c r="FY152" s="564"/>
      <c r="FZ152" s="564"/>
      <c r="GA152" s="590"/>
      <c r="GB152" s="589"/>
      <c r="GC152" s="564"/>
      <c r="GD152" s="564"/>
      <c r="GE152" s="590"/>
      <c r="GF152" s="589"/>
      <c r="GG152" s="564"/>
      <c r="GH152" s="564"/>
      <c r="GI152" s="590"/>
      <c r="GJ152" s="589"/>
      <c r="GK152" s="564"/>
      <c r="GL152" s="564"/>
      <c r="GM152" s="590"/>
      <c r="GN152" s="589"/>
      <c r="GO152" s="564"/>
      <c r="GP152" s="564"/>
      <c r="GQ152" s="590"/>
      <c r="GR152" s="589"/>
      <c r="GS152" s="564"/>
      <c r="GT152" s="564"/>
      <c r="GU152" s="590"/>
      <c r="GV152" s="672"/>
      <c r="GW152" s="676"/>
      <c r="GX152" s="676"/>
      <c r="GY152" s="1366"/>
      <c r="GZ152" s="1367"/>
      <c r="HA152" s="1373"/>
      <c r="HB152" s="1373"/>
      <c r="HC152" s="1366"/>
      <c r="HD152" s="1367"/>
      <c r="HE152" s="1373"/>
      <c r="HF152" s="1373"/>
      <c r="HG152" s="1366"/>
      <c r="HI152" s="589"/>
      <c r="HJ152" s="564"/>
      <c r="HK152" s="564"/>
      <c r="HL152" s="590"/>
      <c r="HM152" s="589"/>
      <c r="HN152" s="564"/>
      <c r="HO152" s="564"/>
      <c r="HP152" s="590"/>
      <c r="HQ152" s="589"/>
      <c r="HR152" s="564"/>
      <c r="HS152" s="564"/>
      <c r="HT152" s="590"/>
    </row>
    <row r="153" spans="1:228" ht="13">
      <c r="A153" s="649"/>
      <c r="B153" s="670"/>
      <c r="C153" s="679"/>
      <c r="D153" s="679"/>
      <c r="E153" s="679"/>
      <c r="F153" s="680"/>
      <c r="G153" s="679"/>
      <c r="H153" s="679"/>
      <c r="I153" s="679"/>
      <c r="J153" s="680"/>
      <c r="K153" s="679"/>
      <c r="L153" s="679"/>
      <c r="M153" s="679"/>
      <c r="N153" s="680"/>
      <c r="O153" s="679"/>
      <c r="P153" s="679"/>
      <c r="Q153" s="679"/>
      <c r="R153" s="680"/>
      <c r="S153" s="681"/>
      <c r="T153" s="681"/>
      <c r="U153" s="681"/>
      <c r="V153" s="682"/>
      <c r="W153" s="681"/>
      <c r="X153" s="681"/>
      <c r="Y153" s="681"/>
      <c r="Z153" s="682"/>
      <c r="AA153" s="683"/>
      <c r="AB153" s="683"/>
      <c r="AC153" s="683"/>
      <c r="AD153" s="683"/>
      <c r="AE153" s="681"/>
      <c r="AF153" s="681"/>
      <c r="AG153" s="681"/>
      <c r="AH153" s="682"/>
      <c r="AI153" s="681"/>
      <c r="AJ153" s="681"/>
      <c r="AK153" s="681"/>
      <c r="AL153" s="682"/>
      <c r="AM153" s="683"/>
      <c r="AN153" s="683"/>
      <c r="AO153" s="683"/>
      <c r="AP153" s="683"/>
      <c r="AQ153" s="681"/>
      <c r="AR153" s="681"/>
      <c r="AS153" s="681"/>
      <c r="AT153" s="682"/>
      <c r="AU153" s="679"/>
      <c r="AV153" s="679"/>
      <c r="AW153" s="679"/>
      <c r="AX153" s="680"/>
      <c r="AY153" s="679"/>
      <c r="AZ153" s="679"/>
      <c r="BA153" s="679"/>
      <c r="BB153" s="680"/>
      <c r="BC153" s="679"/>
      <c r="BD153" s="679"/>
      <c r="BE153" s="679"/>
      <c r="BF153" s="680"/>
      <c r="BG153" s="679"/>
      <c r="BH153" s="679"/>
      <c r="BI153" s="679"/>
      <c r="BJ153" s="680"/>
      <c r="BK153" s="679"/>
      <c r="BL153" s="679"/>
      <c r="BM153" s="679"/>
      <c r="BN153" s="680"/>
      <c r="BO153" s="679"/>
      <c r="BP153" s="679"/>
      <c r="BQ153" s="679"/>
      <c r="BR153" s="680"/>
      <c r="BS153" s="681"/>
      <c r="BT153" s="681"/>
      <c r="BU153" s="681"/>
      <c r="BV153" s="682"/>
      <c r="BW153" s="683"/>
      <c r="BX153" s="683"/>
      <c r="BY153" s="683"/>
      <c r="BZ153" s="683"/>
      <c r="CA153" s="681"/>
      <c r="CB153" s="681"/>
      <c r="CC153" s="681"/>
      <c r="CD153" s="682"/>
      <c r="CE153" s="681"/>
      <c r="CF153" s="681"/>
      <c r="CG153" s="681"/>
      <c r="CH153" s="682"/>
      <c r="CI153" s="683"/>
      <c r="CJ153" s="683"/>
      <c r="CK153" s="683"/>
      <c r="CL153" s="606"/>
      <c r="CM153" s="564"/>
      <c r="CN153" s="683"/>
      <c r="CO153" s="683"/>
      <c r="CP153" s="590"/>
      <c r="CQ153" s="606"/>
      <c r="CR153" s="683"/>
      <c r="CS153" s="683"/>
      <c r="CT153" s="590"/>
      <c r="CU153" s="683"/>
      <c r="CV153" s="683"/>
      <c r="CW153" s="683"/>
      <c r="CX153" s="590"/>
      <c r="CY153" s="683"/>
      <c r="CZ153" s="683"/>
      <c r="DA153" s="683"/>
      <c r="DB153" s="590"/>
      <c r="DC153" s="683"/>
      <c r="DD153" s="683"/>
      <c r="DE153" s="683"/>
      <c r="DF153" s="683"/>
      <c r="DG153" s="683"/>
      <c r="DH153" s="683"/>
      <c r="DI153" s="683"/>
      <c r="DJ153" s="590"/>
      <c r="DK153" s="683"/>
      <c r="DL153" s="683"/>
      <c r="DM153" s="683"/>
      <c r="DN153" s="590"/>
      <c r="DO153" s="589"/>
      <c r="DP153" s="564"/>
      <c r="DQ153" s="564"/>
      <c r="DR153" s="590"/>
      <c r="DS153" s="564"/>
      <c r="DT153" s="564"/>
      <c r="DU153" s="564"/>
      <c r="DV153" s="590"/>
      <c r="DW153" s="564"/>
      <c r="DX153" s="564"/>
      <c r="DY153" s="564"/>
      <c r="DZ153" s="590"/>
      <c r="EA153" s="564"/>
      <c r="EB153" s="564"/>
      <c r="EC153" s="564"/>
      <c r="ED153" s="590"/>
      <c r="EE153" s="589">
        <f>+EG152</f>
        <v>272154.05090908601</v>
      </c>
      <c r="EF153" s="564">
        <f>+EF152</f>
        <v>192108.74181818182</v>
      </c>
      <c r="EG153" s="564">
        <f t="shared" ref="EG153:EG154" si="217">+EE153-EF153</f>
        <v>80045.309090904193</v>
      </c>
      <c r="EH153" s="590">
        <f>+EE$28*EG153+EF153</f>
        <v>201319.91701754034</v>
      </c>
      <c r="EI153" s="589">
        <f>+EK152</f>
        <v>14061.490416666427</v>
      </c>
      <c r="EJ153" s="564">
        <f>+EJ152</f>
        <v>7669.903863636363</v>
      </c>
      <c r="EK153" s="564">
        <f t="shared" si="163"/>
        <v>6391.5865530300644</v>
      </c>
      <c r="EL153" s="590">
        <f>+EI$28*EK153+EJ153</f>
        <v>8405.4125925109456</v>
      </c>
      <c r="EM153" s="589">
        <f>+EO152</f>
        <v>521215.08636364364</v>
      </c>
      <c r="EN153" s="564">
        <f>+EN152</f>
        <v>260607.54318181818</v>
      </c>
      <c r="EO153" s="564">
        <f t="shared" si="164"/>
        <v>260607.54318182546</v>
      </c>
      <c r="EP153" s="590">
        <f>+EM$28*EO153+EN153</f>
        <v>290596.83007177239</v>
      </c>
      <c r="EQ153" s="678">
        <f t="shared" si="165"/>
        <v>500322.15968182369</v>
      </c>
      <c r="ER153" s="652"/>
      <c r="ES153" s="674">
        <f>+EQ153</f>
        <v>500322.15968182369</v>
      </c>
      <c r="EV153" s="589"/>
      <c r="EW153" s="564"/>
      <c r="EX153" s="564"/>
      <c r="EY153" s="590"/>
      <c r="EZ153" s="589"/>
      <c r="FA153" s="564"/>
      <c r="FB153" s="564"/>
      <c r="FC153" s="590"/>
      <c r="FD153" s="589"/>
      <c r="FE153" s="564"/>
      <c r="FF153" s="564"/>
      <c r="FG153" s="590"/>
      <c r="FH153" s="589"/>
      <c r="FI153" s="564"/>
      <c r="FJ153" s="564"/>
      <c r="FK153" s="590"/>
      <c r="FL153" s="589"/>
      <c r="FM153" s="564"/>
      <c r="FN153" s="564"/>
      <c r="FO153" s="590"/>
      <c r="FP153" s="589"/>
      <c r="FQ153" s="564"/>
      <c r="FR153" s="564"/>
      <c r="FS153" s="590"/>
      <c r="FT153" s="589"/>
      <c r="FU153" s="564"/>
      <c r="FV153" s="564"/>
      <c r="FW153" s="590"/>
      <c r="FX153" s="589"/>
      <c r="FY153" s="564"/>
      <c r="FZ153" s="564"/>
      <c r="GA153" s="590"/>
      <c r="GB153" s="589"/>
      <c r="GC153" s="564"/>
      <c r="GD153" s="564"/>
      <c r="GE153" s="590"/>
      <c r="GF153" s="589"/>
      <c r="GG153" s="564"/>
      <c r="GH153" s="564"/>
      <c r="GI153" s="590"/>
      <c r="GJ153" s="589"/>
      <c r="GK153" s="564"/>
      <c r="GL153" s="564"/>
      <c r="GM153" s="590"/>
      <c r="GN153" s="589"/>
      <c r="GO153" s="564"/>
      <c r="GP153" s="564"/>
      <c r="GQ153" s="590"/>
      <c r="GR153" s="589"/>
      <c r="GS153" s="564"/>
      <c r="GT153" s="564"/>
      <c r="GU153" s="590"/>
      <c r="GV153" s="672"/>
      <c r="GW153" s="676"/>
      <c r="GX153" s="676"/>
      <c r="GY153" s="1366"/>
      <c r="GZ153" s="1367"/>
      <c r="HA153" s="1373"/>
      <c r="HB153" s="1373"/>
      <c r="HC153" s="1366"/>
      <c r="HD153" s="1367"/>
      <c r="HE153" s="1373"/>
      <c r="HF153" s="1373"/>
      <c r="HG153" s="1366"/>
      <c r="HI153" s="589"/>
      <c r="HJ153" s="564"/>
      <c r="HK153" s="564"/>
      <c r="HL153" s="590"/>
      <c r="HM153" s="589"/>
      <c r="HN153" s="564"/>
      <c r="HO153" s="564"/>
      <c r="HP153" s="590"/>
      <c r="HQ153" s="589"/>
      <c r="HR153" s="564"/>
      <c r="HS153" s="564"/>
      <c r="HT153" s="590"/>
    </row>
    <row r="154" spans="1:228" ht="13">
      <c r="A154" s="649"/>
      <c r="B154" s="670"/>
      <c r="C154" s="679"/>
      <c r="D154" s="679"/>
      <c r="E154" s="679"/>
      <c r="F154" s="680"/>
      <c r="G154" s="679"/>
      <c r="H154" s="679"/>
      <c r="I154" s="679"/>
      <c r="J154" s="680"/>
      <c r="K154" s="679"/>
      <c r="L154" s="679"/>
      <c r="M154" s="679"/>
      <c r="N154" s="680"/>
      <c r="O154" s="679"/>
      <c r="P154" s="679"/>
      <c r="Q154" s="679"/>
      <c r="R154" s="680"/>
      <c r="S154" s="681"/>
      <c r="T154" s="681"/>
      <c r="U154" s="681"/>
      <c r="V154" s="682"/>
      <c r="W154" s="681"/>
      <c r="X154" s="681"/>
      <c r="Y154" s="681"/>
      <c r="Z154" s="682"/>
      <c r="AA154" s="683"/>
      <c r="AB154" s="683"/>
      <c r="AC154" s="683"/>
      <c r="AD154" s="683"/>
      <c r="AE154" s="681"/>
      <c r="AF154" s="681"/>
      <c r="AG154" s="681"/>
      <c r="AH154" s="682"/>
      <c r="AI154" s="681"/>
      <c r="AJ154" s="681"/>
      <c r="AK154" s="681"/>
      <c r="AL154" s="682"/>
      <c r="AM154" s="683"/>
      <c r="AN154" s="683"/>
      <c r="AO154" s="683"/>
      <c r="AP154" s="683"/>
      <c r="AQ154" s="681"/>
      <c r="AR154" s="681"/>
      <c r="AS154" s="681"/>
      <c r="AT154" s="682"/>
      <c r="AU154" s="679"/>
      <c r="AV154" s="679"/>
      <c r="AW154" s="679"/>
      <c r="AX154" s="680"/>
      <c r="AY154" s="679"/>
      <c r="AZ154" s="679"/>
      <c r="BA154" s="679"/>
      <c r="BB154" s="680"/>
      <c r="BC154" s="679"/>
      <c r="BD154" s="679"/>
      <c r="BE154" s="679"/>
      <c r="BF154" s="680"/>
      <c r="BG154" s="679"/>
      <c r="BH154" s="679"/>
      <c r="BI154" s="679"/>
      <c r="BJ154" s="680"/>
      <c r="BK154" s="679"/>
      <c r="BL154" s="679"/>
      <c r="BM154" s="679"/>
      <c r="BN154" s="680"/>
      <c r="BO154" s="679"/>
      <c r="BP154" s="679"/>
      <c r="BQ154" s="679"/>
      <c r="BR154" s="680"/>
      <c r="BS154" s="681"/>
      <c r="BT154" s="681"/>
      <c r="BU154" s="681"/>
      <c r="BV154" s="682"/>
      <c r="BW154" s="683"/>
      <c r="BX154" s="683"/>
      <c r="BY154" s="683"/>
      <c r="BZ154" s="683"/>
      <c r="CA154" s="681"/>
      <c r="CB154" s="681"/>
      <c r="CC154" s="681"/>
      <c r="CD154" s="682"/>
      <c r="CE154" s="681"/>
      <c r="CF154" s="681"/>
      <c r="CG154" s="681"/>
      <c r="CH154" s="682"/>
      <c r="CI154" s="683"/>
      <c r="CJ154" s="683"/>
      <c r="CK154" s="683"/>
      <c r="CL154" s="606"/>
      <c r="CM154" s="564"/>
      <c r="CN154" s="683"/>
      <c r="CO154" s="683"/>
      <c r="CP154" s="590"/>
      <c r="CQ154" s="606"/>
      <c r="CR154" s="683"/>
      <c r="CS154" s="683"/>
      <c r="CT154" s="590"/>
      <c r="CU154" s="683"/>
      <c r="CV154" s="683"/>
      <c r="CW154" s="683"/>
      <c r="CX154" s="590"/>
      <c r="CY154" s="683"/>
      <c r="CZ154" s="683"/>
      <c r="DA154" s="683"/>
      <c r="DB154" s="590"/>
      <c r="DC154" s="683"/>
      <c r="DD154" s="683"/>
      <c r="DE154" s="683"/>
      <c r="DF154" s="683"/>
      <c r="DG154" s="683"/>
      <c r="DH154" s="683"/>
      <c r="DI154" s="683"/>
      <c r="DJ154" s="590"/>
      <c r="DK154" s="683"/>
      <c r="DL154" s="683"/>
      <c r="DM154" s="683"/>
      <c r="DN154" s="590"/>
      <c r="DO154" s="589"/>
      <c r="DP154" s="564"/>
      <c r="DQ154" s="564"/>
      <c r="DR154" s="590"/>
      <c r="DS154" s="564"/>
      <c r="DT154" s="564"/>
      <c r="DU154" s="564"/>
      <c r="DV154" s="590"/>
      <c r="DW154" s="564"/>
      <c r="DX154" s="564"/>
      <c r="DY154" s="564"/>
      <c r="DZ154" s="590"/>
      <c r="EA154" s="564"/>
      <c r="EB154" s="564"/>
      <c r="EC154" s="564"/>
      <c r="ED154" s="590"/>
      <c r="EE154" s="589">
        <f>+EE153</f>
        <v>272154.05090908601</v>
      </c>
      <c r="EF154" s="564">
        <f>+EF153</f>
        <v>192108.74181818182</v>
      </c>
      <c r="EG154" s="564">
        <f t="shared" si="217"/>
        <v>80045.309090904193</v>
      </c>
      <c r="EH154" s="590">
        <f>+EE$29*EG154+EF154</f>
        <v>201319.91701754034</v>
      </c>
      <c r="EI154" s="589">
        <f>+EI153</f>
        <v>14061.490416666427</v>
      </c>
      <c r="EJ154" s="564">
        <f>+EJ153</f>
        <v>7669.903863636363</v>
      </c>
      <c r="EK154" s="564">
        <f t="shared" si="163"/>
        <v>6391.5865530300644</v>
      </c>
      <c r="EL154" s="590">
        <f>+EI$29*EK154+EJ154</f>
        <v>8405.4125925109456</v>
      </c>
      <c r="EM154" s="589">
        <f>+EM153</f>
        <v>521215.08636364364</v>
      </c>
      <c r="EN154" s="564">
        <f>+EN153</f>
        <v>260607.54318181818</v>
      </c>
      <c r="EO154" s="564">
        <f t="shared" si="164"/>
        <v>260607.54318182546</v>
      </c>
      <c r="EP154" s="590">
        <f>+EM$29*EO154+EN154</f>
        <v>290596.83007177239</v>
      </c>
      <c r="EQ154" s="678">
        <f t="shared" si="165"/>
        <v>500322.15968182369</v>
      </c>
      <c r="ER154" s="675">
        <f>+EQ154</f>
        <v>500322.15968182369</v>
      </c>
      <c r="ES154" s="648"/>
      <c r="EV154" s="589"/>
      <c r="EW154" s="564"/>
      <c r="EX154" s="564"/>
      <c r="EY154" s="590"/>
      <c r="EZ154" s="589"/>
      <c r="FA154" s="564"/>
      <c r="FB154" s="564"/>
      <c r="FC154" s="590"/>
      <c r="FD154" s="589"/>
      <c r="FE154" s="564"/>
      <c r="FF154" s="564"/>
      <c r="FG154" s="590"/>
      <c r="FH154" s="589"/>
      <c r="FI154" s="564"/>
      <c r="FJ154" s="564"/>
      <c r="FK154" s="590"/>
      <c r="FL154" s="589"/>
      <c r="FM154" s="564"/>
      <c r="FN154" s="564"/>
      <c r="FO154" s="590"/>
      <c r="FP154" s="589"/>
      <c r="FQ154" s="564"/>
      <c r="FR154" s="564"/>
      <c r="FS154" s="590"/>
      <c r="FT154" s="589"/>
      <c r="FU154" s="564"/>
      <c r="FV154" s="564"/>
      <c r="FW154" s="590"/>
      <c r="FX154" s="589"/>
      <c r="FY154" s="564"/>
      <c r="FZ154" s="564"/>
      <c r="GA154" s="590"/>
      <c r="GB154" s="589"/>
      <c r="GC154" s="564"/>
      <c r="GD154" s="564"/>
      <c r="GE154" s="590"/>
      <c r="GF154" s="589"/>
      <c r="GG154" s="564"/>
      <c r="GH154" s="564"/>
      <c r="GI154" s="590"/>
      <c r="GJ154" s="589"/>
      <c r="GK154" s="564"/>
      <c r="GL154" s="564"/>
      <c r="GM154" s="590"/>
      <c r="GN154" s="589"/>
      <c r="GO154" s="564"/>
      <c r="GP154" s="564"/>
      <c r="GQ154" s="590"/>
      <c r="GR154" s="589"/>
      <c r="GS154" s="564"/>
      <c r="GT154" s="564"/>
      <c r="GU154" s="590"/>
      <c r="GV154" s="672"/>
      <c r="GW154" s="676"/>
      <c r="GX154" s="676"/>
      <c r="GY154" s="1366"/>
      <c r="GZ154" s="1367"/>
      <c r="HA154" s="1373"/>
      <c r="HB154" s="1373"/>
      <c r="HC154" s="1366"/>
      <c r="HD154" s="1367"/>
      <c r="HE154" s="1373"/>
      <c r="HF154" s="1373"/>
      <c r="HG154" s="1366"/>
      <c r="HI154" s="589"/>
      <c r="HJ154" s="564"/>
      <c r="HK154" s="564"/>
      <c r="HL154" s="590"/>
      <c r="HM154" s="589"/>
      <c r="HN154" s="564"/>
      <c r="HO154" s="564"/>
      <c r="HP154" s="590"/>
      <c r="HQ154" s="589"/>
      <c r="HR154" s="564"/>
      <c r="HS154" s="564"/>
      <c r="HT154" s="590"/>
    </row>
    <row r="155" spans="1:228" ht="13">
      <c r="A155" s="649"/>
      <c r="B155" s="670"/>
      <c r="C155" s="679"/>
      <c r="D155" s="679"/>
      <c r="E155" s="679"/>
      <c r="F155" s="680"/>
      <c r="G155" s="679"/>
      <c r="H155" s="679"/>
      <c r="I155" s="679"/>
      <c r="J155" s="680"/>
      <c r="K155" s="679"/>
      <c r="L155" s="679"/>
      <c r="M155" s="679"/>
      <c r="N155" s="680"/>
      <c r="O155" s="679"/>
      <c r="P155" s="679"/>
      <c r="Q155" s="679"/>
      <c r="R155" s="680"/>
      <c r="S155" s="681"/>
      <c r="T155" s="681"/>
      <c r="U155" s="681"/>
      <c r="V155" s="682"/>
      <c r="W155" s="681"/>
      <c r="X155" s="681"/>
      <c r="Y155" s="681"/>
      <c r="Z155" s="682"/>
      <c r="AA155" s="683"/>
      <c r="AB155" s="683"/>
      <c r="AC155" s="683"/>
      <c r="AD155" s="683"/>
      <c r="AE155" s="681"/>
      <c r="AF155" s="681"/>
      <c r="AG155" s="681"/>
      <c r="AH155" s="682"/>
      <c r="AI155" s="681"/>
      <c r="AJ155" s="681"/>
      <c r="AK155" s="681"/>
      <c r="AL155" s="682"/>
      <c r="AM155" s="683"/>
      <c r="AN155" s="683"/>
      <c r="AO155" s="683"/>
      <c r="AP155" s="683"/>
      <c r="AQ155" s="681"/>
      <c r="AR155" s="681"/>
      <c r="AS155" s="681"/>
      <c r="AT155" s="682"/>
      <c r="AU155" s="679"/>
      <c r="AV155" s="679"/>
      <c r="AW155" s="679"/>
      <c r="AX155" s="680"/>
      <c r="AY155" s="679"/>
      <c r="AZ155" s="679"/>
      <c r="BA155" s="679"/>
      <c r="BB155" s="680"/>
      <c r="BC155" s="679"/>
      <c r="BD155" s="679"/>
      <c r="BE155" s="679"/>
      <c r="BF155" s="680"/>
      <c r="BG155" s="679"/>
      <c r="BH155" s="679"/>
      <c r="BI155" s="679"/>
      <c r="BJ155" s="680"/>
      <c r="BK155" s="679"/>
      <c r="BL155" s="679"/>
      <c r="BM155" s="679"/>
      <c r="BN155" s="680"/>
      <c r="BO155" s="679"/>
      <c r="BP155" s="679"/>
      <c r="BQ155" s="679"/>
      <c r="BR155" s="680"/>
      <c r="BS155" s="681"/>
      <c r="BT155" s="681"/>
      <c r="BU155" s="681"/>
      <c r="BV155" s="682"/>
      <c r="BW155" s="683"/>
      <c r="BX155" s="683"/>
      <c r="BY155" s="683"/>
      <c r="BZ155" s="683"/>
      <c r="CA155" s="681"/>
      <c r="CB155" s="681"/>
      <c r="CC155" s="681"/>
      <c r="CD155" s="682"/>
      <c r="CE155" s="681"/>
      <c r="CF155" s="681"/>
      <c r="CG155" s="681"/>
      <c r="CH155" s="682"/>
      <c r="CI155" s="683"/>
      <c r="CJ155" s="683"/>
      <c r="CK155" s="683"/>
      <c r="CL155" s="606"/>
      <c r="CM155" s="564"/>
      <c r="CN155" s="683"/>
      <c r="CO155" s="683"/>
      <c r="CP155" s="590"/>
      <c r="CQ155" s="606"/>
      <c r="CR155" s="683"/>
      <c r="CS155" s="683"/>
      <c r="CT155" s="590"/>
      <c r="CU155" s="683"/>
      <c r="CV155" s="683"/>
      <c r="CW155" s="683"/>
      <c r="CX155" s="590"/>
      <c r="CY155" s="683"/>
      <c r="CZ155" s="683"/>
      <c r="DA155" s="683"/>
      <c r="DB155" s="590"/>
      <c r="DC155" s="683"/>
      <c r="DD155" s="683"/>
      <c r="DE155" s="683"/>
      <c r="DF155" s="683"/>
      <c r="DG155" s="683"/>
      <c r="DH155" s="683"/>
      <c r="DI155" s="683"/>
      <c r="DJ155" s="590"/>
      <c r="DK155" s="683"/>
      <c r="DL155" s="683"/>
      <c r="DM155" s="683"/>
      <c r="DN155" s="590"/>
      <c r="DO155" s="589"/>
      <c r="DP155" s="564"/>
      <c r="DQ155" s="564"/>
      <c r="DR155" s="590"/>
      <c r="DS155" s="564"/>
      <c r="DT155" s="564"/>
      <c r="DU155" s="564"/>
      <c r="DV155" s="590"/>
      <c r="DW155" s="564"/>
      <c r="DX155" s="564"/>
      <c r="DY155" s="564"/>
      <c r="DZ155" s="590"/>
      <c r="EA155" s="564"/>
      <c r="EB155" s="564"/>
      <c r="EC155" s="564"/>
      <c r="ED155" s="590"/>
      <c r="EE155" s="589">
        <f>+EG154</f>
        <v>80045.309090904193</v>
      </c>
      <c r="EF155" s="564">
        <f>+EE$31/12*(12-7)</f>
        <v>80045.309090909097</v>
      </c>
      <c r="EG155" s="564">
        <f t="shared" ref="EG155:EG156" si="218">+EE155-EF155</f>
        <v>-4.9039954319596291E-9</v>
      </c>
      <c r="EH155" s="590">
        <f>+EE$28*EG155+EF155</f>
        <v>80045.309090908529</v>
      </c>
      <c r="EI155" s="589">
        <f>+EK154</f>
        <v>6391.5865530300644</v>
      </c>
      <c r="EJ155" s="564">
        <f>+EI$31/12*(12-2)</f>
        <v>6391.5865530303026</v>
      </c>
      <c r="EK155" s="564">
        <f t="shared" si="163"/>
        <v>-2.382876118645072E-10</v>
      </c>
      <c r="EL155" s="590">
        <f>+EI$28*EK155+EJ155</f>
        <v>6391.5865530302754</v>
      </c>
      <c r="EM155" s="589">
        <f>+EO154</f>
        <v>260607.54318182546</v>
      </c>
      <c r="EN155" s="564">
        <f>+EM$31/12*(12-0)</f>
        <v>260607.54318181818</v>
      </c>
      <c r="EO155" s="564">
        <f t="shared" si="164"/>
        <v>7.2759576141834259E-9</v>
      </c>
      <c r="EP155" s="590">
        <f>+EM$28*EO155+EN155</f>
        <v>260607.54318181903</v>
      </c>
      <c r="EQ155" s="678">
        <f t="shared" si="165"/>
        <v>347044.43882575782</v>
      </c>
      <c r="ER155" s="652"/>
      <c r="ES155" s="674">
        <f>+EQ155</f>
        <v>347044.43882575782</v>
      </c>
      <c r="EV155" s="589"/>
      <c r="EW155" s="564"/>
      <c r="EX155" s="564"/>
      <c r="EY155" s="590"/>
      <c r="EZ155" s="589"/>
      <c r="FA155" s="564"/>
      <c r="FB155" s="564"/>
      <c r="FC155" s="590"/>
      <c r="FD155" s="589"/>
      <c r="FE155" s="564"/>
      <c r="FF155" s="564"/>
      <c r="FG155" s="590"/>
      <c r="FH155" s="589"/>
      <c r="FI155" s="564"/>
      <c r="FJ155" s="564"/>
      <c r="FK155" s="590"/>
      <c r="FL155" s="589"/>
      <c r="FM155" s="564"/>
      <c r="FN155" s="564"/>
      <c r="FO155" s="590"/>
      <c r="FP155" s="589"/>
      <c r="FQ155" s="564"/>
      <c r="FR155" s="564"/>
      <c r="FS155" s="590"/>
      <c r="FT155" s="589"/>
      <c r="FU155" s="564"/>
      <c r="FV155" s="564"/>
      <c r="FW155" s="590"/>
      <c r="FX155" s="589"/>
      <c r="FY155" s="564"/>
      <c r="FZ155" s="564"/>
      <c r="GA155" s="590"/>
      <c r="GB155" s="589"/>
      <c r="GC155" s="564"/>
      <c r="GD155" s="564"/>
      <c r="GE155" s="590"/>
      <c r="GF155" s="589"/>
      <c r="GG155" s="564"/>
      <c r="GH155" s="564"/>
      <c r="GI155" s="590"/>
      <c r="GJ155" s="589"/>
      <c r="GK155" s="564"/>
      <c r="GL155" s="564"/>
      <c r="GM155" s="590"/>
      <c r="GN155" s="589"/>
      <c r="GO155" s="564"/>
      <c r="GP155" s="564"/>
      <c r="GQ155" s="590"/>
      <c r="GR155" s="589"/>
      <c r="GS155" s="564"/>
      <c r="GT155" s="564"/>
      <c r="GU155" s="590"/>
      <c r="GV155" s="672"/>
      <c r="GW155" s="676"/>
      <c r="GX155" s="676"/>
      <c r="GY155" s="1366"/>
      <c r="GZ155" s="1367"/>
      <c r="HA155" s="1373"/>
      <c r="HB155" s="1373"/>
      <c r="HC155" s="1366"/>
      <c r="HD155" s="1367"/>
      <c r="HE155" s="1373"/>
      <c r="HF155" s="1373"/>
      <c r="HG155" s="1366"/>
      <c r="HI155" s="589"/>
      <c r="HJ155" s="564"/>
      <c r="HK155" s="564"/>
      <c r="HL155" s="590"/>
      <c r="HM155" s="589"/>
      <c r="HN155" s="564"/>
      <c r="HO155" s="564"/>
      <c r="HP155" s="590"/>
      <c r="HQ155" s="589"/>
      <c r="HR155" s="564"/>
      <c r="HS155" s="564"/>
      <c r="HT155" s="590"/>
    </row>
    <row r="156" spans="1:228" ht="13">
      <c r="A156" s="649"/>
      <c r="B156" s="670"/>
      <c r="C156" s="679"/>
      <c r="D156" s="679"/>
      <c r="E156" s="679"/>
      <c r="F156" s="680"/>
      <c r="G156" s="679"/>
      <c r="H156" s="679"/>
      <c r="I156" s="679"/>
      <c r="J156" s="680"/>
      <c r="K156" s="679"/>
      <c r="L156" s="679"/>
      <c r="M156" s="679"/>
      <c r="N156" s="680"/>
      <c r="O156" s="679"/>
      <c r="P156" s="679"/>
      <c r="Q156" s="679"/>
      <c r="R156" s="680"/>
      <c r="S156" s="681"/>
      <c r="T156" s="681"/>
      <c r="U156" s="681"/>
      <c r="V156" s="682"/>
      <c r="W156" s="681"/>
      <c r="X156" s="681"/>
      <c r="Y156" s="681"/>
      <c r="Z156" s="682"/>
      <c r="AA156" s="683"/>
      <c r="AB156" s="683"/>
      <c r="AC156" s="683"/>
      <c r="AD156" s="683"/>
      <c r="AE156" s="681"/>
      <c r="AF156" s="681"/>
      <c r="AG156" s="681"/>
      <c r="AH156" s="682"/>
      <c r="AI156" s="681"/>
      <c r="AJ156" s="681"/>
      <c r="AK156" s="681"/>
      <c r="AL156" s="682"/>
      <c r="AM156" s="683"/>
      <c r="AN156" s="683"/>
      <c r="AO156" s="683"/>
      <c r="AP156" s="683"/>
      <c r="AQ156" s="681"/>
      <c r="AR156" s="681"/>
      <c r="AS156" s="681"/>
      <c r="AT156" s="682"/>
      <c r="AU156" s="679"/>
      <c r="AV156" s="679"/>
      <c r="AW156" s="679"/>
      <c r="AX156" s="680"/>
      <c r="AY156" s="679"/>
      <c r="AZ156" s="679"/>
      <c r="BA156" s="679"/>
      <c r="BB156" s="680"/>
      <c r="BC156" s="679"/>
      <c r="BD156" s="679"/>
      <c r="BE156" s="679"/>
      <c r="BF156" s="680"/>
      <c r="BG156" s="679"/>
      <c r="BH156" s="679"/>
      <c r="BI156" s="679"/>
      <c r="BJ156" s="680"/>
      <c r="BK156" s="679"/>
      <c r="BL156" s="679"/>
      <c r="BM156" s="679"/>
      <c r="BN156" s="680"/>
      <c r="BO156" s="679"/>
      <c r="BP156" s="679"/>
      <c r="BQ156" s="679"/>
      <c r="BR156" s="680"/>
      <c r="BS156" s="681"/>
      <c r="BT156" s="681"/>
      <c r="BU156" s="681"/>
      <c r="BV156" s="682"/>
      <c r="BW156" s="683"/>
      <c r="BX156" s="683"/>
      <c r="BY156" s="683"/>
      <c r="BZ156" s="683"/>
      <c r="CA156" s="681"/>
      <c r="CB156" s="681"/>
      <c r="CC156" s="681"/>
      <c r="CD156" s="682"/>
      <c r="CE156" s="681"/>
      <c r="CF156" s="681"/>
      <c r="CG156" s="681"/>
      <c r="CH156" s="682"/>
      <c r="CI156" s="683"/>
      <c r="CJ156" s="683"/>
      <c r="CK156" s="683"/>
      <c r="CL156" s="606"/>
      <c r="CM156" s="564"/>
      <c r="CN156" s="683"/>
      <c r="CO156" s="683"/>
      <c r="CP156" s="590"/>
      <c r="CQ156" s="606"/>
      <c r="CR156" s="683"/>
      <c r="CS156" s="683"/>
      <c r="CT156" s="590"/>
      <c r="CU156" s="683"/>
      <c r="CV156" s="683"/>
      <c r="CW156" s="683"/>
      <c r="CX156" s="590"/>
      <c r="CY156" s="683"/>
      <c r="CZ156" s="683"/>
      <c r="DA156" s="683"/>
      <c r="DB156" s="590"/>
      <c r="DC156" s="683"/>
      <c r="DD156" s="683"/>
      <c r="DE156" s="683"/>
      <c r="DF156" s="683"/>
      <c r="DG156" s="683"/>
      <c r="DH156" s="683"/>
      <c r="DI156" s="683"/>
      <c r="DJ156" s="590"/>
      <c r="DK156" s="683"/>
      <c r="DL156" s="683"/>
      <c r="DM156" s="683"/>
      <c r="DN156" s="590"/>
      <c r="DO156" s="589"/>
      <c r="DP156" s="564"/>
      <c r="DQ156" s="564"/>
      <c r="DR156" s="590"/>
      <c r="DS156" s="564"/>
      <c r="DT156" s="564"/>
      <c r="DU156" s="564"/>
      <c r="DV156" s="590"/>
      <c r="DW156" s="564"/>
      <c r="DX156" s="564"/>
      <c r="DY156" s="564"/>
      <c r="DZ156" s="590"/>
      <c r="EA156" s="564"/>
      <c r="EB156" s="564"/>
      <c r="EC156" s="564"/>
      <c r="ED156" s="590"/>
      <c r="EE156" s="589">
        <f>+EE155</f>
        <v>80045.309090904193</v>
      </c>
      <c r="EF156" s="564">
        <f>+EF155</f>
        <v>80045.309090909097</v>
      </c>
      <c r="EG156" s="564">
        <f t="shared" si="218"/>
        <v>-4.9039954319596291E-9</v>
      </c>
      <c r="EH156" s="590">
        <f>+EE$29*EG156+EF156</f>
        <v>80045.309090908529</v>
      </c>
      <c r="EI156" s="589">
        <f>+EI155</f>
        <v>6391.5865530300644</v>
      </c>
      <c r="EJ156" s="564">
        <f>+EJ155</f>
        <v>6391.5865530303026</v>
      </c>
      <c r="EK156" s="564">
        <f t="shared" si="163"/>
        <v>-2.382876118645072E-10</v>
      </c>
      <c r="EL156" s="590">
        <f>+EI$29*EK156+EJ156</f>
        <v>6391.5865530302754</v>
      </c>
      <c r="EM156" s="589">
        <f>+EM155</f>
        <v>260607.54318182546</v>
      </c>
      <c r="EN156" s="564">
        <f>+EN155</f>
        <v>260607.54318181818</v>
      </c>
      <c r="EO156" s="564">
        <f t="shared" si="164"/>
        <v>7.2759576141834259E-9</v>
      </c>
      <c r="EP156" s="590">
        <f>+EM$29*EO156+EN156</f>
        <v>260607.54318181903</v>
      </c>
      <c r="EQ156" s="678">
        <f t="shared" si="165"/>
        <v>347044.43882575782</v>
      </c>
      <c r="ER156" s="675">
        <f>+EQ156</f>
        <v>347044.43882575782</v>
      </c>
      <c r="ES156" s="648"/>
      <c r="EV156" s="589"/>
      <c r="EW156" s="564"/>
      <c r="EX156" s="564"/>
      <c r="EY156" s="590"/>
      <c r="EZ156" s="589"/>
      <c r="FA156" s="564"/>
      <c r="FB156" s="564"/>
      <c r="FC156" s="590"/>
      <c r="FD156" s="589"/>
      <c r="FE156" s="564"/>
      <c r="FF156" s="564"/>
      <c r="FG156" s="590"/>
      <c r="FH156" s="589"/>
      <c r="FI156" s="564"/>
      <c r="FJ156" s="564"/>
      <c r="FK156" s="590"/>
      <c r="FL156" s="589"/>
      <c r="FM156" s="564"/>
      <c r="FN156" s="564"/>
      <c r="FO156" s="590"/>
      <c r="FP156" s="589"/>
      <c r="FQ156" s="564"/>
      <c r="FR156" s="564"/>
      <c r="FS156" s="590"/>
      <c r="FT156" s="589"/>
      <c r="FU156" s="564"/>
      <c r="FV156" s="564"/>
      <c r="FW156" s="590"/>
      <c r="FX156" s="589"/>
      <c r="FY156" s="564"/>
      <c r="FZ156" s="564"/>
      <c r="GA156" s="590"/>
      <c r="GB156" s="589"/>
      <c r="GC156" s="564"/>
      <c r="GD156" s="564"/>
      <c r="GE156" s="590"/>
      <c r="GF156" s="589"/>
      <c r="GG156" s="564"/>
      <c r="GH156" s="564"/>
      <c r="GI156" s="590"/>
      <c r="GJ156" s="589"/>
      <c r="GK156" s="564"/>
      <c r="GL156" s="564"/>
      <c r="GM156" s="590"/>
      <c r="GN156" s="589"/>
      <c r="GO156" s="564"/>
      <c r="GP156" s="564"/>
      <c r="GQ156" s="590"/>
      <c r="GR156" s="589"/>
      <c r="GS156" s="564"/>
      <c r="GT156" s="564"/>
      <c r="GU156" s="590"/>
      <c r="GV156" s="672"/>
      <c r="GW156" s="676"/>
      <c r="GX156" s="676"/>
      <c r="GY156" s="1366"/>
      <c r="GZ156" s="1367"/>
      <c r="HA156" s="1373"/>
      <c r="HB156" s="1373"/>
      <c r="HC156" s="1366"/>
      <c r="HD156" s="1367"/>
      <c r="HE156" s="1373"/>
      <c r="HF156" s="1373"/>
      <c r="HG156" s="1366"/>
      <c r="HI156" s="589"/>
      <c r="HJ156" s="564"/>
      <c r="HK156" s="564"/>
      <c r="HL156" s="590"/>
      <c r="HM156" s="589"/>
      <c r="HN156" s="564"/>
      <c r="HO156" s="564"/>
      <c r="HP156" s="590"/>
      <c r="HQ156" s="589"/>
      <c r="HR156" s="564"/>
      <c r="HS156" s="564"/>
      <c r="HT156" s="590"/>
    </row>
    <row r="157" spans="1:228" ht="13.5" thickBot="1">
      <c r="A157" s="684" t="s">
        <v>458</v>
      </c>
      <c r="B157" s="685" t="s">
        <v>458</v>
      </c>
      <c r="C157" s="686" t="s">
        <v>458</v>
      </c>
      <c r="D157" s="686" t="s">
        <v>459</v>
      </c>
      <c r="E157" s="686" t="s">
        <v>459</v>
      </c>
      <c r="F157" s="687" t="s">
        <v>458</v>
      </c>
      <c r="G157" s="686" t="s">
        <v>458</v>
      </c>
      <c r="H157" s="686" t="s">
        <v>459</v>
      </c>
      <c r="I157" s="686" t="s">
        <v>459</v>
      </c>
      <c r="J157" s="687" t="s">
        <v>458</v>
      </c>
      <c r="K157" s="686" t="s">
        <v>458</v>
      </c>
      <c r="L157" s="686" t="s">
        <v>459</v>
      </c>
      <c r="M157" s="686" t="s">
        <v>459</v>
      </c>
      <c r="N157" s="687" t="s">
        <v>458</v>
      </c>
      <c r="O157" s="686" t="s">
        <v>458</v>
      </c>
      <c r="P157" s="686" t="s">
        <v>459</v>
      </c>
      <c r="Q157" s="686" t="s">
        <v>459</v>
      </c>
      <c r="R157" s="687" t="s">
        <v>458</v>
      </c>
      <c r="S157" s="688" t="s">
        <v>458</v>
      </c>
      <c r="T157" s="688" t="s">
        <v>459</v>
      </c>
      <c r="U157" s="688" t="s">
        <v>459</v>
      </c>
      <c r="V157" s="689" t="s">
        <v>458</v>
      </c>
      <c r="W157" s="688" t="s">
        <v>458</v>
      </c>
      <c r="X157" s="688" t="s">
        <v>459</v>
      </c>
      <c r="Y157" s="688" t="s">
        <v>459</v>
      </c>
      <c r="Z157" s="689" t="s">
        <v>458</v>
      </c>
      <c r="AA157" s="690"/>
      <c r="AB157" s="690"/>
      <c r="AC157" s="690"/>
      <c r="AD157" s="690"/>
      <c r="AE157" s="688" t="s">
        <v>458</v>
      </c>
      <c r="AF157" s="688" t="s">
        <v>459</v>
      </c>
      <c r="AG157" s="688" t="s">
        <v>459</v>
      </c>
      <c r="AH157" s="689" t="s">
        <v>458</v>
      </c>
      <c r="AI157" s="688" t="s">
        <v>458</v>
      </c>
      <c r="AJ157" s="688" t="s">
        <v>459</v>
      </c>
      <c r="AK157" s="688" t="s">
        <v>459</v>
      </c>
      <c r="AL157" s="689" t="s">
        <v>458</v>
      </c>
      <c r="AM157" s="690"/>
      <c r="AN157" s="690"/>
      <c r="AO157" s="690"/>
      <c r="AP157" s="690"/>
      <c r="AQ157" s="688" t="s">
        <v>458</v>
      </c>
      <c r="AR157" s="688" t="s">
        <v>459</v>
      </c>
      <c r="AS157" s="688" t="s">
        <v>459</v>
      </c>
      <c r="AT157" s="689" t="s">
        <v>458</v>
      </c>
      <c r="AU157" s="686" t="s">
        <v>458</v>
      </c>
      <c r="AV157" s="686" t="s">
        <v>459</v>
      </c>
      <c r="AW157" s="686" t="s">
        <v>459</v>
      </c>
      <c r="AX157" s="687" t="s">
        <v>458</v>
      </c>
      <c r="AY157" s="686" t="s">
        <v>458</v>
      </c>
      <c r="AZ157" s="686" t="s">
        <v>459</v>
      </c>
      <c r="BA157" s="686" t="s">
        <v>459</v>
      </c>
      <c r="BB157" s="687" t="s">
        <v>458</v>
      </c>
      <c r="BC157" s="686" t="s">
        <v>458</v>
      </c>
      <c r="BD157" s="686" t="s">
        <v>459</v>
      </c>
      <c r="BE157" s="686" t="s">
        <v>459</v>
      </c>
      <c r="BF157" s="687" t="s">
        <v>458</v>
      </c>
      <c r="BG157" s="686" t="s">
        <v>458</v>
      </c>
      <c r="BH157" s="686" t="s">
        <v>459</v>
      </c>
      <c r="BI157" s="686" t="s">
        <v>459</v>
      </c>
      <c r="BJ157" s="687" t="s">
        <v>458</v>
      </c>
      <c r="BK157" s="686" t="s">
        <v>458</v>
      </c>
      <c r="BL157" s="686" t="s">
        <v>459</v>
      </c>
      <c r="BM157" s="686" t="s">
        <v>459</v>
      </c>
      <c r="BN157" s="687" t="s">
        <v>458</v>
      </c>
      <c r="BO157" s="686" t="s">
        <v>458</v>
      </c>
      <c r="BP157" s="686" t="s">
        <v>459</v>
      </c>
      <c r="BQ157" s="686" t="s">
        <v>459</v>
      </c>
      <c r="BR157" s="687" t="s">
        <v>458</v>
      </c>
      <c r="BS157" s="687"/>
      <c r="BT157" s="687"/>
      <c r="BU157" s="687"/>
      <c r="BV157" s="687"/>
      <c r="BW157" s="687"/>
      <c r="BX157" s="687"/>
      <c r="BY157" s="687"/>
      <c r="BZ157" s="687"/>
      <c r="CA157" s="687"/>
      <c r="CB157" s="687"/>
      <c r="CC157" s="687"/>
      <c r="CD157" s="687"/>
      <c r="CE157" s="687"/>
      <c r="CF157" s="687"/>
      <c r="CG157" s="687"/>
      <c r="CH157" s="687"/>
      <c r="CI157" s="687"/>
      <c r="CJ157" s="687"/>
      <c r="CK157" s="687"/>
      <c r="CL157" s="687"/>
      <c r="CM157" s="687"/>
      <c r="CN157" s="687"/>
      <c r="CO157" s="687"/>
      <c r="CP157" s="687"/>
      <c r="CQ157" s="687"/>
      <c r="CR157" s="687"/>
      <c r="CS157" s="687"/>
      <c r="CT157" s="687"/>
      <c r="CU157" s="687"/>
      <c r="CV157" s="687"/>
      <c r="CW157" s="687"/>
      <c r="CX157" s="687"/>
      <c r="CY157" s="687"/>
      <c r="CZ157" s="687"/>
      <c r="DA157" s="687"/>
      <c r="DB157" s="687"/>
      <c r="DC157" s="687"/>
      <c r="DD157" s="687"/>
      <c r="DE157" s="687"/>
      <c r="DF157" s="687"/>
      <c r="DG157" s="687"/>
      <c r="DH157" s="687"/>
      <c r="DI157" s="687"/>
      <c r="DJ157" s="687"/>
      <c r="DK157" s="687"/>
      <c r="DL157" s="687"/>
      <c r="DM157" s="687"/>
      <c r="DN157" s="687"/>
      <c r="DO157" s="614"/>
      <c r="DP157" s="615"/>
      <c r="DQ157" s="615"/>
      <c r="DR157" s="609"/>
      <c r="DS157" s="687"/>
      <c r="DT157" s="687"/>
      <c r="DU157" s="687"/>
      <c r="DV157" s="687"/>
      <c r="DW157" s="687"/>
      <c r="DX157" s="687"/>
      <c r="DY157" s="687"/>
      <c r="DZ157" s="687"/>
      <c r="EA157" s="687"/>
      <c r="EB157" s="687"/>
      <c r="EC157" s="687"/>
      <c r="ED157" s="687"/>
      <c r="EE157" s="687"/>
      <c r="EF157" s="687"/>
      <c r="EG157" s="687"/>
      <c r="EH157" s="687"/>
      <c r="EI157" s="687"/>
      <c r="EJ157" s="687"/>
      <c r="EK157" s="687"/>
      <c r="EL157" s="687"/>
      <c r="EM157" s="687"/>
      <c r="EN157" s="687"/>
      <c r="EO157" s="687"/>
      <c r="EP157" s="687"/>
      <c r="EQ157" s="691"/>
      <c r="ER157" s="692"/>
      <c r="ES157" s="666"/>
      <c r="EV157" s="614"/>
      <c r="EW157" s="615"/>
      <c r="EX157" s="615"/>
      <c r="EY157" s="609"/>
      <c r="EZ157" s="614"/>
      <c r="FA157" s="615"/>
      <c r="FB157" s="615"/>
      <c r="FC157" s="609"/>
      <c r="FD157" s="614"/>
      <c r="FE157" s="615"/>
      <c r="FF157" s="615"/>
      <c r="FG157" s="609"/>
      <c r="FH157" s="614"/>
      <c r="FI157" s="615"/>
      <c r="FJ157" s="615"/>
      <c r="FK157" s="609"/>
      <c r="FL157" s="614"/>
      <c r="FM157" s="615"/>
      <c r="FN157" s="615"/>
      <c r="FO157" s="609"/>
      <c r="FP157" s="614"/>
      <c r="FQ157" s="615"/>
      <c r="FR157" s="615"/>
      <c r="FS157" s="609"/>
      <c r="FT157" s="614"/>
      <c r="FU157" s="615"/>
      <c r="FV157" s="615"/>
      <c r="FW157" s="609"/>
      <c r="FX157" s="614"/>
      <c r="FY157" s="615"/>
      <c r="FZ157" s="615"/>
      <c r="GA157" s="609"/>
      <c r="GB157" s="614"/>
      <c r="GC157" s="615"/>
      <c r="GD157" s="615"/>
      <c r="GE157" s="609"/>
      <c r="GF157" s="614"/>
      <c r="GG157" s="615"/>
      <c r="GH157" s="615"/>
      <c r="GI157" s="609"/>
      <c r="GJ157" s="614"/>
      <c r="GK157" s="615"/>
      <c r="GL157" s="615"/>
      <c r="GM157" s="609"/>
      <c r="GN157" s="614"/>
      <c r="GO157" s="615"/>
      <c r="GP157" s="615"/>
      <c r="GQ157" s="609"/>
      <c r="GR157" s="614"/>
      <c r="GS157" s="615"/>
      <c r="GT157" s="615"/>
      <c r="GU157" s="609"/>
      <c r="GV157" s="1371"/>
      <c r="GW157" s="1372"/>
      <c r="GX157" s="1372"/>
      <c r="GY157" s="1370"/>
      <c r="GZ157" s="1368"/>
      <c r="HA157" s="1369"/>
      <c r="HB157" s="1369"/>
      <c r="HC157" s="1370"/>
      <c r="HD157" s="1368"/>
      <c r="HE157" s="1369"/>
      <c r="HF157" s="1369"/>
      <c r="HG157" s="1370"/>
      <c r="HI157" s="614"/>
      <c r="HJ157" s="615"/>
      <c r="HK157" s="615"/>
      <c r="HL157" s="609"/>
      <c r="HM157" s="614"/>
      <c r="HN157" s="615"/>
      <c r="HO157" s="615"/>
      <c r="HP157" s="609"/>
      <c r="HQ157" s="614"/>
      <c r="HR157" s="615"/>
      <c r="HS157" s="615"/>
      <c r="HT157" s="609"/>
    </row>
    <row r="158" spans="1:228" ht="13">
      <c r="A158" s="144" t="s">
        <v>301</v>
      </c>
      <c r="B158" s="402"/>
      <c r="C158" s="144"/>
      <c r="D158" s="144"/>
      <c r="E158" s="144"/>
      <c r="F158" s="403"/>
      <c r="G158" s="144"/>
      <c r="H158" s="144"/>
      <c r="I158" s="144"/>
      <c r="J158" s="403"/>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404"/>
      <c r="AG158" s="404"/>
      <c r="AI158" s="562"/>
      <c r="AJ158" s="562"/>
      <c r="AK158" s="562"/>
      <c r="AL158" s="563"/>
      <c r="AN158" s="562"/>
      <c r="AO158" s="562"/>
      <c r="AP158" s="562"/>
      <c r="AQ158" s="563"/>
    </row>
    <row r="159" spans="1:228" ht="13">
      <c r="A159" s="560" t="s">
        <v>1</v>
      </c>
      <c r="AI159" s="562"/>
      <c r="AJ159" s="562"/>
      <c r="AK159" s="562"/>
      <c r="AL159" s="563"/>
      <c r="AN159" s="562"/>
      <c r="AO159" s="562"/>
      <c r="AP159" s="562"/>
      <c r="AQ159" s="563"/>
      <c r="CN159" s="676"/>
      <c r="CR159" s="676"/>
      <c r="CV159" s="676"/>
    </row>
    <row r="160" spans="1:228" ht="13">
      <c r="A160" s="560"/>
      <c r="AI160" s="562"/>
      <c r="AJ160" s="562"/>
      <c r="AK160" s="562"/>
      <c r="AL160" s="563"/>
      <c r="AN160" s="562"/>
      <c r="AO160" s="562"/>
      <c r="AP160" s="562"/>
      <c r="AQ160" s="563"/>
      <c r="CN160" s="676"/>
      <c r="CR160" s="676"/>
      <c r="CV160" s="676"/>
      <c r="DP160" s="564"/>
    </row>
    <row r="161" spans="1:43" ht="13">
      <c r="A161" s="560" t="s">
        <v>2</v>
      </c>
      <c r="B161" s="587"/>
      <c r="C161" s="575"/>
      <c r="D161" s="575"/>
      <c r="E161" s="575"/>
      <c r="F161" s="588"/>
      <c r="G161" s="575"/>
      <c r="H161" s="575"/>
      <c r="I161" s="575"/>
      <c r="AF161" s="875"/>
      <c r="AI161" s="562"/>
      <c r="AJ161" s="562"/>
      <c r="AK161" s="562"/>
      <c r="AL161" s="563"/>
      <c r="AN161" s="562"/>
      <c r="AO161" s="562"/>
      <c r="AP161" s="562"/>
      <c r="AQ161" s="563"/>
    </row>
    <row r="162" spans="1:43" s="575" customFormat="1">
      <c r="A162" s="565" t="s">
        <v>732</v>
      </c>
      <c r="B162" s="587"/>
      <c r="F162" s="588"/>
      <c r="J162" s="588"/>
      <c r="AI162" s="562"/>
      <c r="AJ162" s="562"/>
      <c r="AK162" s="562"/>
      <c r="AL162" s="563"/>
      <c r="AN162" s="562"/>
      <c r="AO162" s="562"/>
      <c r="AP162" s="562"/>
      <c r="AQ162" s="563"/>
    </row>
    <row r="163" spans="1:43" s="575" customFormat="1">
      <c r="A163" s="565" t="s">
        <v>731</v>
      </c>
      <c r="B163" s="587"/>
      <c r="F163" s="588"/>
      <c r="J163" s="588"/>
      <c r="AI163" s="562"/>
      <c r="AJ163" s="562"/>
      <c r="AK163" s="562"/>
      <c r="AL163" s="563"/>
      <c r="AN163" s="562"/>
      <c r="AO163" s="562"/>
      <c r="AP163" s="562"/>
      <c r="AQ163" s="563"/>
    </row>
    <row r="164" spans="1:43" s="575" customFormat="1">
      <c r="A164" s="565" t="s">
        <v>733</v>
      </c>
      <c r="B164" s="587"/>
      <c r="F164" s="588"/>
      <c r="J164" s="588"/>
      <c r="AI164" s="562"/>
      <c r="AJ164" s="562"/>
      <c r="AK164" s="562"/>
      <c r="AL164" s="563"/>
      <c r="AN164" s="562"/>
      <c r="AO164" s="562"/>
      <c r="AP164" s="562"/>
      <c r="AQ164" s="563"/>
    </row>
    <row r="165" spans="1:43" s="575" customFormat="1">
      <c r="A165" s="565" t="s">
        <v>734</v>
      </c>
      <c r="B165" s="587"/>
      <c r="F165" s="588"/>
      <c r="J165" s="588"/>
      <c r="AI165" s="562"/>
      <c r="AJ165" s="562"/>
      <c r="AK165" s="562"/>
      <c r="AL165" s="563"/>
      <c r="AN165" s="562"/>
      <c r="AO165" s="562"/>
      <c r="AP165" s="562"/>
      <c r="AQ165" s="563"/>
    </row>
    <row r="166" spans="1:43">
      <c r="AJ166" s="564"/>
      <c r="AK166" s="564"/>
      <c r="AO166" s="564"/>
      <c r="AP166" s="564"/>
    </row>
    <row r="167" spans="1:43" ht="13">
      <c r="A167" s="940" t="s">
        <v>653</v>
      </c>
      <c r="B167" s="941"/>
      <c r="C167" s="942"/>
      <c r="D167" s="942"/>
      <c r="E167" s="942"/>
      <c r="F167" s="943"/>
      <c r="G167" s="942"/>
      <c r="H167" s="942"/>
      <c r="I167" s="942"/>
      <c r="J167" s="943"/>
    </row>
    <row r="168" spans="1:43">
      <c r="A168" s="944" t="s">
        <v>654</v>
      </c>
      <c r="B168" s="941"/>
      <c r="C168" s="942"/>
      <c r="D168" s="942"/>
      <c r="E168" s="942"/>
      <c r="F168" s="943"/>
      <c r="G168" s="942"/>
      <c r="H168" s="942"/>
      <c r="I168" s="942"/>
      <c r="J168" s="943"/>
    </row>
    <row r="169" spans="1:43">
      <c r="A169" s="944" t="s">
        <v>655</v>
      </c>
      <c r="B169" s="941"/>
      <c r="C169" s="942"/>
      <c r="D169" s="942"/>
      <c r="E169" s="942"/>
      <c r="F169" s="943"/>
      <c r="G169" s="942"/>
      <c r="H169" s="942"/>
      <c r="I169" s="942"/>
      <c r="J169" s="943"/>
    </row>
    <row r="170" spans="1:43">
      <c r="A170" s="944" t="s">
        <v>658</v>
      </c>
      <c r="B170" s="941"/>
      <c r="C170" s="942"/>
      <c r="D170" s="942"/>
      <c r="E170" s="942"/>
      <c r="F170" s="943"/>
      <c r="G170" s="942"/>
      <c r="H170" s="942"/>
      <c r="I170" s="942"/>
      <c r="J170" s="943"/>
    </row>
    <row r="171" spans="1:43">
      <c r="A171" s="944" t="s">
        <v>659</v>
      </c>
      <c r="B171" s="941"/>
      <c r="C171" s="942"/>
      <c r="D171" s="942"/>
      <c r="E171" s="942"/>
      <c r="F171" s="943"/>
      <c r="G171" s="942"/>
      <c r="H171" s="942"/>
      <c r="I171" s="942"/>
      <c r="J171" s="943"/>
    </row>
    <row r="172" spans="1:43">
      <c r="A172" s="944" t="s">
        <v>656</v>
      </c>
      <c r="B172" s="941"/>
      <c r="C172" s="942"/>
      <c r="D172" s="942"/>
      <c r="E172" s="942"/>
      <c r="F172" s="943"/>
      <c r="G172" s="942"/>
      <c r="H172" s="942"/>
      <c r="I172" s="942"/>
      <c r="J172" s="943"/>
    </row>
    <row r="173" spans="1:43">
      <c r="A173" s="944" t="s">
        <v>657</v>
      </c>
      <c r="B173" s="941"/>
      <c r="C173" s="942"/>
      <c r="D173" s="942"/>
      <c r="E173" s="942"/>
      <c r="F173" s="943"/>
      <c r="G173" s="942"/>
      <c r="H173" s="942"/>
      <c r="I173" s="942"/>
      <c r="J173" s="943"/>
    </row>
    <row r="174" spans="1:43">
      <c r="A174" s="575"/>
      <c r="B174" s="587"/>
      <c r="C174" s="575"/>
      <c r="D174" s="575"/>
      <c r="E174" s="575"/>
      <c r="F174" s="588"/>
      <c r="G174" s="575"/>
      <c r="H174" s="575"/>
      <c r="I174" s="575"/>
      <c r="J174" s="588"/>
    </row>
    <row r="175" spans="1:43">
      <c r="A175" s="944" t="s">
        <v>744</v>
      </c>
      <c r="B175" s="941"/>
      <c r="C175" s="942"/>
      <c r="D175" s="942"/>
      <c r="E175" s="942"/>
      <c r="F175" s="943"/>
      <c r="G175" s="942"/>
      <c r="H175" s="942"/>
      <c r="I175" s="942"/>
      <c r="J175" s="943"/>
    </row>
    <row r="176" spans="1:43">
      <c r="A176" s="944" t="s">
        <v>745</v>
      </c>
      <c r="B176" s="941"/>
      <c r="C176" s="942"/>
      <c r="D176" s="942"/>
      <c r="E176" s="942"/>
      <c r="F176" s="943"/>
      <c r="G176" s="942"/>
      <c r="H176" s="942"/>
      <c r="I176" s="942"/>
      <c r="J176" s="943"/>
    </row>
    <row r="390" spans="1:6">
      <c r="A390" s="565"/>
      <c r="B390" s="725"/>
      <c r="C390" s="565"/>
      <c r="D390" s="565"/>
      <c r="E390" s="565"/>
      <c r="F390" s="606"/>
    </row>
    <row r="391" spans="1:6">
      <c r="A391" s="565"/>
      <c r="B391" s="725"/>
      <c r="C391" s="565"/>
      <c r="D391" s="565"/>
      <c r="E391" s="565"/>
      <c r="F391" s="606"/>
    </row>
    <row r="392" spans="1:6">
      <c r="A392" s="565"/>
      <c r="B392" s="725"/>
      <c r="C392" s="565"/>
      <c r="D392" s="565"/>
      <c r="E392" s="565"/>
      <c r="F392" s="606"/>
    </row>
    <row r="393" spans="1:6">
      <c r="A393" s="565"/>
      <c r="B393" s="725"/>
      <c r="C393" s="565"/>
      <c r="D393" s="565"/>
      <c r="E393" s="565"/>
      <c r="F393" s="606"/>
    </row>
    <row r="394" spans="1:6">
      <c r="A394" s="565"/>
      <c r="B394" s="725"/>
      <c r="C394" s="565"/>
      <c r="D394" s="565"/>
      <c r="E394" s="565"/>
      <c r="F394" s="606"/>
    </row>
    <row r="395" spans="1:6">
      <c r="A395" s="565"/>
      <c r="B395" s="725"/>
      <c r="C395" s="565"/>
      <c r="D395" s="565"/>
      <c r="E395" s="565"/>
      <c r="F395" s="606"/>
    </row>
    <row r="396" spans="1:6">
      <c r="A396" s="565"/>
      <c r="B396" s="725"/>
      <c r="C396" s="565"/>
      <c r="D396" s="565"/>
      <c r="E396" s="565"/>
      <c r="F396" s="606"/>
    </row>
    <row r="397" spans="1:6">
      <c r="A397" s="565"/>
      <c r="B397" s="725"/>
      <c r="C397" s="565"/>
      <c r="D397" s="565"/>
      <c r="E397" s="565"/>
      <c r="F397" s="606"/>
    </row>
    <row r="398" spans="1:6">
      <c r="A398" s="565"/>
      <c r="B398" s="725"/>
      <c r="C398" s="565"/>
      <c r="D398" s="565"/>
      <c r="E398" s="565"/>
      <c r="F398" s="606"/>
    </row>
  </sheetData>
  <mergeCells count="54">
    <mergeCell ref="BS23:BV23"/>
    <mergeCell ref="BW23:BZ23"/>
    <mergeCell ref="CA23:CD23"/>
    <mergeCell ref="CE23:CH23"/>
    <mergeCell ref="CI23:CL23"/>
    <mergeCell ref="A1:AQ1"/>
    <mergeCell ref="A3:AQ3"/>
    <mergeCell ref="AI23:AL23"/>
    <mergeCell ref="C23:F23"/>
    <mergeCell ref="G23:J23"/>
    <mergeCell ref="K23:N23"/>
    <mergeCell ref="O23:R23"/>
    <mergeCell ref="S23:V23"/>
    <mergeCell ref="W23:Z23"/>
    <mergeCell ref="AA23:AD23"/>
    <mergeCell ref="AE23:AH23"/>
    <mergeCell ref="AM23:AP23"/>
    <mergeCell ref="AQ23:AT23"/>
    <mergeCell ref="HQ24:HT24"/>
    <mergeCell ref="CM23:CP23"/>
    <mergeCell ref="CQ23:CT23"/>
    <mergeCell ref="CU23:CX23"/>
    <mergeCell ref="HM23:HP23"/>
    <mergeCell ref="HM24:HP24"/>
    <mergeCell ref="HI24:HL24"/>
    <mergeCell ref="EV23:EY23"/>
    <mergeCell ref="FD23:FG23"/>
    <mergeCell ref="FL23:FO23"/>
    <mergeCell ref="FP23:FS23"/>
    <mergeCell ref="HI23:HL23"/>
    <mergeCell ref="EZ23:FC23"/>
    <mergeCell ref="FH23:FK23"/>
    <mergeCell ref="FT23:FW23"/>
    <mergeCell ref="FX23:GA23"/>
    <mergeCell ref="HQ23:HT23"/>
    <mergeCell ref="GB23:GE23"/>
    <mergeCell ref="GF23:GI23"/>
    <mergeCell ref="GJ23:GM23"/>
    <mergeCell ref="GN23:GQ23"/>
    <mergeCell ref="GR23:GU23"/>
    <mergeCell ref="GV23:GY23"/>
    <mergeCell ref="GZ23:HC23"/>
    <mergeCell ref="HD23:HG23"/>
    <mergeCell ref="EE23:EH23"/>
    <mergeCell ref="EI23:EL23"/>
    <mergeCell ref="EM23:EP23"/>
    <mergeCell ref="CY23:DB23"/>
    <mergeCell ref="DC23:DF23"/>
    <mergeCell ref="DG23:DJ23"/>
    <mergeCell ref="DK23:DN23"/>
    <mergeCell ref="DO23:DR23"/>
    <mergeCell ref="DS23:DV23"/>
    <mergeCell ref="DW23:DZ23"/>
    <mergeCell ref="EA23:ED23"/>
  </mergeCells>
  <phoneticPr fontId="0" type="noConversion"/>
  <printOptions horizontalCentered="1"/>
  <pageMargins left="0.27" right="0" top="0.39" bottom="0.18" header="0.24" footer="0.22"/>
  <pageSetup paperSize="5" scale="50" fitToHeight="2" orientation="landscape" r:id="rId1"/>
  <headerFooter alignWithMargins="0">
    <oddHeader>&amp;R&amp;"Times New Roman,Bold"&amp;22Appendix A
Page &amp;P of &amp;N</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45"/>
  <sheetViews>
    <sheetView workbookViewId="0">
      <selection sqref="A1:F1"/>
    </sheetView>
  </sheetViews>
  <sheetFormatPr defaultColWidth="9.1796875" defaultRowHeight="12.5"/>
  <cols>
    <col min="1" max="1" width="9.1796875" style="561"/>
    <col min="2" max="2" width="1.453125" style="561" customWidth="1"/>
    <col min="3" max="3" width="2.26953125" style="561" customWidth="1"/>
    <col min="4" max="4" width="43.453125" style="561" customWidth="1"/>
    <col min="5" max="5" width="19.7265625" style="561" customWidth="1"/>
    <col min="6" max="6" width="19.453125" style="561" customWidth="1"/>
    <col min="7" max="7" width="20.54296875" style="561" bestFit="1" customWidth="1"/>
    <col min="8" max="16384" width="9.1796875" style="561"/>
  </cols>
  <sheetData>
    <row r="1" spans="1:8" ht="14">
      <c r="A1" s="1623" t="str">
        <f>+'ATT H-2A'!A4</f>
        <v>Baltimore Gas and Electric Company</v>
      </c>
      <c r="B1" s="1623"/>
      <c r="C1" s="1623"/>
      <c r="D1" s="1623"/>
      <c r="E1" s="1623"/>
      <c r="F1" s="1623"/>
    </row>
    <row r="2" spans="1:8" ht="13">
      <c r="A2" s="148"/>
    </row>
    <row r="3" spans="1:8" ht="15.5">
      <c r="A3" s="1516" t="s">
        <v>51</v>
      </c>
      <c r="B3" s="1622"/>
      <c r="C3" s="1622"/>
      <c r="D3" s="1622"/>
      <c r="E3" s="1622"/>
      <c r="F3" s="1622"/>
    </row>
    <row r="4" spans="1:8">
      <c r="B4" s="93"/>
      <c r="C4" s="842"/>
      <c r="D4" s="842"/>
    </row>
    <row r="5" spans="1:8">
      <c r="A5" s="93"/>
    </row>
    <row r="6" spans="1:8" ht="13">
      <c r="E6" s="149"/>
    </row>
    <row r="8" spans="1:8">
      <c r="B8" s="575"/>
      <c r="C8" s="575"/>
      <c r="D8" s="575"/>
      <c r="E8" s="575"/>
      <c r="F8" s="575"/>
      <c r="G8" s="575"/>
      <c r="H8" s="575"/>
    </row>
    <row r="9" spans="1:8" ht="13">
      <c r="B9" s="150"/>
      <c r="C9" s="150"/>
      <c r="D9" s="150"/>
      <c r="E9" s="150"/>
      <c r="F9" s="150"/>
      <c r="G9" s="150"/>
      <c r="H9" s="575"/>
    </row>
    <row r="10" spans="1:8">
      <c r="B10" s="575"/>
      <c r="C10" s="575"/>
      <c r="D10" s="575"/>
      <c r="E10" s="575"/>
      <c r="F10" s="575"/>
      <c r="G10" s="575"/>
      <c r="H10" s="575"/>
    </row>
    <row r="12" spans="1:8">
      <c r="A12" s="561" t="s">
        <v>420</v>
      </c>
    </row>
    <row r="13" spans="1:8">
      <c r="C13" s="561" t="s">
        <v>155</v>
      </c>
    </row>
    <row r="14" spans="1:8" ht="13">
      <c r="A14" s="148">
        <f>+'ATT H-2A'!A186</f>
        <v>100</v>
      </c>
      <c r="B14" s="148">
        <f>+'ATT H-2A'!B186</f>
        <v>0</v>
      </c>
      <c r="C14" s="148" t="str">
        <f>+'ATT H-2A'!C186</f>
        <v xml:space="preserve">    Less LTD Interest on Securitization Bonds</v>
      </c>
      <c r="D14" s="148"/>
      <c r="E14" s="822">
        <v>0</v>
      </c>
      <c r="F14" s="709"/>
    </row>
    <row r="15" spans="1:8">
      <c r="F15" s="575"/>
    </row>
    <row r="16" spans="1:8">
      <c r="F16" s="575"/>
    </row>
    <row r="17" spans="1:6">
      <c r="C17" s="561" t="s">
        <v>274</v>
      </c>
      <c r="F17" s="575"/>
    </row>
    <row r="18" spans="1:6" ht="13">
      <c r="A18" s="148">
        <f>+'ATT H-2A'!A203</f>
        <v>111</v>
      </c>
      <c r="C18" s="148" t="str">
        <f>+'ATT H-2A'!C203</f>
        <v xml:space="preserve">      Less LTD on Securitization Bonds</v>
      </c>
      <c r="D18" s="148"/>
      <c r="E18" s="822">
        <v>0</v>
      </c>
      <c r="F18" s="709"/>
    </row>
    <row r="21" spans="1:6">
      <c r="C21" s="575" t="s">
        <v>641</v>
      </c>
      <c r="D21" s="575"/>
      <c r="E21" s="575"/>
    </row>
    <row r="22" spans="1:6">
      <c r="D22" s="876"/>
      <c r="E22" s="876"/>
      <c r="F22" s="876"/>
    </row>
    <row r="23" spans="1:6">
      <c r="D23" s="876"/>
      <c r="E23" s="876"/>
      <c r="F23" s="876"/>
    </row>
    <row r="24" spans="1:6">
      <c r="D24" s="876"/>
      <c r="E24" s="876"/>
      <c r="F24" s="876"/>
    </row>
    <row r="25" spans="1:6">
      <c r="D25" s="876"/>
      <c r="E25" s="876"/>
      <c r="F25" s="876"/>
    </row>
    <row r="26" spans="1:6">
      <c r="D26" s="876"/>
      <c r="E26" s="876"/>
      <c r="F26" s="876"/>
    </row>
    <row r="27" spans="1:6">
      <c r="D27" s="876"/>
      <c r="E27" s="876"/>
      <c r="F27" s="876"/>
    </row>
    <row r="28" spans="1:6">
      <c r="D28" s="876"/>
      <c r="E28" s="876"/>
      <c r="F28" s="876"/>
    </row>
    <row r="29" spans="1:6">
      <c r="D29" s="876"/>
      <c r="E29" s="876"/>
      <c r="F29" s="876"/>
    </row>
    <row r="30" spans="1:6">
      <c r="D30" s="876"/>
      <c r="E30" s="876"/>
      <c r="F30" s="876"/>
    </row>
    <row r="31" spans="1:6">
      <c r="D31" s="876"/>
      <c r="E31" s="876"/>
      <c r="F31" s="876"/>
    </row>
    <row r="32" spans="1:6">
      <c r="D32" s="876"/>
      <c r="E32" s="876"/>
      <c r="F32" s="876"/>
    </row>
    <row r="33" spans="4:6">
      <c r="D33" s="876"/>
      <c r="E33" s="876"/>
      <c r="F33" s="876"/>
    </row>
    <row r="34" spans="4:6">
      <c r="D34" s="876"/>
      <c r="E34" s="876"/>
      <c r="F34" s="876"/>
    </row>
    <row r="35" spans="4:6">
      <c r="D35" s="876"/>
      <c r="E35" s="876"/>
      <c r="F35" s="876"/>
    </row>
    <row r="36" spans="4:6">
      <c r="D36" s="876"/>
      <c r="E36" s="876"/>
      <c r="F36" s="876"/>
    </row>
    <row r="37" spans="4:6">
      <c r="D37" s="876"/>
      <c r="E37" s="876"/>
      <c r="F37" s="876"/>
    </row>
    <row r="38" spans="4:6">
      <c r="D38" s="876"/>
      <c r="E38" s="876"/>
      <c r="F38" s="876"/>
    </row>
    <row r="39" spans="4:6">
      <c r="D39" s="876"/>
      <c r="E39" s="876"/>
      <c r="F39" s="876"/>
    </row>
    <row r="40" spans="4:6">
      <c r="D40" s="876"/>
      <c r="E40" s="876"/>
      <c r="F40" s="876"/>
    </row>
    <row r="41" spans="4:6">
      <c r="D41" s="876"/>
      <c r="E41" s="876"/>
      <c r="F41" s="876"/>
    </row>
    <row r="42" spans="4:6">
      <c r="D42" s="876"/>
      <c r="E42" s="876"/>
      <c r="F42" s="876"/>
    </row>
    <row r="43" spans="4:6">
      <c r="D43" s="876"/>
      <c r="E43" s="876"/>
      <c r="F43" s="876"/>
    </row>
    <row r="44" spans="4:6">
      <c r="D44" s="876"/>
      <c r="E44" s="876"/>
      <c r="F44" s="876"/>
    </row>
    <row r="45" spans="4:6">
      <c r="D45" s="876"/>
      <c r="E45" s="876"/>
      <c r="F45" s="876"/>
    </row>
  </sheetData>
  <mergeCells count="2">
    <mergeCell ref="A3:F3"/>
    <mergeCell ref="A1:F1"/>
  </mergeCells>
  <phoneticPr fontId="0" type="noConversion"/>
  <pageMargins left="0.75" right="0.75" top="1.5" bottom="1" header="0.5" footer="0.5"/>
  <pageSetup scale="94" orientation="portrait" r:id="rId1"/>
  <headerFooter alignWithMargins="0">
    <oddHeader>&amp;R&amp;"Times New Roman,Bold"&amp;11Appendix A
Page &amp;P of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A4CE5-6F8E-4A7C-9C20-6A5991058DB0}">
  <dimension ref="A1:J54"/>
  <sheetViews>
    <sheetView zoomScale="110" zoomScaleNormal="110" workbookViewId="0">
      <selection activeCell="C44" sqref="C44"/>
    </sheetView>
  </sheetViews>
  <sheetFormatPr defaultColWidth="9.1796875" defaultRowHeight="13"/>
  <cols>
    <col min="1" max="1" width="9.1796875" style="1380"/>
    <col min="2" max="2" width="10.453125" style="1380" customWidth="1"/>
    <col min="3" max="3" width="51.1796875" style="1380" bestFit="1" customWidth="1"/>
    <col min="4" max="4" width="9.1796875" style="1380"/>
    <col min="5" max="5" width="9.1796875" style="1405"/>
    <col min="6" max="16384" width="9.1796875" style="1380"/>
  </cols>
  <sheetData>
    <row r="1" spans="1:10">
      <c r="A1" s="1624" t="s">
        <v>767</v>
      </c>
      <c r="B1" s="1624"/>
      <c r="C1" s="1624"/>
      <c r="D1" s="1624"/>
      <c r="E1" s="1624"/>
      <c r="F1" s="1379"/>
    </row>
    <row r="2" spans="1:10">
      <c r="A2" s="1624" t="s">
        <v>1259</v>
      </c>
      <c r="B2" s="1624"/>
      <c r="C2" s="1624"/>
      <c r="D2" s="1624"/>
      <c r="E2" s="1624"/>
      <c r="F2" s="1381"/>
    </row>
    <row r="3" spans="1:10">
      <c r="A3" s="1382"/>
      <c r="B3" s="1383" t="s">
        <v>768</v>
      </c>
      <c r="C3" s="1384"/>
      <c r="D3" s="1384"/>
      <c r="E3" s="1385" t="s">
        <v>769</v>
      </c>
      <c r="F3" s="1382"/>
      <c r="H3" s="1386"/>
      <c r="J3" s="1387"/>
    </row>
    <row r="4" spans="1:10">
      <c r="A4" s="1382"/>
      <c r="B4" s="1384" t="s">
        <v>770</v>
      </c>
      <c r="C4" s="1384" t="s">
        <v>771</v>
      </c>
      <c r="D4" s="1384"/>
      <c r="E4" s="1388" t="s">
        <v>772</v>
      </c>
      <c r="F4" s="1382"/>
      <c r="H4" s="1389"/>
      <c r="J4" s="1387"/>
    </row>
    <row r="5" spans="1:10">
      <c r="A5" s="1382"/>
      <c r="B5" s="1390">
        <v>350.2</v>
      </c>
      <c r="C5" s="1391" t="s">
        <v>773</v>
      </c>
      <c r="D5" s="1391"/>
      <c r="E5" s="1400">
        <v>1.22</v>
      </c>
      <c r="F5" s="1393"/>
      <c r="H5" s="1386"/>
      <c r="J5" s="1387"/>
    </row>
    <row r="6" spans="1:10">
      <c r="A6" s="1382"/>
      <c r="B6" s="1390">
        <v>352</v>
      </c>
      <c r="C6" s="1391" t="s">
        <v>774</v>
      </c>
      <c r="D6" s="1391"/>
      <c r="E6" s="1400">
        <v>1.84</v>
      </c>
      <c r="F6" s="1393"/>
      <c r="H6" s="1389"/>
      <c r="J6" s="1387"/>
    </row>
    <row r="7" spans="1:10">
      <c r="A7" s="1382"/>
      <c r="B7" s="1390">
        <v>353</v>
      </c>
      <c r="C7" s="1391" t="s">
        <v>775</v>
      </c>
      <c r="D7" s="1391"/>
      <c r="E7" s="1400">
        <v>2.17</v>
      </c>
      <c r="F7" s="1393"/>
      <c r="J7" s="1394"/>
    </row>
    <row r="8" spans="1:10">
      <c r="A8" s="1382"/>
      <c r="B8" s="1390">
        <v>354</v>
      </c>
      <c r="C8" s="1391" t="s">
        <v>776</v>
      </c>
      <c r="D8" s="1391"/>
      <c r="E8" s="1400">
        <v>2.02</v>
      </c>
      <c r="F8" s="1393"/>
      <c r="H8" s="1395"/>
      <c r="I8" s="1396"/>
      <c r="J8" s="1397"/>
    </row>
    <row r="9" spans="1:10">
      <c r="A9" s="1382"/>
      <c r="B9" s="1390">
        <v>355</v>
      </c>
      <c r="C9" s="1391" t="s">
        <v>777</v>
      </c>
      <c r="D9" s="1391"/>
      <c r="E9" s="1400">
        <v>2.57</v>
      </c>
      <c r="F9" s="1393"/>
    </row>
    <row r="10" spans="1:10">
      <c r="A10" s="1382"/>
      <c r="B10" s="1390">
        <v>356</v>
      </c>
      <c r="C10" s="1391" t="s">
        <v>778</v>
      </c>
      <c r="D10" s="1391"/>
      <c r="E10" s="1400">
        <v>3.03</v>
      </c>
      <c r="F10" s="1393"/>
    </row>
    <row r="11" spans="1:10">
      <c r="A11" s="1382"/>
      <c r="B11" s="1390">
        <v>357</v>
      </c>
      <c r="C11" s="1391" t="s">
        <v>779</v>
      </c>
      <c r="D11" s="1391"/>
      <c r="E11" s="1400">
        <v>1.65</v>
      </c>
      <c r="F11" s="1393"/>
    </row>
    <row r="12" spans="1:10">
      <c r="A12" s="1382"/>
      <c r="B12" s="1390">
        <v>358</v>
      </c>
      <c r="C12" s="1391" t="s">
        <v>780</v>
      </c>
      <c r="D12" s="1391"/>
      <c r="E12" s="1400">
        <v>1.6</v>
      </c>
      <c r="F12" s="1393"/>
    </row>
    <row r="13" spans="1:10">
      <c r="A13" s="1382"/>
      <c r="B13" s="1390">
        <v>359</v>
      </c>
      <c r="C13" s="1391" t="s">
        <v>781</v>
      </c>
      <c r="D13" s="1391"/>
      <c r="E13" s="1392">
        <v>1.74</v>
      </c>
      <c r="F13" s="1393"/>
    </row>
    <row r="14" spans="1:10">
      <c r="A14" s="1382"/>
      <c r="B14" s="1383" t="s">
        <v>782</v>
      </c>
      <c r="C14" s="1384"/>
      <c r="D14" s="1384"/>
      <c r="E14" s="1385" t="s">
        <v>769</v>
      </c>
      <c r="F14" s="1398"/>
    </row>
    <row r="15" spans="1:10">
      <c r="A15" s="1382"/>
      <c r="B15" s="1399" t="s">
        <v>770</v>
      </c>
      <c r="C15" s="1399" t="s">
        <v>771</v>
      </c>
      <c r="D15" s="1399"/>
      <c r="E15" s="1388" t="s">
        <v>772</v>
      </c>
      <c r="F15" s="1398"/>
    </row>
    <row r="16" spans="1:10">
      <c r="A16" s="1382"/>
      <c r="B16" s="1390">
        <v>390</v>
      </c>
      <c r="C16" s="1391" t="s">
        <v>774</v>
      </c>
      <c r="D16" s="1391"/>
      <c r="E16" s="1392">
        <v>7.05</v>
      </c>
      <c r="F16" s="1393"/>
    </row>
    <row r="17" spans="1:6">
      <c r="A17" s="1382"/>
      <c r="B17" s="1390">
        <v>391.1</v>
      </c>
      <c r="C17" s="1391" t="s">
        <v>783</v>
      </c>
      <c r="D17" s="1391"/>
      <c r="E17" s="1392">
        <v>3.91</v>
      </c>
      <c r="F17" s="1393"/>
    </row>
    <row r="18" spans="1:6">
      <c r="A18" s="1382"/>
      <c r="B18" s="1390">
        <v>391.2</v>
      </c>
      <c r="C18" s="1391" t="s">
        <v>784</v>
      </c>
      <c r="D18" s="1391"/>
      <c r="E18" s="1400">
        <v>8</v>
      </c>
      <c r="F18" s="1393"/>
    </row>
    <row r="19" spans="1:6">
      <c r="A19" s="1382"/>
      <c r="B19" s="1390">
        <v>391.33</v>
      </c>
      <c r="C19" s="1391" t="s">
        <v>785</v>
      </c>
      <c r="D19" s="1391"/>
      <c r="E19" s="1392">
        <v>32.42</v>
      </c>
      <c r="F19" s="1393"/>
    </row>
    <row r="20" spans="1:6">
      <c r="A20" s="1382"/>
      <c r="B20" s="1390">
        <v>393</v>
      </c>
      <c r="C20" s="1391" t="s">
        <v>786</v>
      </c>
      <c r="D20" s="1391"/>
      <c r="E20" s="1392">
        <v>6.55</v>
      </c>
      <c r="F20" s="1393"/>
    </row>
    <row r="21" spans="1:6">
      <c r="A21" s="1382"/>
      <c r="B21" s="1390">
        <v>394</v>
      </c>
      <c r="C21" s="1391" t="s">
        <v>787</v>
      </c>
      <c r="D21" s="1391"/>
      <c r="E21" s="1400">
        <v>5.4</v>
      </c>
      <c r="F21" s="1393"/>
    </row>
    <row r="22" spans="1:6">
      <c r="A22" s="1382"/>
      <c r="B22" s="1390">
        <v>395</v>
      </c>
      <c r="C22" s="1391" t="s">
        <v>788</v>
      </c>
      <c r="D22" s="1391"/>
      <c r="E22" s="1392">
        <v>0.97</v>
      </c>
      <c r="F22" s="1393"/>
    </row>
    <row r="23" spans="1:6">
      <c r="A23" s="1382"/>
      <c r="B23" s="1390">
        <v>397</v>
      </c>
      <c r="C23" s="1391" t="s">
        <v>789</v>
      </c>
      <c r="D23" s="1391"/>
      <c r="E23" s="1392">
        <v>8.2899999999999991</v>
      </c>
      <c r="F23" s="1393"/>
    </row>
    <row r="24" spans="1:6">
      <c r="A24" s="1382"/>
      <c r="B24" s="1390">
        <v>397.64</v>
      </c>
      <c r="C24" s="1391" t="s">
        <v>790</v>
      </c>
      <c r="D24" s="1391"/>
      <c r="E24" s="1392">
        <v>10.54</v>
      </c>
      <c r="F24" s="1393"/>
    </row>
    <row r="25" spans="1:6">
      <c r="A25" s="1382"/>
      <c r="B25" s="1390">
        <v>398</v>
      </c>
      <c r="C25" s="1391" t="s">
        <v>791</v>
      </c>
      <c r="D25" s="1391"/>
      <c r="E25" s="1392">
        <v>4.93</v>
      </c>
      <c r="F25" s="1393"/>
    </row>
    <row r="26" spans="1:6">
      <c r="A26" s="1382"/>
      <c r="B26" s="1383" t="s">
        <v>792</v>
      </c>
      <c r="C26" s="1391"/>
      <c r="D26" s="1391"/>
      <c r="E26" s="1385" t="s">
        <v>769</v>
      </c>
      <c r="F26" s="1393"/>
    </row>
    <row r="27" spans="1:6">
      <c r="A27" s="1382"/>
      <c r="B27" s="1384" t="s">
        <v>770</v>
      </c>
      <c r="C27" s="1384" t="s">
        <v>771</v>
      </c>
      <c r="D27" s="1384"/>
      <c r="E27" s="1388" t="s">
        <v>772</v>
      </c>
      <c r="F27" s="1393"/>
    </row>
    <row r="28" spans="1:6">
      <c r="A28" s="1382"/>
      <c r="B28" s="1390">
        <v>390</v>
      </c>
      <c r="C28" s="1391" t="s">
        <v>774</v>
      </c>
      <c r="D28" s="1391"/>
      <c r="E28" s="1400">
        <v>2.13</v>
      </c>
      <c r="F28" s="1393"/>
    </row>
    <row r="29" spans="1:6">
      <c r="A29" s="1382"/>
      <c r="B29" s="1390">
        <v>391.1</v>
      </c>
      <c r="C29" s="1391" t="s">
        <v>783</v>
      </c>
      <c r="D29" s="1391"/>
      <c r="E29" s="1400">
        <v>4.63</v>
      </c>
      <c r="F29" s="1398"/>
    </row>
    <row r="30" spans="1:6">
      <c r="A30" s="1382"/>
      <c r="B30" s="1390">
        <v>391.2</v>
      </c>
      <c r="C30" s="1391" t="s">
        <v>784</v>
      </c>
      <c r="D30" s="1391"/>
      <c r="E30" s="1400">
        <v>6.21</v>
      </c>
      <c r="F30" s="1398"/>
    </row>
    <row r="31" spans="1:6">
      <c r="A31" s="1382"/>
      <c r="B31" s="1390">
        <v>391.33</v>
      </c>
      <c r="C31" s="1391" t="s">
        <v>793</v>
      </c>
      <c r="D31" s="1391"/>
      <c r="E31" s="1400">
        <v>13.47</v>
      </c>
      <c r="F31" s="1401"/>
    </row>
    <row r="32" spans="1:6">
      <c r="A32" s="1382"/>
      <c r="B32" s="1390">
        <v>391.36</v>
      </c>
      <c r="C32" s="1391" t="s">
        <v>794</v>
      </c>
      <c r="D32" s="1391"/>
      <c r="E32" s="1400">
        <v>10.49</v>
      </c>
      <c r="F32" s="1401"/>
    </row>
    <row r="33" spans="1:6">
      <c r="A33" s="1382"/>
      <c r="B33" s="1390">
        <v>392.1</v>
      </c>
      <c r="C33" s="1391" t="s">
        <v>1260</v>
      </c>
      <c r="D33" s="1391"/>
      <c r="E33" s="1400">
        <v>10.86</v>
      </c>
      <c r="F33" s="1401"/>
    </row>
    <row r="34" spans="1:6">
      <c r="A34" s="1382"/>
      <c r="B34" s="1390">
        <v>392.2</v>
      </c>
      <c r="C34" s="1391" t="s">
        <v>1261</v>
      </c>
      <c r="D34" s="1391"/>
      <c r="E34" s="1400">
        <v>8.34</v>
      </c>
      <c r="F34" s="1401"/>
    </row>
    <row r="35" spans="1:6">
      <c r="A35" s="1382"/>
      <c r="B35" s="1390">
        <v>392.3</v>
      </c>
      <c r="C35" s="1391" t="s">
        <v>1262</v>
      </c>
      <c r="D35" s="1391"/>
      <c r="E35" s="1400">
        <v>6.33</v>
      </c>
      <c r="F35" s="1401"/>
    </row>
    <row r="36" spans="1:6">
      <c r="A36" s="1382"/>
      <c r="B36" s="1390">
        <v>392.4</v>
      </c>
      <c r="C36" s="1391" t="s">
        <v>1263</v>
      </c>
      <c r="D36" s="1391"/>
      <c r="E36" s="1400">
        <v>5.67</v>
      </c>
      <c r="F36" s="1401"/>
    </row>
    <row r="37" spans="1:6">
      <c r="A37" s="1382"/>
      <c r="B37" s="1390">
        <v>392.6</v>
      </c>
      <c r="C37" s="1391" t="s">
        <v>1264</v>
      </c>
      <c r="D37" s="1402"/>
      <c r="E37" s="1400">
        <v>4.57</v>
      </c>
      <c r="F37" s="1401"/>
    </row>
    <row r="38" spans="1:6">
      <c r="A38" s="1382"/>
      <c r="B38" s="1390">
        <v>392.7</v>
      </c>
      <c r="C38" s="1391" t="s">
        <v>1265</v>
      </c>
      <c r="D38" s="1402"/>
      <c r="E38" s="1400">
        <v>25.42</v>
      </c>
      <c r="F38" s="1401"/>
    </row>
    <row r="39" spans="1:6">
      <c r="A39" s="1382"/>
      <c r="B39" s="1390">
        <v>393</v>
      </c>
      <c r="C39" s="1391" t="s">
        <v>786</v>
      </c>
      <c r="D39" s="1391"/>
      <c r="E39" s="1400">
        <v>7.66</v>
      </c>
      <c r="F39" s="1401"/>
    </row>
    <row r="40" spans="1:6">
      <c r="A40" s="1382"/>
      <c r="B40" s="1390">
        <v>394.1</v>
      </c>
      <c r="C40" s="1391" t="s">
        <v>795</v>
      </c>
      <c r="D40" s="1391"/>
      <c r="E40" s="1400">
        <v>3.23</v>
      </c>
      <c r="F40" s="1401"/>
    </row>
    <row r="41" spans="1:6">
      <c r="A41" s="1382"/>
      <c r="B41" s="1390">
        <v>394.2</v>
      </c>
      <c r="C41" s="1391" t="s">
        <v>796</v>
      </c>
      <c r="D41" s="1391"/>
      <c r="E41" s="1400">
        <v>5.28</v>
      </c>
      <c r="F41" s="1401"/>
    </row>
    <row r="42" spans="1:6">
      <c r="A42" s="1382"/>
      <c r="B42" s="1390">
        <v>394.3</v>
      </c>
      <c r="C42" s="1391" t="s">
        <v>797</v>
      </c>
      <c r="D42" s="1391"/>
      <c r="E42" s="1400">
        <v>7.32</v>
      </c>
      <c r="F42" s="1401"/>
    </row>
    <row r="43" spans="1:6">
      <c r="A43" s="1382"/>
      <c r="B43" s="1390">
        <v>395</v>
      </c>
      <c r="C43" s="1391" t="s">
        <v>788</v>
      </c>
      <c r="D43" s="1391"/>
      <c r="E43" s="1400">
        <v>4.34</v>
      </c>
      <c r="F43" s="1401"/>
    </row>
    <row r="44" spans="1:6">
      <c r="A44" s="1382"/>
      <c r="B44" s="1390">
        <v>396</v>
      </c>
      <c r="C44" s="1391" t="s">
        <v>1266</v>
      </c>
      <c r="D44" s="1402"/>
      <c r="E44" s="1400">
        <v>5.89</v>
      </c>
      <c r="F44" s="1401"/>
    </row>
    <row r="45" spans="1:6">
      <c r="A45" s="1382"/>
      <c r="B45" s="1390">
        <v>397.1</v>
      </c>
      <c r="C45" s="1391" t="s">
        <v>798</v>
      </c>
      <c r="D45" s="1391"/>
      <c r="E45" s="1400">
        <v>5.69</v>
      </c>
      <c r="F45" s="1401"/>
    </row>
    <row r="46" spans="1:6">
      <c r="A46" s="1382"/>
      <c r="B46" s="1390">
        <v>397.2</v>
      </c>
      <c r="C46" s="1391" t="s">
        <v>799</v>
      </c>
      <c r="D46" s="1391"/>
      <c r="E46" s="1400">
        <v>1.2</v>
      </c>
      <c r="F46" s="1401"/>
    </row>
    <row r="47" spans="1:6">
      <c r="A47" s="1382"/>
      <c r="B47" s="1390">
        <v>397.3</v>
      </c>
      <c r="C47" s="1391" t="s">
        <v>800</v>
      </c>
      <c r="D47" s="1391"/>
      <c r="E47" s="1400">
        <v>5.01</v>
      </c>
      <c r="F47" s="1401"/>
    </row>
    <row r="48" spans="1:6">
      <c r="A48" s="1382"/>
      <c r="B48" s="1390">
        <v>397.6</v>
      </c>
      <c r="C48" s="1391" t="s">
        <v>801</v>
      </c>
      <c r="D48" s="1391"/>
      <c r="E48" s="1400">
        <v>12.26</v>
      </c>
      <c r="F48" s="1401"/>
    </row>
    <row r="49" spans="2:5">
      <c r="B49" s="1390">
        <v>398</v>
      </c>
      <c r="C49" s="1391" t="s">
        <v>791</v>
      </c>
      <c r="D49" s="1391"/>
      <c r="E49" s="1400">
        <v>3.63</v>
      </c>
    </row>
    <row r="50" spans="2:5" ht="12.75" customHeight="1">
      <c r="B50" s="1403"/>
      <c r="C50" s="1403"/>
      <c r="D50" s="1403"/>
      <c r="E50" s="1404"/>
    </row>
    <row r="51" spans="2:5">
      <c r="B51" s="1625" t="s">
        <v>1208</v>
      </c>
      <c r="C51" s="1625"/>
      <c r="D51" s="1625"/>
      <c r="E51" s="1625"/>
    </row>
    <row r="52" spans="2:5">
      <c r="B52" s="1625"/>
      <c r="C52" s="1625"/>
      <c r="D52" s="1625"/>
      <c r="E52" s="1625"/>
    </row>
    <row r="53" spans="2:5">
      <c r="B53" s="1625"/>
      <c r="C53" s="1625"/>
      <c r="D53" s="1625"/>
      <c r="E53" s="1625"/>
    </row>
    <row r="54" spans="2:5">
      <c r="B54" s="1625"/>
      <c r="C54" s="1625"/>
      <c r="D54" s="1625"/>
      <c r="E54" s="1625"/>
    </row>
  </sheetData>
  <mergeCells count="3">
    <mergeCell ref="A1:E1"/>
    <mergeCell ref="A2:E2"/>
    <mergeCell ref="B51:E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F184"/>
  <sheetViews>
    <sheetView zoomScale="80" zoomScaleNormal="80" workbookViewId="0">
      <selection activeCell="E10" sqref="E10"/>
    </sheetView>
  </sheetViews>
  <sheetFormatPr defaultColWidth="9.1796875" defaultRowHeight="12.5"/>
  <cols>
    <col min="1" max="1" width="5.7265625" style="561" customWidth="1"/>
    <col min="2" max="2" width="9.81640625" style="814" bestFit="1" customWidth="1"/>
    <col min="3" max="3" width="62.7265625" style="561" customWidth="1"/>
    <col min="4" max="4" width="1.7265625" style="561" customWidth="1"/>
    <col min="5" max="5" width="21.81640625" style="561" customWidth="1"/>
    <col min="6" max="9" width="23.7265625" style="561" customWidth="1"/>
    <col min="10" max="10" width="75" style="812" customWidth="1"/>
    <col min="11" max="11" width="19" style="813" bestFit="1" customWidth="1"/>
    <col min="12" max="12" width="15.54296875" style="813" bestFit="1" customWidth="1"/>
    <col min="13" max="13" width="19" style="813" bestFit="1" customWidth="1"/>
    <col min="14" max="16384" width="9.1796875" style="561"/>
  </cols>
  <sheetData>
    <row r="1" spans="1:10" s="1062" customFormat="1" ht="13">
      <c r="A1" s="1481" t="s">
        <v>1090</v>
      </c>
      <c r="B1" s="1481"/>
      <c r="C1" s="1481"/>
      <c r="D1" s="1481"/>
      <c r="E1" s="1481"/>
      <c r="F1" s="1481"/>
      <c r="G1" s="1481"/>
      <c r="H1" s="1481"/>
      <c r="I1" s="1481"/>
      <c r="J1" s="1481"/>
    </row>
    <row r="2" spans="1:10" s="1062" customFormat="1" ht="13">
      <c r="A2" s="1482" t="s">
        <v>1082</v>
      </c>
      <c r="B2" s="1482"/>
      <c r="C2" s="1482"/>
      <c r="D2" s="1482"/>
      <c r="E2" s="1482"/>
      <c r="F2" s="1482"/>
      <c r="G2" s="1482"/>
      <c r="H2" s="1482"/>
      <c r="I2" s="1482"/>
      <c r="J2" s="1482"/>
    </row>
    <row r="3" spans="1:10" s="1062" customFormat="1" ht="13">
      <c r="A3" s="1483" t="s">
        <v>1156</v>
      </c>
      <c r="B3" s="1483"/>
      <c r="C3" s="1483"/>
      <c r="D3" s="1483"/>
      <c r="E3" s="1483"/>
      <c r="F3" s="1483"/>
      <c r="G3" s="1483"/>
      <c r="H3" s="1483"/>
      <c r="I3" s="1483"/>
      <c r="J3" s="1483"/>
    </row>
    <row r="4" spans="1:10" s="1062" customFormat="1" ht="13">
      <c r="B4" s="1063"/>
      <c r="C4" s="1064"/>
      <c r="D4" s="1064"/>
      <c r="E4" s="1064"/>
      <c r="F4" s="1064"/>
      <c r="G4" s="1064"/>
      <c r="H4" s="1064"/>
      <c r="I4" s="1064"/>
      <c r="J4" s="1008"/>
    </row>
    <row r="5" spans="1:10" s="1062" customFormat="1" ht="13">
      <c r="B5" s="1065"/>
      <c r="C5" s="1066"/>
      <c r="D5" s="1066"/>
      <c r="E5" s="1066"/>
      <c r="F5" s="1066"/>
      <c r="G5" s="1066"/>
      <c r="H5" s="1066"/>
      <c r="I5" s="1067"/>
      <c r="J5" s="1008"/>
    </row>
    <row r="6" spans="1:10" s="1062" customFormat="1" ht="13">
      <c r="B6" s="1065"/>
      <c r="C6" s="1066"/>
      <c r="D6" s="1066"/>
      <c r="E6" s="1066"/>
      <c r="F6" s="1086" t="s">
        <v>1196</v>
      </c>
      <c r="G6" s="1305" t="s">
        <v>398</v>
      </c>
      <c r="H6" s="1305"/>
      <c r="I6" s="1305"/>
      <c r="J6" s="1066"/>
    </row>
    <row r="7" spans="1:10" s="1062" customFormat="1" ht="13">
      <c r="B7" s="1065"/>
      <c r="C7" s="1066"/>
      <c r="D7" s="1066"/>
      <c r="E7" s="1066"/>
      <c r="F7" s="1086" t="s">
        <v>1197</v>
      </c>
      <c r="G7" s="1305" t="s">
        <v>379</v>
      </c>
      <c r="H7" s="1305" t="s">
        <v>395</v>
      </c>
      <c r="I7" s="1305" t="s">
        <v>397</v>
      </c>
    </row>
    <row r="8" spans="1:10" s="1062" customFormat="1" ht="13">
      <c r="B8" s="1068" t="s">
        <v>1083</v>
      </c>
      <c r="C8" s="1069" t="s">
        <v>1084</v>
      </c>
      <c r="D8" s="1066"/>
      <c r="E8" s="1070" t="s">
        <v>322</v>
      </c>
      <c r="F8" s="1306" t="s">
        <v>1198</v>
      </c>
      <c r="G8" s="1082" t="s">
        <v>396</v>
      </c>
      <c r="H8" s="1082" t="s">
        <v>396</v>
      </c>
      <c r="I8" s="1082" t="s">
        <v>396</v>
      </c>
    </row>
    <row r="9" spans="1:10" s="1062" customFormat="1" ht="5.15" customHeight="1">
      <c r="B9" s="1065"/>
      <c r="C9" s="1066"/>
      <c r="D9" s="1066"/>
      <c r="E9" s="1066"/>
      <c r="F9" s="1066"/>
      <c r="G9" s="1066"/>
      <c r="H9" s="1066"/>
      <c r="I9" s="1066"/>
    </row>
    <row r="10" spans="1:10" s="1062" customFormat="1">
      <c r="B10" s="1071">
        <v>1</v>
      </c>
      <c r="C10" s="1312" t="s">
        <v>380</v>
      </c>
      <c r="D10" s="1066"/>
      <c r="E10" s="1072">
        <f>F10+G10+H10+I10</f>
        <v>671960.09494290128</v>
      </c>
      <c r="F10" s="1072">
        <f>F63</f>
        <v>0</v>
      </c>
      <c r="G10" s="1072">
        <f>G63</f>
        <v>0</v>
      </c>
      <c r="H10" s="1072">
        <f>H63</f>
        <v>10891732.957312603</v>
      </c>
      <c r="I10" s="1072">
        <f>I63</f>
        <v>-10219772.862369701</v>
      </c>
      <c r="J10" s="1062" t="s">
        <v>1177</v>
      </c>
    </row>
    <row r="11" spans="1:10" s="1062" customFormat="1">
      <c r="B11" s="1071">
        <f>B10+1</f>
        <v>2</v>
      </c>
      <c r="C11" s="1312" t="s">
        <v>1085</v>
      </c>
      <c r="D11" s="1066"/>
      <c r="E11" s="1072">
        <f>F11+G11+H11+I11</f>
        <v>0</v>
      </c>
      <c r="F11" s="1072">
        <v>0</v>
      </c>
      <c r="G11" s="1072">
        <v>0</v>
      </c>
      <c r="H11" s="1072">
        <v>0</v>
      </c>
      <c r="I11" s="1072">
        <v>0</v>
      </c>
      <c r="J11" s="1062" t="s">
        <v>1178</v>
      </c>
    </row>
    <row r="12" spans="1:10" s="1062" customFormat="1">
      <c r="B12" s="1071">
        <f>B11+1</f>
        <v>3</v>
      </c>
      <c r="C12" s="1312" t="s">
        <v>1086</v>
      </c>
      <c r="D12" s="1066"/>
      <c r="E12" s="1072">
        <f>F12+G12+H12+I12</f>
        <v>-263494795.28710631</v>
      </c>
      <c r="F12" s="1072">
        <f>F100</f>
        <v>0</v>
      </c>
      <c r="G12" s="1072">
        <f>G100</f>
        <v>0</v>
      </c>
      <c r="H12" s="1072">
        <f>H100</f>
        <v>-263494795.28710631</v>
      </c>
      <c r="I12" s="1072">
        <f>I100</f>
        <v>0</v>
      </c>
      <c r="J12" s="1062" t="s">
        <v>1179</v>
      </c>
    </row>
    <row r="13" spans="1:10" s="1062" customFormat="1">
      <c r="B13" s="1071">
        <f>B12+1</f>
        <v>4</v>
      </c>
      <c r="C13" s="1312" t="s">
        <v>382</v>
      </c>
      <c r="D13" s="1066"/>
      <c r="E13" s="1072">
        <f>F13+G13+H13+I13</f>
        <v>-3973916.4308408415</v>
      </c>
      <c r="F13" s="1072">
        <f>F154</f>
        <v>0</v>
      </c>
      <c r="G13" s="1072">
        <f>G154</f>
        <v>0</v>
      </c>
      <c r="H13" s="1072">
        <f>H154</f>
        <v>-3973916.4308408415</v>
      </c>
      <c r="I13" s="1072">
        <f>I154</f>
        <v>0</v>
      </c>
      <c r="J13" s="1062" t="s">
        <v>1180</v>
      </c>
    </row>
    <row r="14" spans="1:10" s="1062" customFormat="1" ht="5.15" customHeight="1">
      <c r="B14" s="1065"/>
      <c r="C14" s="1066"/>
      <c r="D14" s="1066"/>
      <c r="E14" s="1073"/>
      <c r="F14" s="1074"/>
      <c r="G14" s="1074"/>
      <c r="H14" s="1074"/>
      <c r="I14" s="1074"/>
    </row>
    <row r="15" spans="1:10" s="1062" customFormat="1" ht="13">
      <c r="B15" s="1071">
        <f>B13+1</f>
        <v>5</v>
      </c>
      <c r="C15" s="1311" t="s">
        <v>1087</v>
      </c>
      <c r="D15" s="1066"/>
      <c r="E15" s="1072">
        <f>SUM(E9:E14)</f>
        <v>-266796751.62300426</v>
      </c>
      <c r="F15" s="1072">
        <f>SUM(F9:F14)</f>
        <v>0</v>
      </c>
      <c r="G15" s="1072">
        <f>SUM(G9:G14)</f>
        <v>0</v>
      </c>
      <c r="H15" s="1072">
        <f>SUM(H9:H14)</f>
        <v>-256576978.76063454</v>
      </c>
      <c r="I15" s="1072">
        <f>SUM(I9:I14)</f>
        <v>-10219772.862369701</v>
      </c>
    </row>
    <row r="16" spans="1:10" s="1062" customFormat="1">
      <c r="B16" s="1065"/>
      <c r="C16" s="1065"/>
      <c r="D16" s="1066"/>
      <c r="F16" s="1076"/>
      <c r="G16" s="1076"/>
      <c r="H16" s="1076"/>
      <c r="I16" s="1077"/>
    </row>
    <row r="17" spans="2:10" s="1062" customFormat="1">
      <c r="B17" s="1065"/>
      <c r="C17" s="1066"/>
      <c r="D17" s="1066"/>
      <c r="E17" s="1066"/>
      <c r="F17" s="1076"/>
      <c r="G17" s="1076"/>
      <c r="H17" s="1076"/>
      <c r="I17" s="1078"/>
    </row>
    <row r="18" spans="2:10" s="1062" customFormat="1" ht="13">
      <c r="B18" s="1081" t="s">
        <v>964</v>
      </c>
      <c r="C18" s="1081" t="s">
        <v>1088</v>
      </c>
      <c r="D18" s="1079"/>
      <c r="E18" s="1082" t="s">
        <v>322</v>
      </c>
      <c r="F18" s="1079"/>
      <c r="G18" s="1079"/>
      <c r="H18" s="1079"/>
      <c r="I18" s="1080"/>
      <c r="J18" s="1066"/>
    </row>
    <row r="19" spans="2:10" s="1062" customFormat="1">
      <c r="B19" s="1079"/>
      <c r="C19" s="1079"/>
      <c r="D19" s="1079"/>
      <c r="E19" s="1079"/>
      <c r="F19" s="1079"/>
      <c r="G19" s="1079"/>
      <c r="H19" s="1079"/>
      <c r="I19" s="1080"/>
      <c r="J19" s="1066"/>
    </row>
    <row r="20" spans="2:10" s="1062" customFormat="1">
      <c r="B20" s="1071">
        <f>B15+1</f>
        <v>6</v>
      </c>
      <c r="C20" s="1066" t="s">
        <v>1089</v>
      </c>
      <c r="E20" s="1083">
        <f>E135</f>
        <v>-2477193.1692583188</v>
      </c>
      <c r="F20" s="1066"/>
      <c r="G20" s="1066"/>
      <c r="H20" s="1066"/>
      <c r="I20" s="1078"/>
      <c r="J20" s="1066"/>
    </row>
    <row r="21" spans="2:10" s="1062" customFormat="1">
      <c r="B21" s="1066"/>
      <c r="C21" s="1066"/>
      <c r="D21" s="1066"/>
      <c r="E21" s="1066"/>
      <c r="F21" s="1066"/>
      <c r="G21" s="1066"/>
      <c r="H21" s="1066"/>
      <c r="I21" s="1066"/>
      <c r="J21" s="1066"/>
    </row>
    <row r="22" spans="2:10" s="1062" customFormat="1">
      <c r="B22" s="1484" t="s">
        <v>1172</v>
      </c>
      <c r="C22" s="1484"/>
      <c r="D22" s="1484"/>
      <c r="E22" s="1484"/>
      <c r="F22" s="1484"/>
      <c r="G22" s="1484"/>
      <c r="H22" s="1484"/>
      <c r="I22" s="1484"/>
    </row>
    <row r="23" spans="2:10" s="1062" customFormat="1">
      <c r="B23" s="1484"/>
      <c r="C23" s="1484"/>
      <c r="D23" s="1484"/>
      <c r="E23" s="1484"/>
      <c r="F23" s="1484"/>
      <c r="G23" s="1484"/>
      <c r="H23" s="1484"/>
      <c r="I23" s="1484"/>
    </row>
    <row r="24" spans="2:10" s="1062" customFormat="1">
      <c r="B24" s="1484"/>
      <c r="C24" s="1484"/>
      <c r="D24" s="1484"/>
      <c r="E24" s="1484"/>
      <c r="F24" s="1484"/>
      <c r="G24" s="1484"/>
      <c r="H24" s="1484"/>
      <c r="I24" s="1484"/>
      <c r="J24" s="1066"/>
    </row>
    <row r="25" spans="2:10" s="1062" customFormat="1">
      <c r="B25" s="1079"/>
      <c r="C25" s="1079"/>
      <c r="D25" s="1079"/>
      <c r="E25" s="1079"/>
      <c r="F25" s="1079"/>
      <c r="G25" s="1079"/>
      <c r="H25" s="1079"/>
      <c r="I25" s="1080"/>
      <c r="J25" s="1066"/>
    </row>
    <row r="26" spans="2:10" s="1062" customFormat="1">
      <c r="B26" s="1065"/>
      <c r="C26" s="1066"/>
      <c r="D26" s="1066"/>
      <c r="E26" s="1066"/>
      <c r="F26" s="1066"/>
      <c r="G26" s="1066"/>
      <c r="H26" s="1066"/>
      <c r="I26" s="1066"/>
      <c r="J26" s="1066"/>
    </row>
    <row r="27" spans="2:10" s="1062" customFormat="1" ht="15" customHeight="1">
      <c r="B27" s="1484" t="s">
        <v>1183</v>
      </c>
      <c r="C27" s="1484"/>
      <c r="D27" s="1484"/>
      <c r="E27" s="1484"/>
      <c r="F27" s="1484"/>
      <c r="G27" s="1484"/>
      <c r="H27" s="1484"/>
      <c r="I27" s="1484"/>
      <c r="J27" s="1084"/>
    </row>
    <row r="28" spans="2:10" s="1062" customFormat="1">
      <c r="B28" s="1484"/>
      <c r="C28" s="1484"/>
      <c r="D28" s="1484"/>
      <c r="E28" s="1484"/>
      <c r="F28" s="1484"/>
      <c r="G28" s="1484"/>
      <c r="H28" s="1484"/>
      <c r="I28" s="1484"/>
      <c r="J28" s="1084"/>
    </row>
    <row r="29" spans="2:10" s="1062" customFormat="1">
      <c r="B29" s="1484"/>
      <c r="C29" s="1484"/>
      <c r="D29" s="1484"/>
      <c r="E29" s="1484"/>
      <c r="F29" s="1484"/>
      <c r="G29" s="1484"/>
      <c r="H29" s="1484"/>
      <c r="I29" s="1484"/>
      <c r="J29" s="1084"/>
    </row>
    <row r="30" spans="2:10" s="1062" customFormat="1" ht="13">
      <c r="B30" s="1065"/>
      <c r="C30" s="1066"/>
      <c r="D30" s="1066"/>
      <c r="E30" s="1066"/>
      <c r="F30" s="1066"/>
      <c r="G30" s="1066"/>
      <c r="H30" s="1066"/>
      <c r="I30" s="1067"/>
      <c r="J30" s="1066"/>
    </row>
    <row r="31" spans="2:10" s="1085" customFormat="1" ht="13">
      <c r="B31" s="1086" t="s">
        <v>922</v>
      </c>
      <c r="C31" s="1086"/>
      <c r="D31" s="1086"/>
      <c r="E31" s="1086" t="s">
        <v>923</v>
      </c>
      <c r="F31" s="1086" t="s">
        <v>1181</v>
      </c>
      <c r="G31" s="1087" t="s">
        <v>925</v>
      </c>
      <c r="H31" s="1086" t="s">
        <v>1182</v>
      </c>
      <c r="I31" s="1086" t="s">
        <v>927</v>
      </c>
      <c r="J31" s="1087" t="s">
        <v>928</v>
      </c>
    </row>
    <row r="32" spans="2:10" s="1085" customFormat="1" ht="13">
      <c r="B32" s="1311" t="s">
        <v>380</v>
      </c>
      <c r="C32" s="1075"/>
      <c r="D32" s="1075"/>
      <c r="E32" s="1086" t="s">
        <v>322</v>
      </c>
      <c r="F32" s="1086" t="s">
        <v>1196</v>
      </c>
      <c r="G32" s="1086" t="s">
        <v>398</v>
      </c>
      <c r="H32" s="1086"/>
      <c r="I32" s="1086"/>
      <c r="J32" s="1079"/>
    </row>
    <row r="33" spans="2:11" s="1085" customFormat="1" ht="13">
      <c r="B33" s="1079"/>
      <c r="C33" s="1079"/>
      <c r="D33" s="1079"/>
      <c r="E33" s="1086"/>
      <c r="F33" s="1086" t="s">
        <v>1197</v>
      </c>
      <c r="G33" s="1086" t="s">
        <v>379</v>
      </c>
      <c r="H33" s="1086" t="s">
        <v>395</v>
      </c>
      <c r="I33" s="1086" t="s">
        <v>397</v>
      </c>
      <c r="J33" s="1079"/>
    </row>
    <row r="34" spans="2:11" s="1085" customFormat="1" ht="13">
      <c r="B34" s="1079"/>
      <c r="C34" s="1079"/>
      <c r="D34" s="1079"/>
      <c r="E34" s="1086"/>
      <c r="F34" s="1306" t="s">
        <v>1198</v>
      </c>
      <c r="G34" s="1086" t="s">
        <v>396</v>
      </c>
      <c r="H34" s="1086" t="s">
        <v>396</v>
      </c>
      <c r="I34" s="1086" t="s">
        <v>396</v>
      </c>
      <c r="J34" s="1305" t="s">
        <v>119</v>
      </c>
    </row>
    <row r="35" spans="2:11" ht="50">
      <c r="B35" s="1339" t="s">
        <v>1274</v>
      </c>
      <c r="C35" s="1441"/>
      <c r="D35" s="1441"/>
      <c r="E35" s="1442">
        <f t="shared" ref="E35:E46" si="0">SUM(F35:I35)</f>
        <v>-90043692.979250714</v>
      </c>
      <c r="F35" s="1442">
        <v>-26594450.454000831</v>
      </c>
      <c r="G35" s="1443">
        <v>0</v>
      </c>
      <c r="H35" s="1443">
        <v>0</v>
      </c>
      <c r="I35" s="1442">
        <v>-63449242.525249884</v>
      </c>
      <c r="J35" s="1444" t="s">
        <v>1275</v>
      </c>
      <c r="K35" s="588"/>
    </row>
    <row r="36" spans="2:11">
      <c r="B36" s="1339" t="s">
        <v>1276</v>
      </c>
      <c r="C36" s="1441"/>
      <c r="D36" s="1445"/>
      <c r="E36" s="1442">
        <f t="shared" si="0"/>
        <v>12153939.556214085</v>
      </c>
      <c r="F36" s="1442">
        <v>12153939.556214085</v>
      </c>
      <c r="G36" s="1443">
        <v>0</v>
      </c>
      <c r="H36" s="1443">
        <v>0</v>
      </c>
      <c r="I36" s="1443">
        <v>0</v>
      </c>
      <c r="J36" s="1444" t="s">
        <v>645</v>
      </c>
    </row>
    <row r="37" spans="2:11">
      <c r="B37" s="1339" t="s">
        <v>802</v>
      </c>
      <c r="C37" s="1441"/>
      <c r="D37" s="1445"/>
      <c r="E37" s="1442">
        <f t="shared" si="0"/>
        <v>13920579.935368577</v>
      </c>
      <c r="F37" s="1442">
        <v>13920579.935368577</v>
      </c>
      <c r="G37" s="1443">
        <v>0</v>
      </c>
      <c r="H37" s="1443">
        <v>0</v>
      </c>
      <c r="I37" s="1443">
        <v>0</v>
      </c>
      <c r="J37" s="1444" t="s">
        <v>645</v>
      </c>
    </row>
    <row r="38" spans="2:11" ht="25">
      <c r="B38" s="1339" t="s">
        <v>803</v>
      </c>
      <c r="C38" s="1441"/>
      <c r="D38" s="1445"/>
      <c r="E38" s="1442">
        <f t="shared" si="0"/>
        <v>752805.87862500001</v>
      </c>
      <c r="F38" s="1442">
        <v>752805.87862500001</v>
      </c>
      <c r="G38" s="1443">
        <v>0</v>
      </c>
      <c r="H38" s="1443">
        <v>0</v>
      </c>
      <c r="I38" s="1443">
        <v>0</v>
      </c>
      <c r="J38" s="1444" t="s">
        <v>649</v>
      </c>
    </row>
    <row r="39" spans="2:11">
      <c r="B39" s="1339" t="s">
        <v>1277</v>
      </c>
      <c r="C39" s="1441"/>
      <c r="D39" s="1445"/>
      <c r="E39" s="1442">
        <f t="shared" si="0"/>
        <v>37551090.067875937</v>
      </c>
      <c r="F39" s="1442">
        <v>37551090.067875937</v>
      </c>
      <c r="G39" s="1443">
        <v>0</v>
      </c>
      <c r="H39" s="1443">
        <v>0</v>
      </c>
      <c r="I39" s="1443">
        <v>0</v>
      </c>
      <c r="J39" s="1444" t="s">
        <v>645</v>
      </c>
    </row>
    <row r="40" spans="2:11">
      <c r="B40" s="1339" t="s">
        <v>804</v>
      </c>
      <c r="C40" s="1441"/>
      <c r="D40" s="1445"/>
      <c r="E40" s="1442">
        <f t="shared" si="0"/>
        <v>1899391.5813012838</v>
      </c>
      <c r="F40" s="1442">
        <v>1899391.5813012838</v>
      </c>
      <c r="G40" s="1443">
        <v>0</v>
      </c>
      <c r="H40" s="1443">
        <v>0</v>
      </c>
      <c r="I40" s="1443">
        <v>0</v>
      </c>
      <c r="J40" s="1444" t="s">
        <v>645</v>
      </c>
    </row>
    <row r="41" spans="2:11">
      <c r="B41" s="1339" t="s">
        <v>1278</v>
      </c>
      <c r="C41" s="1441"/>
      <c r="D41" s="1445"/>
      <c r="E41" s="1442">
        <f t="shared" si="0"/>
        <v>669591.69648489752</v>
      </c>
      <c r="F41" s="1442">
        <v>669591.69648489752</v>
      </c>
      <c r="G41" s="1443">
        <v>0</v>
      </c>
      <c r="H41" s="1443">
        <v>0</v>
      </c>
      <c r="I41" s="1443">
        <v>0</v>
      </c>
      <c r="J41" s="1444" t="s">
        <v>313</v>
      </c>
    </row>
    <row r="42" spans="2:11">
      <c r="B42" s="1339" t="s">
        <v>1279</v>
      </c>
      <c r="C42" s="1441"/>
      <c r="D42" s="1445"/>
      <c r="E42" s="1442">
        <f t="shared" si="0"/>
        <v>3918455.8657907858</v>
      </c>
      <c r="F42" s="1442">
        <v>3918455.8657907858</v>
      </c>
      <c r="G42" s="1443">
        <v>0</v>
      </c>
      <c r="H42" s="1443">
        <v>0</v>
      </c>
      <c r="I42" s="1443">
        <v>0</v>
      </c>
      <c r="J42" s="1444" t="s">
        <v>313</v>
      </c>
    </row>
    <row r="43" spans="2:11">
      <c r="B43" s="1339" t="s">
        <v>1280</v>
      </c>
      <c r="C43" s="1441"/>
      <c r="D43" s="1445"/>
      <c r="E43" s="1442">
        <f t="shared" si="0"/>
        <v>6261551.5701854387</v>
      </c>
      <c r="F43" s="1442">
        <v>6261551.5701854387</v>
      </c>
      <c r="G43" s="1443">
        <v>0</v>
      </c>
      <c r="H43" s="1443">
        <v>0</v>
      </c>
      <c r="I43" s="1443">
        <v>0</v>
      </c>
      <c r="J43" s="1444" t="s">
        <v>645</v>
      </c>
    </row>
    <row r="44" spans="2:11">
      <c r="B44" s="1339" t="s">
        <v>805</v>
      </c>
      <c r="C44" s="1441"/>
      <c r="D44" s="1445"/>
      <c r="E44" s="1442">
        <f t="shared" si="0"/>
        <v>57289721.554977782</v>
      </c>
      <c r="F44" s="1442">
        <v>57289721.554977782</v>
      </c>
      <c r="G44" s="1443">
        <v>0</v>
      </c>
      <c r="H44" s="1443">
        <v>0</v>
      </c>
      <c r="I44" s="1443">
        <v>0</v>
      </c>
      <c r="J44" s="1444" t="s">
        <v>645</v>
      </c>
    </row>
    <row r="45" spans="2:11" ht="37.5">
      <c r="B45" s="1339" t="s">
        <v>1281</v>
      </c>
      <c r="C45" s="1441"/>
      <c r="D45" s="1445"/>
      <c r="E45" s="1442">
        <f t="shared" si="0"/>
        <v>58481806</v>
      </c>
      <c r="F45" s="1442">
        <v>9357088.9600000009</v>
      </c>
      <c r="G45" s="1443">
        <v>0</v>
      </c>
      <c r="H45" s="1442">
        <v>49124717.039999999</v>
      </c>
      <c r="I45" s="1443">
        <v>0</v>
      </c>
      <c r="J45" s="1444" t="s">
        <v>1282</v>
      </c>
    </row>
    <row r="46" spans="2:11">
      <c r="B46" s="1339" t="s">
        <v>884</v>
      </c>
      <c r="C46" s="1441"/>
      <c r="D46" s="1445"/>
      <c r="E46" s="1442">
        <f t="shared" si="0"/>
        <v>1148614.9020074098</v>
      </c>
      <c r="F46" s="1442">
        <v>1148614.9020074098</v>
      </c>
      <c r="G46" s="1443">
        <v>0</v>
      </c>
      <c r="H46" s="1443">
        <v>0</v>
      </c>
      <c r="I46" s="1443">
        <v>0</v>
      </c>
      <c r="J46" s="1444" t="s">
        <v>645</v>
      </c>
    </row>
    <row r="47" spans="2:11">
      <c r="B47" s="1339" t="s">
        <v>1302</v>
      </c>
      <c r="C47" s="1441"/>
      <c r="D47" s="1441"/>
      <c r="E47" s="1442">
        <f t="shared" ref="E47:E48" si="1">SUM(F47:I47)</f>
        <v>347500.62160277687</v>
      </c>
      <c r="F47" s="1442">
        <v>347500.62160277687</v>
      </c>
      <c r="G47" s="1443">
        <v>0</v>
      </c>
      <c r="H47" s="1443">
        <v>0</v>
      </c>
      <c r="I47" s="1443">
        <v>0</v>
      </c>
      <c r="J47" s="1444" t="s">
        <v>645</v>
      </c>
    </row>
    <row r="48" spans="2:11">
      <c r="B48" s="1339" t="s">
        <v>1303</v>
      </c>
      <c r="C48" s="1441"/>
      <c r="D48" s="1441"/>
      <c r="E48" s="1442">
        <f t="shared" si="1"/>
        <v>4233653.6744365087</v>
      </c>
      <c r="F48" s="1442">
        <v>4233653.6744365087</v>
      </c>
      <c r="G48" s="1443">
        <v>0</v>
      </c>
      <c r="H48" s="1443">
        <v>0</v>
      </c>
      <c r="I48" s="1443">
        <v>0</v>
      </c>
      <c r="J48" s="1444" t="s">
        <v>645</v>
      </c>
    </row>
    <row r="49" spans="2:11">
      <c r="B49" s="1152"/>
      <c r="C49" s="1151"/>
      <c r="D49" s="1151"/>
      <c r="E49" s="1088"/>
      <c r="F49" s="1088"/>
      <c r="G49" s="1088"/>
      <c r="H49" s="1088"/>
      <c r="I49" s="1088"/>
      <c r="J49" s="1089"/>
    </row>
    <row r="50" spans="2:11" s="1062" customFormat="1" ht="13">
      <c r="B50" s="1090" t="s">
        <v>1091</v>
      </c>
      <c r="C50" s="1091"/>
      <c r="D50" s="1092"/>
      <c r="E50" s="1093">
        <f>SUM(E35:E48)</f>
        <v>108585009.92561977</v>
      </c>
      <c r="F50" s="1093">
        <f>SUM(F35:F48)</f>
        <v>122909535.41086967</v>
      </c>
      <c r="G50" s="1093">
        <f>SUM(G35:G48)</f>
        <v>0</v>
      </c>
      <c r="H50" s="1093">
        <f>SUM(H35:H48)</f>
        <v>49124717.039999999</v>
      </c>
      <c r="I50" s="1093">
        <f>SUM(I35:I48)</f>
        <v>-63449242.525249884</v>
      </c>
      <c r="J50" s="1094"/>
      <c r="K50" s="1095"/>
    </row>
    <row r="51" spans="2:11" s="1062" customFormat="1" ht="13">
      <c r="B51" s="1096"/>
      <c r="C51" s="1097"/>
      <c r="D51" s="1092"/>
      <c r="E51" s="1093"/>
      <c r="F51" s="1093"/>
      <c r="G51" s="1093"/>
      <c r="H51" s="1093"/>
      <c r="I51" s="1093"/>
      <c r="J51" s="1094"/>
      <c r="K51" s="1095"/>
    </row>
    <row r="52" spans="2:11" s="1062" customFormat="1">
      <c r="B52" s="1098" t="s">
        <v>1092</v>
      </c>
      <c r="C52" s="1099"/>
      <c r="D52" s="1100"/>
      <c r="E52" s="1101">
        <f>SUM(F52:I52)</f>
        <v>0</v>
      </c>
      <c r="F52" s="1102">
        <v>0</v>
      </c>
      <c r="G52" s="1102">
        <v>0</v>
      </c>
      <c r="H52" s="1102">
        <v>0</v>
      </c>
      <c r="I52" s="1102">
        <v>0</v>
      </c>
      <c r="J52" s="1103"/>
      <c r="K52" s="1095"/>
    </row>
    <row r="53" spans="2:11" s="1062" customFormat="1">
      <c r="B53" s="1098" t="s">
        <v>1093</v>
      </c>
      <c r="C53" s="1099"/>
      <c r="D53" s="1100"/>
      <c r="E53" s="1101">
        <f>SUM(F53:I53)</f>
        <v>-752805.87862500001</v>
      </c>
      <c r="F53" s="1102">
        <f>-F38</f>
        <v>-752805.87862500001</v>
      </c>
      <c r="G53" s="1102">
        <f>-G38</f>
        <v>0</v>
      </c>
      <c r="H53" s="1102">
        <f>-H38</f>
        <v>0</v>
      </c>
      <c r="I53" s="1102">
        <f>-I38</f>
        <v>0</v>
      </c>
      <c r="J53" s="1103"/>
      <c r="K53" s="1095"/>
    </row>
    <row r="54" spans="2:11" s="1062" customFormat="1">
      <c r="B54" s="1098" t="s">
        <v>1094</v>
      </c>
      <c r="C54" s="1099"/>
      <c r="D54" s="1100"/>
      <c r="E54" s="1101">
        <f>SUM(F54:I54)</f>
        <v>0</v>
      </c>
      <c r="F54" s="1102">
        <v>0</v>
      </c>
      <c r="G54" s="1102">
        <v>0</v>
      </c>
      <c r="H54" s="1102">
        <v>0</v>
      </c>
      <c r="I54" s="1102">
        <v>0</v>
      </c>
      <c r="J54" s="1103"/>
      <c r="K54" s="1095"/>
    </row>
    <row r="55" spans="2:11" s="1062" customFormat="1">
      <c r="B55" s="1104" t="s">
        <v>1095</v>
      </c>
      <c r="C55" s="1105"/>
      <c r="D55" s="1100"/>
      <c r="E55" s="1101">
        <f>SUM(F55:I55)</f>
        <v>-57289721.554977782</v>
      </c>
      <c r="F55" s="1102">
        <f>-F44</f>
        <v>-57289721.554977782</v>
      </c>
      <c r="G55" s="1102">
        <f>-G44</f>
        <v>0</v>
      </c>
      <c r="H55" s="1102">
        <f>-H44</f>
        <v>0</v>
      </c>
      <c r="I55" s="1102">
        <f>-I44</f>
        <v>0</v>
      </c>
      <c r="J55" s="1103"/>
      <c r="K55" s="1095"/>
    </row>
    <row r="56" spans="2:11" s="1062" customFormat="1" ht="5.15" customHeight="1">
      <c r="B56" s="1096"/>
      <c r="C56" s="1097"/>
      <c r="D56" s="1092"/>
      <c r="E56" s="1093"/>
      <c r="F56" s="1093"/>
      <c r="G56" s="1093"/>
      <c r="H56" s="1093"/>
      <c r="I56" s="1093"/>
      <c r="J56" s="1094"/>
      <c r="K56" s="1095"/>
    </row>
    <row r="57" spans="2:11" s="1062" customFormat="1" ht="13">
      <c r="B57" s="1106" t="s">
        <v>1096</v>
      </c>
      <c r="C57" s="1107"/>
      <c r="D57" s="1108"/>
      <c r="E57" s="1109">
        <f>SUM(E51:E56)+E50</f>
        <v>50542482.492016986</v>
      </c>
      <c r="F57" s="1109">
        <f>SUM(F51:F56)+F50</f>
        <v>64867007.977266893</v>
      </c>
      <c r="G57" s="1109">
        <f>SUM(G51:G56)+G50</f>
        <v>0</v>
      </c>
      <c r="H57" s="1109">
        <f>SUM(H51:H56)+H50</f>
        <v>49124717.039999999</v>
      </c>
      <c r="I57" s="1109">
        <f>SUM(I51:I56)+I50</f>
        <v>-63449242.525249884</v>
      </c>
      <c r="J57" s="1110"/>
      <c r="K57" s="1095"/>
    </row>
    <row r="58" spans="2:11" s="1062" customFormat="1" ht="13">
      <c r="B58" s="1111"/>
      <c r="C58" s="1112"/>
      <c r="D58" s="1113"/>
      <c r="E58" s="1114"/>
      <c r="F58" s="1114"/>
      <c r="G58" s="1114"/>
      <c r="H58" s="1114"/>
      <c r="I58" s="1114"/>
      <c r="J58" s="1115"/>
      <c r="K58" s="1095"/>
    </row>
    <row r="59" spans="2:11" s="1062" customFormat="1" ht="13">
      <c r="B59" s="1314" t="s">
        <v>295</v>
      </c>
      <c r="C59" s="1116"/>
      <c r="D59" s="1117"/>
      <c r="E59" s="1114"/>
      <c r="F59" s="1114"/>
      <c r="G59" s="1114"/>
      <c r="H59" s="1114"/>
      <c r="I59" s="1118">
        <f>+'ATT H-2A'!H16</f>
        <v>0.16107005309484509</v>
      </c>
      <c r="J59" s="1115"/>
      <c r="K59" s="1095"/>
    </row>
    <row r="60" spans="2:11" s="1062" customFormat="1" ht="13">
      <c r="B60" s="1314" t="s">
        <v>144</v>
      </c>
      <c r="C60" s="1116"/>
      <c r="D60" s="1113"/>
      <c r="E60" s="1114"/>
      <c r="F60" s="1114"/>
      <c r="G60" s="1114"/>
      <c r="H60" s="1118">
        <f>+'ATT H-2A'!H32</f>
        <v>0.221715942881543</v>
      </c>
      <c r="I60" s="1114"/>
      <c r="J60" s="1115"/>
      <c r="K60" s="1095"/>
    </row>
    <row r="61" spans="2:11" s="1062" customFormat="1" ht="13">
      <c r="B61" s="1314" t="s">
        <v>1097</v>
      </c>
      <c r="C61" s="1116"/>
      <c r="D61" s="1113"/>
      <c r="E61" s="1114"/>
      <c r="F61" s="1114"/>
      <c r="G61" s="1118">
        <v>1</v>
      </c>
      <c r="H61" s="1114"/>
      <c r="I61" s="1114"/>
      <c r="J61" s="1115"/>
      <c r="K61" s="1095"/>
    </row>
    <row r="62" spans="2:11" s="1062" customFormat="1" ht="13">
      <c r="B62" s="1314" t="s">
        <v>1098</v>
      </c>
      <c r="C62" s="1116"/>
      <c r="D62" s="1113"/>
      <c r="E62" s="1114"/>
      <c r="F62" s="1118">
        <v>0</v>
      </c>
      <c r="G62" s="1114"/>
      <c r="H62" s="1114"/>
      <c r="I62" s="1114"/>
      <c r="J62" s="1115"/>
      <c r="K62" s="1095"/>
    </row>
    <row r="63" spans="2:11" s="1062" customFormat="1" ht="13">
      <c r="B63" s="1315" t="s">
        <v>1099</v>
      </c>
      <c r="C63" s="1116"/>
      <c r="D63" s="1113"/>
      <c r="E63" s="1114">
        <f>F63+G63+H63+I63</f>
        <v>671960.09494290128</v>
      </c>
      <c r="F63" s="1114">
        <f>F62*F57</f>
        <v>0</v>
      </c>
      <c r="G63" s="1114">
        <f>G57*G61</f>
        <v>0</v>
      </c>
      <c r="H63" s="1114">
        <f>H57*H60</f>
        <v>10891732.957312603</v>
      </c>
      <c r="I63" s="1114">
        <f>I57*I59</f>
        <v>-10219772.862369701</v>
      </c>
      <c r="J63" s="1115"/>
      <c r="K63" s="1095"/>
    </row>
    <row r="64" spans="2:11" s="1062" customFormat="1" ht="13">
      <c r="B64" s="1119"/>
      <c r="C64" s="1095"/>
      <c r="D64" s="1120"/>
      <c r="E64" s="1121"/>
      <c r="F64" s="1121"/>
      <c r="G64" s="1121"/>
      <c r="H64" s="1121"/>
      <c r="I64" s="1121"/>
      <c r="J64" s="1122"/>
      <c r="K64" s="1095"/>
    </row>
    <row r="65" spans="2:162" s="1123" customFormat="1" ht="12.75" customHeight="1">
      <c r="B65" s="1124" t="s">
        <v>399</v>
      </c>
      <c r="C65" s="1124"/>
      <c r="D65" s="1125"/>
      <c r="E65" s="1126"/>
      <c r="F65" s="1125"/>
      <c r="G65" s="1127"/>
      <c r="H65" s="1128"/>
      <c r="I65" s="1129"/>
      <c r="J65" s="1130"/>
      <c r="K65" s="1131"/>
    </row>
    <row r="66" spans="2:162" s="1123" customFormat="1" ht="15.75" customHeight="1">
      <c r="B66" s="1479" t="s">
        <v>1217</v>
      </c>
      <c r="C66" s="1479"/>
      <c r="D66" s="1479"/>
      <c r="E66" s="1479"/>
      <c r="F66" s="1479"/>
      <c r="G66" s="1479"/>
      <c r="H66" s="1479"/>
      <c r="I66" s="1479"/>
      <c r="J66" s="1132"/>
      <c r="K66" s="1131"/>
    </row>
    <row r="67" spans="2:162" s="1123" customFormat="1" ht="13">
      <c r="B67" s="1133" t="s">
        <v>1184</v>
      </c>
      <c r="C67" s="1133"/>
      <c r="D67" s="1125"/>
      <c r="E67" s="1131"/>
      <c r="F67" s="1125"/>
      <c r="G67" s="1125"/>
      <c r="H67" s="1129"/>
      <c r="I67" s="1129"/>
      <c r="J67" s="1130"/>
      <c r="K67" s="1131"/>
    </row>
    <row r="68" spans="2:162" s="1123" customFormat="1" ht="13">
      <c r="B68" s="1133" t="s">
        <v>1185</v>
      </c>
      <c r="C68" s="1133"/>
      <c r="D68" s="1125"/>
      <c r="E68" s="1131"/>
      <c r="F68" s="1125"/>
      <c r="G68" s="1125"/>
      <c r="H68" s="1129"/>
      <c r="I68" s="1129"/>
      <c r="J68" s="1132"/>
      <c r="K68" s="1131"/>
    </row>
    <row r="69" spans="2:162" s="1123" customFormat="1" ht="13">
      <c r="B69" s="1133" t="s">
        <v>1186</v>
      </c>
      <c r="C69" s="1133"/>
      <c r="D69" s="1125"/>
      <c r="E69" s="1131"/>
      <c r="F69" s="1125"/>
      <c r="G69" s="1125"/>
      <c r="H69" s="1129"/>
      <c r="I69" s="1129"/>
      <c r="J69" s="1130"/>
      <c r="K69" s="1131"/>
    </row>
    <row r="70" spans="2:162" s="1123" customFormat="1" ht="15.75" customHeight="1">
      <c r="B70" s="1480" t="s">
        <v>1100</v>
      </c>
      <c r="C70" s="1480"/>
      <c r="D70" s="1480"/>
      <c r="E70" s="1480"/>
      <c r="F70" s="1480"/>
      <c r="G70" s="1480"/>
      <c r="H70" s="1480"/>
      <c r="I70" s="1480"/>
      <c r="J70" s="1131"/>
      <c r="K70" s="1134"/>
    </row>
    <row r="71" spans="2:162" s="1123" customFormat="1" ht="15.75" customHeight="1">
      <c r="B71" s="1480"/>
      <c r="C71" s="1480"/>
      <c r="D71" s="1480"/>
      <c r="E71" s="1480"/>
      <c r="F71" s="1480"/>
      <c r="G71" s="1480"/>
      <c r="H71" s="1480"/>
      <c r="I71" s="1480"/>
      <c r="J71" s="1131"/>
      <c r="K71" s="1134"/>
    </row>
    <row r="72" spans="2:162" s="1062" customFormat="1" ht="13">
      <c r="B72" s="1135"/>
      <c r="C72" s="1119"/>
      <c r="D72" s="1120"/>
      <c r="E72" s="1136"/>
      <c r="F72" s="1137"/>
      <c r="G72" s="1120"/>
      <c r="H72" s="1138"/>
      <c r="I72" s="1139"/>
      <c r="J72" s="1122"/>
      <c r="K72" s="1095"/>
    </row>
    <row r="73" spans="2:162" s="1140" customFormat="1" ht="13">
      <c r="B73" s="1141" t="s">
        <v>1156</v>
      </c>
      <c r="C73" s="1141"/>
      <c r="D73" s="1141"/>
      <c r="E73" s="1142"/>
      <c r="F73" s="1143"/>
      <c r="G73" s="1143"/>
      <c r="H73" s="1143"/>
      <c r="I73" s="1143"/>
      <c r="J73" s="1144"/>
      <c r="K73" s="1085"/>
      <c r="L73" s="1085"/>
      <c r="M73" s="1085"/>
      <c r="N73" s="1085"/>
      <c r="O73" s="1085"/>
      <c r="P73" s="1085"/>
      <c r="Q73" s="1085"/>
      <c r="R73" s="1085"/>
      <c r="S73" s="1085"/>
      <c r="T73" s="1085"/>
      <c r="U73" s="1085"/>
      <c r="V73" s="1085"/>
      <c r="W73" s="1085"/>
      <c r="X73" s="1085"/>
      <c r="Y73" s="1085"/>
      <c r="Z73" s="1085"/>
      <c r="AA73" s="1085"/>
      <c r="AB73" s="1085"/>
      <c r="AC73" s="1085"/>
      <c r="AD73" s="1085"/>
      <c r="AE73" s="1085"/>
      <c r="AF73" s="1085"/>
      <c r="AG73" s="1085"/>
      <c r="AH73" s="1085"/>
      <c r="AI73" s="1085"/>
      <c r="AJ73" s="1085"/>
      <c r="AK73" s="1085"/>
      <c r="AL73" s="1085"/>
      <c r="AM73" s="1085"/>
      <c r="AN73" s="1085"/>
      <c r="AO73" s="1085"/>
      <c r="AP73" s="1085"/>
      <c r="AQ73" s="1085"/>
      <c r="AR73" s="1085"/>
      <c r="AS73" s="1085"/>
      <c r="AT73" s="1085"/>
      <c r="AU73" s="1085"/>
      <c r="AV73" s="1085"/>
      <c r="AW73" s="1085"/>
      <c r="AX73" s="1085"/>
      <c r="AY73" s="1085"/>
      <c r="AZ73" s="1085"/>
      <c r="BA73" s="1085"/>
      <c r="BB73" s="1085"/>
      <c r="BC73" s="1085"/>
      <c r="BD73" s="1085"/>
      <c r="BE73" s="1085"/>
      <c r="BF73" s="1085"/>
      <c r="BG73" s="1085"/>
      <c r="BH73" s="1085"/>
      <c r="BI73" s="1085"/>
      <c r="BJ73" s="1085"/>
      <c r="BK73" s="1085"/>
      <c r="BL73" s="1085"/>
      <c r="BM73" s="1085"/>
      <c r="BN73" s="1085"/>
      <c r="BO73" s="1085"/>
      <c r="BP73" s="1085"/>
      <c r="BQ73" s="1085"/>
      <c r="BR73" s="1085"/>
      <c r="BS73" s="1085"/>
      <c r="BT73" s="1085"/>
      <c r="BU73" s="1085"/>
      <c r="BV73" s="1085"/>
      <c r="BW73" s="1085"/>
      <c r="BX73" s="1085"/>
      <c r="BY73" s="1085"/>
      <c r="BZ73" s="1085"/>
      <c r="CA73" s="1085"/>
      <c r="CB73" s="1085"/>
      <c r="CC73" s="1085"/>
      <c r="CD73" s="1085"/>
      <c r="CE73" s="1085"/>
      <c r="CF73" s="1085"/>
      <c r="CG73" s="1085"/>
      <c r="CH73" s="1085"/>
      <c r="CI73" s="1085"/>
      <c r="CJ73" s="1085"/>
      <c r="CK73" s="1085"/>
      <c r="CL73" s="1085"/>
      <c r="CM73" s="1085"/>
      <c r="CN73" s="1085"/>
      <c r="CO73" s="1085"/>
      <c r="CP73" s="1085"/>
      <c r="CQ73" s="1085"/>
      <c r="CR73" s="1085"/>
      <c r="CS73" s="1085"/>
      <c r="CT73" s="1085"/>
      <c r="CU73" s="1085"/>
      <c r="CV73" s="1085"/>
      <c r="CW73" s="1085"/>
      <c r="CX73" s="1085"/>
      <c r="CY73" s="1085"/>
      <c r="CZ73" s="1085"/>
      <c r="DA73" s="1085"/>
      <c r="DB73" s="1085"/>
      <c r="DC73" s="1085"/>
      <c r="DD73" s="1085"/>
      <c r="DE73" s="1085"/>
      <c r="DF73" s="1085"/>
      <c r="DG73" s="1085"/>
      <c r="DH73" s="1085"/>
      <c r="DI73" s="1085"/>
      <c r="DJ73" s="1085"/>
      <c r="DK73" s="1085"/>
      <c r="DL73" s="1085"/>
      <c r="DM73" s="1085"/>
      <c r="DN73" s="1085"/>
      <c r="DO73" s="1085"/>
      <c r="DP73" s="1085"/>
      <c r="DQ73" s="1085"/>
      <c r="DR73" s="1085"/>
      <c r="DS73" s="1085"/>
      <c r="DT73" s="1085"/>
      <c r="DU73" s="1085"/>
      <c r="DV73" s="1085"/>
      <c r="DW73" s="1085"/>
      <c r="DX73" s="1085"/>
      <c r="DY73" s="1085"/>
      <c r="DZ73" s="1085"/>
      <c r="EA73" s="1085"/>
      <c r="EB73" s="1085"/>
      <c r="EC73" s="1085"/>
      <c r="ED73" s="1085"/>
      <c r="EE73" s="1085"/>
      <c r="EF73" s="1085"/>
      <c r="EG73" s="1085"/>
      <c r="EH73" s="1085"/>
      <c r="EI73" s="1085"/>
      <c r="EJ73" s="1085"/>
      <c r="EK73" s="1085"/>
      <c r="EL73" s="1085"/>
      <c r="EM73" s="1085"/>
      <c r="EN73" s="1085"/>
      <c r="EO73" s="1085"/>
      <c r="EP73" s="1085"/>
      <c r="EQ73" s="1085"/>
      <c r="ER73" s="1085"/>
      <c r="ES73" s="1085"/>
      <c r="ET73" s="1085"/>
      <c r="EU73" s="1085"/>
      <c r="EV73" s="1085"/>
      <c r="EW73" s="1085"/>
      <c r="EX73" s="1085"/>
      <c r="EY73" s="1085"/>
      <c r="EZ73" s="1085"/>
      <c r="FA73" s="1085"/>
      <c r="FB73" s="1085"/>
      <c r="FC73" s="1085"/>
      <c r="FD73" s="1085"/>
      <c r="FE73" s="1085"/>
      <c r="FF73" s="1085"/>
    </row>
    <row r="74" spans="2:162" s="1140" customFormat="1" ht="13">
      <c r="B74" s="1145"/>
      <c r="C74" s="1145"/>
      <c r="D74" s="1145"/>
      <c r="E74" s="1142"/>
      <c r="F74" s="1143"/>
      <c r="G74" s="1143"/>
      <c r="H74" s="1143"/>
      <c r="I74" s="1143"/>
      <c r="J74" s="1144"/>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BD74" s="1085"/>
      <c r="BE74" s="1085"/>
      <c r="BF74" s="1085"/>
      <c r="BG74" s="1085"/>
      <c r="BH74" s="1085"/>
      <c r="BI74" s="1085"/>
      <c r="BJ74" s="1085"/>
      <c r="BK74" s="1085"/>
      <c r="BL74" s="1085"/>
      <c r="BM74" s="1085"/>
      <c r="BN74" s="1085"/>
      <c r="BO74" s="1085"/>
      <c r="BP74" s="1085"/>
      <c r="BQ74" s="1085"/>
      <c r="BR74" s="1085"/>
      <c r="BS74" s="1085"/>
      <c r="BT74" s="1085"/>
      <c r="BU74" s="1085"/>
      <c r="BV74" s="1085"/>
      <c r="BW74" s="1085"/>
      <c r="BX74" s="1085"/>
      <c r="BY74" s="1085"/>
      <c r="BZ74" s="1085"/>
      <c r="CA74" s="1085"/>
      <c r="CB74" s="1085"/>
      <c r="CC74" s="1085"/>
      <c r="CD74" s="1085"/>
      <c r="CE74" s="1085"/>
      <c r="CF74" s="1085"/>
      <c r="CG74" s="1085"/>
      <c r="CH74" s="1085"/>
      <c r="CI74" s="1085"/>
      <c r="CJ74" s="1085"/>
      <c r="CK74" s="1085"/>
      <c r="CL74" s="1085"/>
      <c r="CM74" s="1085"/>
      <c r="CN74" s="1085"/>
      <c r="CO74" s="1085"/>
      <c r="CP74" s="1085"/>
      <c r="CQ74" s="1085"/>
      <c r="CR74" s="1085"/>
      <c r="CS74" s="1085"/>
      <c r="CT74" s="1085"/>
      <c r="CU74" s="1085"/>
      <c r="CV74" s="1085"/>
      <c r="CW74" s="1085"/>
      <c r="CX74" s="1085"/>
      <c r="CY74" s="1085"/>
      <c r="CZ74" s="1085"/>
      <c r="DA74" s="1085"/>
      <c r="DB74" s="1085"/>
      <c r="DC74" s="1085"/>
      <c r="DD74" s="1085"/>
      <c r="DE74" s="1085"/>
      <c r="DF74" s="1085"/>
      <c r="DG74" s="1085"/>
      <c r="DH74" s="1085"/>
      <c r="DI74" s="1085"/>
      <c r="DJ74" s="1085"/>
      <c r="DK74" s="1085"/>
      <c r="DL74" s="1085"/>
      <c r="DM74" s="1085"/>
      <c r="DN74" s="1085"/>
      <c r="DO74" s="1085"/>
      <c r="DP74" s="1085"/>
      <c r="DQ74" s="1085"/>
      <c r="DR74" s="1085"/>
      <c r="DS74" s="1085"/>
      <c r="DT74" s="1085"/>
      <c r="DU74" s="1085"/>
      <c r="DV74" s="1085"/>
      <c r="DW74" s="1085"/>
      <c r="DX74" s="1085"/>
      <c r="DY74" s="1085"/>
      <c r="DZ74" s="1085"/>
      <c r="EA74" s="1085"/>
      <c r="EB74" s="1085"/>
      <c r="EC74" s="1085"/>
      <c r="ED74" s="1085"/>
      <c r="EE74" s="1085"/>
      <c r="EF74" s="1085"/>
      <c r="EG74" s="1085"/>
      <c r="EH74" s="1085"/>
      <c r="EI74" s="1085"/>
      <c r="EJ74" s="1085"/>
      <c r="EK74" s="1085"/>
      <c r="EL74" s="1085"/>
      <c r="EM74" s="1085"/>
      <c r="EN74" s="1085"/>
      <c r="EO74" s="1085"/>
      <c r="EP74" s="1085"/>
      <c r="EQ74" s="1085"/>
      <c r="ER74" s="1085"/>
      <c r="ES74" s="1085"/>
      <c r="ET74" s="1085"/>
      <c r="EU74" s="1085"/>
      <c r="EV74" s="1085"/>
      <c r="EW74" s="1085"/>
      <c r="EX74" s="1085"/>
      <c r="EY74" s="1085"/>
      <c r="EZ74" s="1085"/>
      <c r="FA74" s="1085"/>
      <c r="FB74" s="1085"/>
      <c r="FC74" s="1085"/>
      <c r="FD74" s="1085"/>
      <c r="FE74" s="1085"/>
      <c r="FF74" s="1085"/>
    </row>
    <row r="75" spans="2:162" s="1085" customFormat="1">
      <c r="B75" s="1146"/>
      <c r="C75" s="1146"/>
      <c r="D75" s="1146"/>
      <c r="E75" s="1147"/>
      <c r="F75" s="1147"/>
      <c r="G75" s="1147"/>
      <c r="H75" s="1147"/>
      <c r="I75" s="1147"/>
      <c r="J75" s="1148"/>
    </row>
    <row r="76" spans="2:162" s="1085" customFormat="1" ht="13">
      <c r="B76" s="1086" t="s">
        <v>922</v>
      </c>
      <c r="C76" s="1086"/>
      <c r="D76" s="1086"/>
      <c r="E76" s="1086" t="s">
        <v>923</v>
      </c>
      <c r="F76" s="1086" t="s">
        <v>1181</v>
      </c>
      <c r="G76" s="1087" t="s">
        <v>925</v>
      </c>
      <c r="H76" s="1086" t="s">
        <v>1182</v>
      </c>
      <c r="I76" s="1086" t="s">
        <v>927</v>
      </c>
      <c r="J76" s="1087" t="s">
        <v>928</v>
      </c>
    </row>
    <row r="77" spans="2:162" s="1085" customFormat="1" ht="13">
      <c r="B77" s="1310" t="s">
        <v>381</v>
      </c>
      <c r="C77" s="1149"/>
      <c r="D77" s="1149"/>
      <c r="E77" s="1086" t="s">
        <v>322</v>
      </c>
      <c r="F77" s="1086" t="s">
        <v>1196</v>
      </c>
      <c r="G77" s="1086" t="s">
        <v>398</v>
      </c>
      <c r="H77" s="1086"/>
      <c r="I77" s="1086"/>
      <c r="J77" s="1079"/>
    </row>
    <row r="78" spans="2:162" s="1085" customFormat="1" ht="13">
      <c r="B78" s="1150"/>
      <c r="C78" s="1150"/>
      <c r="D78" s="1150"/>
      <c r="E78" s="1086"/>
      <c r="F78" s="1086" t="s">
        <v>1197</v>
      </c>
      <c r="G78" s="1086" t="s">
        <v>379</v>
      </c>
      <c r="H78" s="1086" t="s">
        <v>395</v>
      </c>
      <c r="I78" s="1086" t="s">
        <v>397</v>
      </c>
      <c r="J78" s="1079"/>
    </row>
    <row r="79" spans="2:162" s="1085" customFormat="1" ht="13">
      <c r="B79" s="1146"/>
      <c r="C79" s="1146"/>
      <c r="D79" s="1146"/>
      <c r="E79" s="1086"/>
      <c r="F79" s="1306" t="s">
        <v>1198</v>
      </c>
      <c r="G79" s="1086" t="s">
        <v>396</v>
      </c>
      <c r="H79" s="1086" t="s">
        <v>396</v>
      </c>
      <c r="I79" s="1086" t="s">
        <v>396</v>
      </c>
      <c r="J79" s="1305" t="s">
        <v>119</v>
      </c>
    </row>
    <row r="80" spans="2:162">
      <c r="B80" s="1339" t="s">
        <v>1283</v>
      </c>
      <c r="C80" s="1441"/>
      <c r="D80" s="1341"/>
      <c r="E80" s="1446">
        <f t="shared" ref="E80:E85" si="2">SUM(F80:I80)</f>
        <v>-1755266865.3385811</v>
      </c>
      <c r="F80" s="1447">
        <v>-566832728.11514902</v>
      </c>
      <c r="G80" s="1447"/>
      <c r="H80" s="1447">
        <v>-1188434137.2234321</v>
      </c>
      <c r="I80" s="1447"/>
      <c r="J80" s="1168" t="s">
        <v>811</v>
      </c>
    </row>
    <row r="81" spans="2:11">
      <c r="B81" s="1339" t="s">
        <v>1284</v>
      </c>
      <c r="C81" s="1441"/>
      <c r="D81" s="1341"/>
      <c r="E81" s="1446">
        <f t="shared" si="2"/>
        <v>4338385.1761250263</v>
      </c>
      <c r="F81" s="1447">
        <v>4338385.1761250263</v>
      </c>
      <c r="G81" s="1447"/>
      <c r="H81" s="1447"/>
      <c r="I81" s="1447"/>
      <c r="J81" s="1168" t="s">
        <v>645</v>
      </c>
    </row>
    <row r="82" spans="2:11" ht="37.5">
      <c r="B82" s="1469" t="s">
        <v>1145</v>
      </c>
      <c r="C82" s="1441"/>
      <c r="D82" s="1341"/>
      <c r="E82" s="1447">
        <f t="shared" si="2"/>
        <v>-35137849.418774992</v>
      </c>
      <c r="F82" s="1447">
        <v>-16864500.219074998</v>
      </c>
      <c r="G82" s="1447">
        <v>-18273349.199699998</v>
      </c>
      <c r="H82" s="1447">
        <v>0</v>
      </c>
      <c r="I82" s="1447"/>
      <c r="J82" s="1168" t="s">
        <v>1228</v>
      </c>
    </row>
    <row r="83" spans="2:11" ht="37.5">
      <c r="B83" s="1469" t="s">
        <v>1226</v>
      </c>
      <c r="C83" s="1441"/>
      <c r="D83" s="1341"/>
      <c r="E83" s="1447">
        <f t="shared" si="2"/>
        <v>-13935553.382424999</v>
      </c>
      <c r="F83" s="1447">
        <v>-12689274.382424999</v>
      </c>
      <c r="G83" s="1447">
        <f>-1246279</f>
        <v>-1246279</v>
      </c>
      <c r="H83" s="1447">
        <v>0</v>
      </c>
      <c r="I83" s="1447"/>
      <c r="J83" s="1168" t="s">
        <v>1228</v>
      </c>
    </row>
    <row r="84" spans="2:11" ht="18.75" customHeight="1">
      <c r="B84" s="1469" t="s">
        <v>1227</v>
      </c>
      <c r="C84" s="1441"/>
      <c r="D84" s="1341"/>
      <c r="E84" s="1447">
        <f t="shared" si="2"/>
        <v>94509430.519999996</v>
      </c>
      <c r="F84" s="1447">
        <v>94509430.519999996</v>
      </c>
      <c r="G84" s="1447"/>
      <c r="H84" s="1447">
        <v>0</v>
      </c>
      <c r="I84" s="1447"/>
      <c r="J84" s="1470" t="s">
        <v>1229</v>
      </c>
    </row>
    <row r="85" spans="2:11" ht="30.75" customHeight="1">
      <c r="B85" s="1469" t="s">
        <v>1285</v>
      </c>
      <c r="C85" s="1441"/>
      <c r="D85" s="1341"/>
      <c r="E85" s="1447">
        <f t="shared" si="2"/>
        <v>253189691.58671704</v>
      </c>
      <c r="F85" s="1447">
        <v>76675996.354350895</v>
      </c>
      <c r="G85" s="1447"/>
      <c r="H85" s="1447">
        <v>176513695.23236614</v>
      </c>
      <c r="I85" s="1448"/>
      <c r="J85" s="1449" t="s">
        <v>1230</v>
      </c>
    </row>
    <row r="86" spans="2:11" ht="13">
      <c r="B86" s="1152"/>
      <c r="C86" s="1151"/>
      <c r="D86" s="1170"/>
      <c r="E86" s="1169">
        <f t="shared" ref="E86" si="3">SUM(F86:I86)</f>
        <v>0</v>
      </c>
      <c r="F86" s="1169"/>
      <c r="G86" s="1169"/>
      <c r="H86" s="1169"/>
      <c r="I86" s="1169"/>
      <c r="J86" s="1168"/>
    </row>
    <row r="87" spans="2:11" s="1062" customFormat="1" ht="13">
      <c r="B87" s="1090" t="s">
        <v>1101</v>
      </c>
      <c r="C87" s="1092"/>
      <c r="D87" s="627"/>
      <c r="E87" s="1109">
        <f>SUM(E80:E86)</f>
        <v>-1452302760.8569391</v>
      </c>
      <c r="F87" s="1109">
        <f t="shared" ref="F87:I87" si="4">SUM(F80:F86)</f>
        <v>-420862690.66617298</v>
      </c>
      <c r="G87" s="1109">
        <f t="shared" si="4"/>
        <v>-19519628.199699998</v>
      </c>
      <c r="H87" s="1109">
        <f t="shared" si="4"/>
        <v>-1011920441.991066</v>
      </c>
      <c r="I87" s="1109">
        <f t="shared" si="4"/>
        <v>0</v>
      </c>
      <c r="J87" s="1094"/>
      <c r="K87" s="1095"/>
    </row>
    <row r="88" spans="2:11" s="1062" customFormat="1" ht="13">
      <c r="B88" s="1096"/>
      <c r="C88" s="1097"/>
      <c r="D88" s="1092"/>
      <c r="E88" s="1093"/>
      <c r="F88" s="1093"/>
      <c r="G88" s="1093"/>
      <c r="H88" s="1093"/>
      <c r="I88" s="1093"/>
      <c r="J88" s="1094"/>
      <c r="K88" s="1095"/>
    </row>
    <row r="89" spans="2:11" s="1062" customFormat="1">
      <c r="B89" s="1098" t="s">
        <v>1092</v>
      </c>
      <c r="C89" s="1099"/>
      <c r="D89" s="1100"/>
      <c r="E89" s="1102">
        <f>SUM(F89:I89)</f>
        <v>-42954191.198800005</v>
      </c>
      <c r="F89" s="1102">
        <v>-62473819.398500003</v>
      </c>
      <c r="G89" s="1102">
        <f>-G84+-G83-G82</f>
        <v>19519628.199699998</v>
      </c>
      <c r="H89" s="1102">
        <f>-H84+-H83-H82</f>
        <v>0</v>
      </c>
      <c r="I89" s="1102">
        <f>-I84+-I83-I82</f>
        <v>0</v>
      </c>
      <c r="J89" s="1103"/>
      <c r="K89" s="1095"/>
    </row>
    <row r="90" spans="2:11" s="1062" customFormat="1">
      <c r="B90" s="1343" t="s">
        <v>1093</v>
      </c>
      <c r="C90" s="1340"/>
      <c r="D90" s="1341"/>
      <c r="E90" s="1342">
        <f t="shared" ref="E90" si="5">SUM(F90:I90)</f>
        <v>0</v>
      </c>
      <c r="F90" s="1342">
        <v>0</v>
      </c>
      <c r="G90" s="1342"/>
      <c r="H90" s="1342">
        <v>0</v>
      </c>
      <c r="I90" s="1342">
        <f>-I83</f>
        <v>0</v>
      </c>
      <c r="J90" s="1103"/>
      <c r="K90" s="1095"/>
    </row>
    <row r="91" spans="2:11" s="1062" customFormat="1">
      <c r="B91" s="1098" t="s">
        <v>1094</v>
      </c>
      <c r="C91" s="1099"/>
      <c r="D91" s="1100"/>
      <c r="E91" s="1102">
        <f>SUM(F91:I91)</f>
        <v>-253189691.58671704</v>
      </c>
      <c r="F91" s="1102">
        <f>-F85</f>
        <v>-76675996.354350895</v>
      </c>
      <c r="G91" s="1102">
        <f>-G85</f>
        <v>0</v>
      </c>
      <c r="H91" s="1102">
        <f>-H85</f>
        <v>-176513695.23236614</v>
      </c>
      <c r="I91" s="1102">
        <f>-I85</f>
        <v>0</v>
      </c>
      <c r="J91" s="1103"/>
      <c r="K91" s="1095"/>
    </row>
    <row r="92" spans="2:11" s="1062" customFormat="1">
      <c r="B92" s="1104" t="s">
        <v>1095</v>
      </c>
      <c r="C92" s="1105"/>
      <c r="D92" s="1100"/>
      <c r="E92" s="1102">
        <f>SUM(F92:I92)</f>
        <v>0</v>
      </c>
      <c r="F92" s="1102">
        <v>0</v>
      </c>
      <c r="G92" s="1102">
        <v>0</v>
      </c>
      <c r="H92" s="1102">
        <v>0</v>
      </c>
      <c r="I92" s="1102">
        <v>0</v>
      </c>
      <c r="J92" s="1103"/>
      <c r="K92" s="1095"/>
    </row>
    <row r="93" spans="2:11" s="1062" customFormat="1" ht="5.15" customHeight="1">
      <c r="B93" s="1096"/>
      <c r="C93" s="1097"/>
      <c r="D93" s="1092"/>
      <c r="E93" s="1093"/>
      <c r="F93" s="1093"/>
      <c r="G93" s="1093"/>
      <c r="H93" s="1093"/>
      <c r="I93" s="1093"/>
      <c r="J93" s="1094"/>
      <c r="K93" s="1095"/>
    </row>
    <row r="94" spans="2:11" s="1062" customFormat="1" ht="13">
      <c r="B94" s="1153" t="s">
        <v>1102</v>
      </c>
      <c r="C94" s="1154"/>
      <c r="D94" s="1108"/>
      <c r="E94" s="1109">
        <f>SUM(E88:E93)+E87</f>
        <v>-1748446643.6424561</v>
      </c>
      <c r="F94" s="1109">
        <f>SUM(F88:F93)+F87</f>
        <v>-560012506.41902387</v>
      </c>
      <c r="G94" s="1109">
        <f>SUM(G88:G93)+G87</f>
        <v>0</v>
      </c>
      <c r="H94" s="1109">
        <f>SUM(H88:H93)+H87</f>
        <v>-1188434137.2234321</v>
      </c>
      <c r="I94" s="1109">
        <f>SUM(I88:I93)+I87</f>
        <v>0</v>
      </c>
      <c r="J94" s="1110"/>
      <c r="K94" s="1095"/>
    </row>
    <row r="95" spans="2:11" s="1062" customFormat="1" ht="13">
      <c r="B95" s="1155"/>
      <c r="C95" s="1156"/>
      <c r="D95" s="1117"/>
      <c r="E95" s="1114"/>
      <c r="F95" s="1114"/>
      <c r="G95" s="1114"/>
      <c r="H95" s="1114"/>
      <c r="I95" s="1114"/>
      <c r="J95" s="1115"/>
      <c r="K95" s="1095"/>
    </row>
    <row r="96" spans="2:11" s="1062" customFormat="1" ht="13">
      <c r="B96" s="1313" t="s">
        <v>295</v>
      </c>
      <c r="C96" s="1157"/>
      <c r="D96" s="1117"/>
      <c r="E96" s="1114"/>
      <c r="F96" s="1114"/>
      <c r="G96" s="1114"/>
      <c r="H96" s="1114"/>
      <c r="I96" s="1118">
        <f>+'ATT H-2A'!H16</f>
        <v>0.16107005309484509</v>
      </c>
      <c r="J96" s="1115"/>
      <c r="K96" s="1095"/>
    </row>
    <row r="97" spans="2:162" s="1062" customFormat="1" ht="13">
      <c r="B97" s="1314" t="s">
        <v>144</v>
      </c>
      <c r="C97" s="1116"/>
      <c r="D97" s="1113"/>
      <c r="E97" s="1114"/>
      <c r="F97" s="1114"/>
      <c r="G97" s="1114"/>
      <c r="H97" s="1118">
        <f>+'ATT H-2A'!H32</f>
        <v>0.221715942881543</v>
      </c>
      <c r="I97" s="1114"/>
      <c r="J97" s="1115"/>
      <c r="K97" s="1095"/>
    </row>
    <row r="98" spans="2:162" s="1062" customFormat="1" ht="13">
      <c r="B98" s="1314" t="s">
        <v>1097</v>
      </c>
      <c r="C98" s="1116"/>
      <c r="D98" s="1113"/>
      <c r="E98" s="1114"/>
      <c r="F98" s="1114"/>
      <c r="G98" s="1118">
        <v>1</v>
      </c>
      <c r="H98" s="1114"/>
      <c r="I98" s="1114"/>
      <c r="J98" s="1115"/>
      <c r="K98" s="1095"/>
    </row>
    <row r="99" spans="2:162" s="1062" customFormat="1" ht="13">
      <c r="B99" s="1314" t="s">
        <v>1098</v>
      </c>
      <c r="C99" s="1116"/>
      <c r="D99" s="1113"/>
      <c r="E99" s="1114"/>
      <c r="F99" s="1118">
        <v>0</v>
      </c>
      <c r="G99" s="1114"/>
      <c r="H99" s="1114"/>
      <c r="I99" s="1114"/>
      <c r="J99" s="1115"/>
      <c r="K99" s="1095"/>
    </row>
    <row r="100" spans="2:162" s="1062" customFormat="1" ht="13">
      <c r="B100" s="1315" t="s">
        <v>1099</v>
      </c>
      <c r="C100" s="1116"/>
      <c r="D100" s="1113"/>
      <c r="E100" s="1114">
        <f>F100+G100+H100+I100</f>
        <v>-263494795.28710631</v>
      </c>
      <c r="F100" s="1114">
        <f>F99*F94</f>
        <v>0</v>
      </c>
      <c r="G100" s="1114">
        <f>G98*G94</f>
        <v>0</v>
      </c>
      <c r="H100" s="1114">
        <f>H94*H97</f>
        <v>-263494795.28710631</v>
      </c>
      <c r="I100" s="1114">
        <f>I94*I96</f>
        <v>0</v>
      </c>
      <c r="J100" s="1115"/>
      <c r="K100" s="1095"/>
    </row>
    <row r="101" spans="2:162" s="1062" customFormat="1" ht="13">
      <c r="B101" s="1158"/>
      <c r="C101" s="1159"/>
      <c r="D101" s="1120"/>
      <c r="E101" s="1121"/>
      <c r="F101" s="1121"/>
      <c r="G101" s="1121"/>
      <c r="H101" s="1121"/>
      <c r="I101" s="1121"/>
      <c r="J101" s="1122"/>
      <c r="K101" s="1095"/>
    </row>
    <row r="102" spans="2:162" s="1123" customFormat="1" ht="13">
      <c r="B102" s="1160" t="s">
        <v>401</v>
      </c>
      <c r="C102" s="1125"/>
      <c r="D102" s="1125"/>
      <c r="E102" s="1161"/>
      <c r="F102" s="1125"/>
      <c r="G102" s="1129"/>
      <c r="H102" s="1130"/>
      <c r="I102" s="1130"/>
      <c r="J102" s="1130"/>
      <c r="K102" s="1131"/>
    </row>
    <row r="103" spans="2:162" s="1123" customFormat="1" ht="12.75" customHeight="1">
      <c r="B103" s="1479" t="s">
        <v>1217</v>
      </c>
      <c r="C103" s="1479"/>
      <c r="D103" s="1479"/>
      <c r="E103" s="1479"/>
      <c r="F103" s="1479"/>
      <c r="G103" s="1479"/>
      <c r="H103" s="1479"/>
      <c r="I103" s="1479"/>
      <c r="J103" s="1130"/>
      <c r="K103" s="1131"/>
    </row>
    <row r="104" spans="2:162" s="1123" customFormat="1" ht="13">
      <c r="B104" s="1133" t="s">
        <v>1184</v>
      </c>
      <c r="C104" s="1133"/>
      <c r="D104" s="1125"/>
      <c r="E104" s="1131"/>
      <c r="F104" s="1125"/>
      <c r="G104" s="1125"/>
      <c r="H104" s="1129"/>
      <c r="I104" s="1129"/>
      <c r="J104" s="1130"/>
      <c r="K104" s="1131"/>
    </row>
    <row r="105" spans="2:162" s="1123" customFormat="1" ht="13">
      <c r="B105" s="1133" t="s">
        <v>1185</v>
      </c>
      <c r="C105" s="1133"/>
      <c r="D105" s="1125"/>
      <c r="E105" s="1131"/>
      <c r="F105" s="1125"/>
      <c r="G105" s="1125"/>
      <c r="H105" s="1129"/>
      <c r="I105" s="1129"/>
      <c r="J105" s="1130"/>
      <c r="K105" s="1131"/>
    </row>
    <row r="106" spans="2:162" s="1123" customFormat="1" ht="13">
      <c r="B106" s="1133" t="s">
        <v>1186</v>
      </c>
      <c r="C106" s="1133"/>
      <c r="D106" s="1125"/>
      <c r="E106" s="1131"/>
      <c r="F106" s="1125"/>
      <c r="G106" s="1125"/>
      <c r="H106" s="1129"/>
      <c r="I106" s="1129"/>
      <c r="J106" s="1130"/>
      <c r="K106" s="1131"/>
    </row>
    <row r="107" spans="2:162" s="1123" customFormat="1" ht="15.75" customHeight="1">
      <c r="B107" s="1480" t="s">
        <v>1100</v>
      </c>
      <c r="C107" s="1480"/>
      <c r="D107" s="1480"/>
      <c r="E107" s="1480"/>
      <c r="F107" s="1480"/>
      <c r="G107" s="1480"/>
      <c r="H107" s="1480"/>
      <c r="I107" s="1480"/>
      <c r="J107" s="1131"/>
      <c r="K107" s="1134"/>
    </row>
    <row r="108" spans="2:162" s="1123" customFormat="1" ht="15.75" customHeight="1">
      <c r="B108" s="1480"/>
      <c r="C108" s="1480"/>
      <c r="D108" s="1480"/>
      <c r="E108" s="1480"/>
      <c r="F108" s="1480"/>
      <c r="G108" s="1480"/>
      <c r="H108" s="1480"/>
      <c r="I108" s="1480"/>
      <c r="J108" s="1131"/>
      <c r="K108" s="1134"/>
    </row>
    <row r="109" spans="2:162" s="1162" customFormat="1" ht="13">
      <c r="B109" s="1163"/>
      <c r="C109" s="1163"/>
      <c r="D109" s="1163"/>
      <c r="E109" s="1164"/>
      <c r="F109" s="1165"/>
      <c r="G109" s="1165"/>
      <c r="H109" s="1147"/>
      <c r="I109" s="1166"/>
      <c r="J109" s="1167"/>
    </row>
    <row r="110" spans="2:162" s="1140" customFormat="1" ht="13">
      <c r="B110" s="1141" t="s">
        <v>1156</v>
      </c>
      <c r="C110" s="1141"/>
      <c r="D110" s="1141"/>
      <c r="E110" s="1142"/>
      <c r="F110" s="1143"/>
      <c r="G110" s="1143"/>
      <c r="H110" s="1143"/>
      <c r="I110" s="1143"/>
      <c r="J110" s="1144"/>
      <c r="K110" s="1085"/>
      <c r="L110" s="1085"/>
      <c r="M110" s="1085"/>
      <c r="N110" s="1085"/>
      <c r="O110" s="1085"/>
      <c r="P110" s="1085"/>
      <c r="Q110" s="1085"/>
      <c r="R110" s="1085"/>
      <c r="S110" s="1085"/>
      <c r="T110" s="1085"/>
      <c r="U110" s="1085"/>
      <c r="V110" s="1085"/>
      <c r="W110" s="1085"/>
      <c r="X110" s="1085"/>
      <c r="Y110" s="1085"/>
      <c r="Z110" s="1085"/>
      <c r="AA110" s="1085"/>
      <c r="AB110" s="1085"/>
      <c r="AC110" s="1085"/>
      <c r="AD110" s="1085"/>
      <c r="AE110" s="1085"/>
      <c r="AF110" s="1085"/>
      <c r="AG110" s="1085"/>
      <c r="AH110" s="1085"/>
      <c r="AI110" s="1085"/>
      <c r="AJ110" s="1085"/>
      <c r="AK110" s="1085"/>
      <c r="AL110" s="1085"/>
      <c r="AM110" s="1085"/>
      <c r="AN110" s="1085"/>
      <c r="AO110" s="1085"/>
      <c r="AP110" s="1085"/>
      <c r="AQ110" s="1085"/>
      <c r="AR110" s="1085"/>
      <c r="AS110" s="1085"/>
      <c r="AT110" s="1085"/>
      <c r="AU110" s="1085"/>
      <c r="AV110" s="1085"/>
      <c r="AW110" s="1085"/>
      <c r="AX110" s="1085"/>
      <c r="AY110" s="1085"/>
      <c r="AZ110" s="1085"/>
      <c r="BA110" s="1085"/>
      <c r="BB110" s="1085"/>
      <c r="BC110" s="1085"/>
      <c r="BD110" s="1085"/>
      <c r="BE110" s="1085"/>
      <c r="BF110" s="1085"/>
      <c r="BG110" s="1085"/>
      <c r="BH110" s="1085"/>
      <c r="BI110" s="1085"/>
      <c r="BJ110" s="1085"/>
      <c r="BK110" s="1085"/>
      <c r="BL110" s="1085"/>
      <c r="BM110" s="1085"/>
      <c r="BN110" s="1085"/>
      <c r="BO110" s="1085"/>
      <c r="BP110" s="1085"/>
      <c r="BQ110" s="1085"/>
      <c r="BR110" s="1085"/>
      <c r="BS110" s="1085"/>
      <c r="BT110" s="1085"/>
      <c r="BU110" s="1085"/>
      <c r="BV110" s="1085"/>
      <c r="BW110" s="1085"/>
      <c r="BX110" s="1085"/>
      <c r="BY110" s="1085"/>
      <c r="BZ110" s="1085"/>
      <c r="CA110" s="1085"/>
      <c r="CB110" s="1085"/>
      <c r="CC110" s="1085"/>
      <c r="CD110" s="1085"/>
      <c r="CE110" s="1085"/>
      <c r="CF110" s="1085"/>
      <c r="CG110" s="1085"/>
      <c r="CH110" s="1085"/>
      <c r="CI110" s="1085"/>
      <c r="CJ110" s="1085"/>
      <c r="CK110" s="1085"/>
      <c r="CL110" s="1085"/>
      <c r="CM110" s="1085"/>
      <c r="CN110" s="1085"/>
      <c r="CO110" s="1085"/>
      <c r="CP110" s="1085"/>
      <c r="CQ110" s="1085"/>
      <c r="CR110" s="1085"/>
      <c r="CS110" s="1085"/>
      <c r="CT110" s="1085"/>
      <c r="CU110" s="1085"/>
      <c r="CV110" s="1085"/>
      <c r="CW110" s="1085"/>
      <c r="CX110" s="1085"/>
      <c r="CY110" s="1085"/>
      <c r="CZ110" s="1085"/>
      <c r="DA110" s="1085"/>
      <c r="DB110" s="1085"/>
      <c r="DC110" s="1085"/>
      <c r="DD110" s="1085"/>
      <c r="DE110" s="1085"/>
      <c r="DF110" s="1085"/>
      <c r="DG110" s="1085"/>
      <c r="DH110" s="1085"/>
      <c r="DI110" s="1085"/>
      <c r="DJ110" s="1085"/>
      <c r="DK110" s="1085"/>
      <c r="DL110" s="1085"/>
      <c r="DM110" s="1085"/>
      <c r="DN110" s="1085"/>
      <c r="DO110" s="1085"/>
      <c r="DP110" s="1085"/>
      <c r="DQ110" s="1085"/>
      <c r="DR110" s="1085"/>
      <c r="DS110" s="1085"/>
      <c r="DT110" s="1085"/>
      <c r="DU110" s="1085"/>
      <c r="DV110" s="1085"/>
      <c r="DW110" s="1085"/>
      <c r="DX110" s="1085"/>
      <c r="DY110" s="1085"/>
      <c r="DZ110" s="1085"/>
      <c r="EA110" s="1085"/>
      <c r="EB110" s="1085"/>
      <c r="EC110" s="1085"/>
      <c r="ED110" s="1085"/>
      <c r="EE110" s="1085"/>
      <c r="EF110" s="1085"/>
      <c r="EG110" s="1085"/>
      <c r="EH110" s="1085"/>
      <c r="EI110" s="1085"/>
      <c r="EJ110" s="1085"/>
      <c r="EK110" s="1085"/>
      <c r="EL110" s="1085"/>
      <c r="EM110" s="1085"/>
      <c r="EN110" s="1085"/>
      <c r="EO110" s="1085"/>
      <c r="EP110" s="1085"/>
      <c r="EQ110" s="1085"/>
      <c r="ER110" s="1085"/>
      <c r="ES110" s="1085"/>
      <c r="ET110" s="1085"/>
      <c r="EU110" s="1085"/>
      <c r="EV110" s="1085"/>
      <c r="EW110" s="1085"/>
      <c r="EX110" s="1085"/>
      <c r="EY110" s="1085"/>
      <c r="EZ110" s="1085"/>
      <c r="FA110" s="1085"/>
      <c r="FB110" s="1085"/>
      <c r="FC110" s="1085"/>
      <c r="FD110" s="1085"/>
      <c r="FE110" s="1085"/>
      <c r="FF110" s="1085"/>
    </row>
    <row r="111" spans="2:162" s="1140" customFormat="1" ht="13">
      <c r="B111" s="1145"/>
      <c r="C111" s="1145"/>
      <c r="D111" s="1145"/>
      <c r="E111" s="1142"/>
      <c r="F111" s="1143"/>
      <c r="G111" s="1143"/>
      <c r="H111" s="1143"/>
      <c r="I111" s="1143"/>
      <c r="J111" s="1144"/>
      <c r="K111" s="1085"/>
      <c r="L111" s="1085"/>
      <c r="M111" s="1085"/>
      <c r="N111" s="1085"/>
      <c r="O111" s="1085"/>
      <c r="P111" s="1085"/>
      <c r="Q111" s="1085"/>
      <c r="R111" s="1085"/>
      <c r="S111" s="1085"/>
      <c r="T111" s="1085"/>
      <c r="U111" s="1085"/>
      <c r="V111" s="1085"/>
      <c r="W111" s="1085"/>
      <c r="X111" s="1085"/>
      <c r="Y111" s="1085"/>
      <c r="Z111" s="1085"/>
      <c r="AA111" s="1085"/>
      <c r="AB111" s="1085"/>
      <c r="AC111" s="1085"/>
      <c r="AD111" s="1085"/>
      <c r="AE111" s="1085"/>
      <c r="AF111" s="1085"/>
      <c r="AG111" s="1085"/>
      <c r="AH111" s="1085"/>
      <c r="AI111" s="1085"/>
      <c r="AJ111" s="1085"/>
      <c r="AK111" s="1085"/>
      <c r="AL111" s="1085"/>
      <c r="AM111" s="1085"/>
      <c r="AN111" s="1085"/>
      <c r="AO111" s="1085"/>
      <c r="AP111" s="1085"/>
      <c r="AQ111" s="1085"/>
      <c r="AR111" s="1085"/>
      <c r="AS111" s="1085"/>
      <c r="AT111" s="1085"/>
      <c r="AU111" s="1085"/>
      <c r="AV111" s="1085"/>
      <c r="AW111" s="1085"/>
      <c r="AX111" s="1085"/>
      <c r="AY111" s="1085"/>
      <c r="AZ111" s="1085"/>
      <c r="BA111" s="1085"/>
      <c r="BB111" s="1085"/>
      <c r="BC111" s="1085"/>
      <c r="BD111" s="1085"/>
      <c r="BE111" s="1085"/>
      <c r="BF111" s="1085"/>
      <c r="BG111" s="1085"/>
      <c r="BH111" s="1085"/>
      <c r="BI111" s="1085"/>
      <c r="BJ111" s="1085"/>
      <c r="BK111" s="1085"/>
      <c r="BL111" s="1085"/>
      <c r="BM111" s="1085"/>
      <c r="BN111" s="1085"/>
      <c r="BO111" s="1085"/>
      <c r="BP111" s="1085"/>
      <c r="BQ111" s="1085"/>
      <c r="BR111" s="1085"/>
      <c r="BS111" s="1085"/>
      <c r="BT111" s="1085"/>
      <c r="BU111" s="1085"/>
      <c r="BV111" s="1085"/>
      <c r="BW111" s="1085"/>
      <c r="BX111" s="1085"/>
      <c r="BY111" s="1085"/>
      <c r="BZ111" s="1085"/>
      <c r="CA111" s="1085"/>
      <c r="CB111" s="1085"/>
      <c r="CC111" s="1085"/>
      <c r="CD111" s="1085"/>
      <c r="CE111" s="1085"/>
      <c r="CF111" s="1085"/>
      <c r="CG111" s="1085"/>
      <c r="CH111" s="1085"/>
      <c r="CI111" s="1085"/>
      <c r="CJ111" s="1085"/>
      <c r="CK111" s="1085"/>
      <c r="CL111" s="1085"/>
      <c r="CM111" s="1085"/>
      <c r="CN111" s="1085"/>
      <c r="CO111" s="1085"/>
      <c r="CP111" s="1085"/>
      <c r="CQ111" s="1085"/>
      <c r="CR111" s="1085"/>
      <c r="CS111" s="1085"/>
      <c r="CT111" s="1085"/>
      <c r="CU111" s="1085"/>
      <c r="CV111" s="1085"/>
      <c r="CW111" s="1085"/>
      <c r="CX111" s="1085"/>
      <c r="CY111" s="1085"/>
      <c r="CZ111" s="1085"/>
      <c r="DA111" s="1085"/>
      <c r="DB111" s="1085"/>
      <c r="DC111" s="1085"/>
      <c r="DD111" s="1085"/>
      <c r="DE111" s="1085"/>
      <c r="DF111" s="1085"/>
      <c r="DG111" s="1085"/>
      <c r="DH111" s="1085"/>
      <c r="DI111" s="1085"/>
      <c r="DJ111" s="1085"/>
      <c r="DK111" s="1085"/>
      <c r="DL111" s="1085"/>
      <c r="DM111" s="1085"/>
      <c r="DN111" s="1085"/>
      <c r="DO111" s="1085"/>
      <c r="DP111" s="1085"/>
      <c r="DQ111" s="1085"/>
      <c r="DR111" s="1085"/>
      <c r="DS111" s="1085"/>
      <c r="DT111" s="1085"/>
      <c r="DU111" s="1085"/>
      <c r="DV111" s="1085"/>
      <c r="DW111" s="1085"/>
      <c r="DX111" s="1085"/>
      <c r="DY111" s="1085"/>
      <c r="DZ111" s="1085"/>
      <c r="EA111" s="1085"/>
      <c r="EB111" s="1085"/>
      <c r="EC111" s="1085"/>
      <c r="ED111" s="1085"/>
      <c r="EE111" s="1085"/>
      <c r="EF111" s="1085"/>
      <c r="EG111" s="1085"/>
      <c r="EH111" s="1085"/>
      <c r="EI111" s="1085"/>
      <c r="EJ111" s="1085"/>
      <c r="EK111" s="1085"/>
      <c r="EL111" s="1085"/>
      <c r="EM111" s="1085"/>
      <c r="EN111" s="1085"/>
      <c r="EO111" s="1085"/>
      <c r="EP111" s="1085"/>
      <c r="EQ111" s="1085"/>
      <c r="ER111" s="1085"/>
      <c r="ES111" s="1085"/>
      <c r="ET111" s="1085"/>
      <c r="EU111" s="1085"/>
      <c r="EV111" s="1085"/>
      <c r="EW111" s="1085"/>
      <c r="EX111" s="1085"/>
      <c r="EY111" s="1085"/>
      <c r="EZ111" s="1085"/>
      <c r="FA111" s="1085"/>
      <c r="FB111" s="1085"/>
      <c r="FC111" s="1085"/>
      <c r="FD111" s="1085"/>
      <c r="FE111" s="1085"/>
      <c r="FF111" s="1085"/>
    </row>
    <row r="112" spans="2:162" s="1140" customFormat="1" ht="13">
      <c r="B112" s="1145"/>
      <c r="C112" s="1145"/>
      <c r="D112" s="1145"/>
      <c r="E112" s="1142"/>
      <c r="F112" s="1143"/>
      <c r="G112" s="1143"/>
      <c r="H112" s="1143"/>
      <c r="I112" s="1143"/>
      <c r="J112" s="1144"/>
      <c r="K112" s="1085"/>
      <c r="L112" s="1085"/>
      <c r="M112" s="1085"/>
      <c r="N112" s="1085"/>
      <c r="O112" s="1085"/>
      <c r="P112" s="1085"/>
      <c r="Q112" s="1085"/>
      <c r="R112" s="1085"/>
      <c r="S112" s="1085"/>
      <c r="T112" s="1085"/>
      <c r="U112" s="1085"/>
      <c r="V112" s="1085"/>
      <c r="W112" s="1085"/>
      <c r="X112" s="1085"/>
      <c r="Y112" s="1085"/>
      <c r="Z112" s="1085"/>
      <c r="AA112" s="1085"/>
      <c r="AB112" s="1085"/>
      <c r="AC112" s="1085"/>
      <c r="AD112" s="1085"/>
      <c r="AE112" s="1085"/>
      <c r="AF112" s="1085"/>
      <c r="AG112" s="1085"/>
      <c r="AH112" s="1085"/>
      <c r="AI112" s="1085"/>
      <c r="AJ112" s="1085"/>
      <c r="AK112" s="1085"/>
      <c r="AL112" s="1085"/>
      <c r="AM112" s="1085"/>
      <c r="AN112" s="1085"/>
      <c r="AO112" s="1085"/>
      <c r="AP112" s="1085"/>
      <c r="AQ112" s="1085"/>
      <c r="AR112" s="1085"/>
      <c r="AS112" s="1085"/>
      <c r="AT112" s="1085"/>
      <c r="AU112" s="1085"/>
      <c r="AV112" s="1085"/>
      <c r="AW112" s="1085"/>
      <c r="AX112" s="1085"/>
      <c r="AY112" s="1085"/>
      <c r="AZ112" s="1085"/>
      <c r="BA112" s="1085"/>
      <c r="BB112" s="1085"/>
      <c r="BC112" s="1085"/>
      <c r="BD112" s="1085"/>
      <c r="BE112" s="1085"/>
      <c r="BF112" s="1085"/>
      <c r="BG112" s="1085"/>
      <c r="BH112" s="1085"/>
      <c r="BI112" s="1085"/>
      <c r="BJ112" s="1085"/>
      <c r="BK112" s="1085"/>
      <c r="BL112" s="1085"/>
      <c r="BM112" s="1085"/>
      <c r="BN112" s="1085"/>
      <c r="BO112" s="1085"/>
      <c r="BP112" s="1085"/>
      <c r="BQ112" s="1085"/>
      <c r="BR112" s="1085"/>
      <c r="BS112" s="1085"/>
      <c r="BT112" s="1085"/>
      <c r="BU112" s="1085"/>
      <c r="BV112" s="1085"/>
      <c r="BW112" s="1085"/>
      <c r="BX112" s="1085"/>
      <c r="BY112" s="1085"/>
      <c r="BZ112" s="1085"/>
      <c r="CA112" s="1085"/>
      <c r="CB112" s="1085"/>
      <c r="CC112" s="1085"/>
      <c r="CD112" s="1085"/>
      <c r="CE112" s="1085"/>
      <c r="CF112" s="1085"/>
      <c r="CG112" s="1085"/>
      <c r="CH112" s="1085"/>
      <c r="CI112" s="1085"/>
      <c r="CJ112" s="1085"/>
      <c r="CK112" s="1085"/>
      <c r="CL112" s="1085"/>
      <c r="CM112" s="1085"/>
      <c r="CN112" s="1085"/>
      <c r="CO112" s="1085"/>
      <c r="CP112" s="1085"/>
      <c r="CQ112" s="1085"/>
      <c r="CR112" s="1085"/>
      <c r="CS112" s="1085"/>
      <c r="CT112" s="1085"/>
      <c r="CU112" s="1085"/>
      <c r="CV112" s="1085"/>
      <c r="CW112" s="1085"/>
      <c r="CX112" s="1085"/>
      <c r="CY112" s="1085"/>
      <c r="CZ112" s="1085"/>
      <c r="DA112" s="1085"/>
      <c r="DB112" s="1085"/>
      <c r="DC112" s="1085"/>
      <c r="DD112" s="1085"/>
      <c r="DE112" s="1085"/>
      <c r="DF112" s="1085"/>
      <c r="DG112" s="1085"/>
      <c r="DH112" s="1085"/>
      <c r="DI112" s="1085"/>
      <c r="DJ112" s="1085"/>
      <c r="DK112" s="1085"/>
      <c r="DL112" s="1085"/>
      <c r="DM112" s="1085"/>
      <c r="DN112" s="1085"/>
      <c r="DO112" s="1085"/>
      <c r="DP112" s="1085"/>
      <c r="DQ112" s="1085"/>
      <c r="DR112" s="1085"/>
      <c r="DS112" s="1085"/>
      <c r="DT112" s="1085"/>
      <c r="DU112" s="1085"/>
      <c r="DV112" s="1085"/>
      <c r="DW112" s="1085"/>
      <c r="DX112" s="1085"/>
      <c r="DY112" s="1085"/>
      <c r="DZ112" s="1085"/>
      <c r="EA112" s="1085"/>
      <c r="EB112" s="1085"/>
      <c r="EC112" s="1085"/>
      <c r="ED112" s="1085"/>
      <c r="EE112" s="1085"/>
      <c r="EF112" s="1085"/>
      <c r="EG112" s="1085"/>
      <c r="EH112" s="1085"/>
      <c r="EI112" s="1085"/>
      <c r="EJ112" s="1085"/>
      <c r="EK112" s="1085"/>
      <c r="EL112" s="1085"/>
      <c r="EM112" s="1085"/>
      <c r="EN112" s="1085"/>
      <c r="EO112" s="1085"/>
      <c r="EP112" s="1085"/>
      <c r="EQ112" s="1085"/>
      <c r="ER112" s="1085"/>
      <c r="ES112" s="1085"/>
      <c r="ET112" s="1085"/>
      <c r="EU112" s="1085"/>
      <c r="EV112" s="1085"/>
      <c r="EW112" s="1085"/>
      <c r="EX112" s="1085"/>
      <c r="EY112" s="1085"/>
      <c r="EZ112" s="1085"/>
      <c r="FA112" s="1085"/>
      <c r="FB112" s="1085"/>
      <c r="FC112" s="1085"/>
      <c r="FD112" s="1085"/>
      <c r="FE112" s="1085"/>
      <c r="FF112" s="1085"/>
    </row>
    <row r="113" spans="2:162" s="1140" customFormat="1" ht="13">
      <c r="B113" s="1086" t="s">
        <v>922</v>
      </c>
      <c r="C113" s="1086"/>
      <c r="D113" s="1086"/>
      <c r="E113" s="1086" t="s">
        <v>923</v>
      </c>
      <c r="F113" s="1086" t="s">
        <v>1181</v>
      </c>
      <c r="G113" s="1087" t="s">
        <v>925</v>
      </c>
      <c r="H113" s="1086" t="s">
        <v>1182</v>
      </c>
      <c r="I113" s="1086" t="s">
        <v>927</v>
      </c>
      <c r="J113" s="1087" t="s">
        <v>928</v>
      </c>
      <c r="K113" s="1085"/>
      <c r="L113" s="1085"/>
      <c r="M113" s="1085"/>
      <c r="N113" s="1085"/>
      <c r="O113" s="1085"/>
      <c r="P113" s="1085"/>
      <c r="Q113" s="1085"/>
      <c r="R113" s="1085"/>
      <c r="S113" s="1085"/>
      <c r="T113" s="1085"/>
      <c r="U113" s="1085"/>
      <c r="V113" s="1085"/>
      <c r="W113" s="1085"/>
      <c r="X113" s="1085"/>
      <c r="Y113" s="1085"/>
      <c r="Z113" s="1085"/>
      <c r="AA113" s="1085"/>
      <c r="AB113" s="1085"/>
      <c r="AC113" s="1085"/>
      <c r="AD113" s="1085"/>
      <c r="AE113" s="1085"/>
      <c r="AF113" s="1085"/>
      <c r="AG113" s="1085"/>
      <c r="AH113" s="1085"/>
      <c r="AI113" s="1085"/>
      <c r="AJ113" s="1085"/>
      <c r="AK113" s="1085"/>
      <c r="AL113" s="1085"/>
      <c r="AM113" s="1085"/>
      <c r="AN113" s="1085"/>
      <c r="AO113" s="1085"/>
      <c r="AP113" s="1085"/>
      <c r="AQ113" s="1085"/>
      <c r="AR113" s="1085"/>
      <c r="AS113" s="1085"/>
      <c r="AT113" s="1085"/>
      <c r="AU113" s="1085"/>
      <c r="AV113" s="1085"/>
      <c r="AW113" s="1085"/>
      <c r="AX113" s="1085"/>
      <c r="AY113" s="1085"/>
      <c r="AZ113" s="1085"/>
      <c r="BA113" s="1085"/>
      <c r="BB113" s="1085"/>
      <c r="BC113" s="1085"/>
      <c r="BD113" s="1085"/>
      <c r="BE113" s="1085"/>
      <c r="BF113" s="1085"/>
      <c r="BG113" s="1085"/>
      <c r="BH113" s="1085"/>
      <c r="BI113" s="1085"/>
      <c r="BJ113" s="1085"/>
      <c r="BK113" s="1085"/>
      <c r="BL113" s="1085"/>
      <c r="BM113" s="1085"/>
      <c r="BN113" s="1085"/>
      <c r="BO113" s="1085"/>
      <c r="BP113" s="1085"/>
      <c r="BQ113" s="1085"/>
      <c r="BR113" s="1085"/>
      <c r="BS113" s="1085"/>
      <c r="BT113" s="1085"/>
      <c r="BU113" s="1085"/>
      <c r="BV113" s="1085"/>
      <c r="BW113" s="1085"/>
      <c r="BX113" s="1085"/>
      <c r="BY113" s="1085"/>
      <c r="BZ113" s="1085"/>
      <c r="CA113" s="1085"/>
      <c r="CB113" s="1085"/>
      <c r="CC113" s="1085"/>
      <c r="CD113" s="1085"/>
      <c r="CE113" s="1085"/>
      <c r="CF113" s="1085"/>
      <c r="CG113" s="1085"/>
      <c r="CH113" s="1085"/>
      <c r="CI113" s="1085"/>
      <c r="CJ113" s="1085"/>
      <c r="CK113" s="1085"/>
      <c r="CL113" s="1085"/>
      <c r="CM113" s="1085"/>
      <c r="CN113" s="1085"/>
      <c r="CO113" s="1085"/>
      <c r="CP113" s="1085"/>
      <c r="CQ113" s="1085"/>
      <c r="CR113" s="1085"/>
      <c r="CS113" s="1085"/>
      <c r="CT113" s="1085"/>
      <c r="CU113" s="1085"/>
      <c r="CV113" s="1085"/>
      <c r="CW113" s="1085"/>
      <c r="CX113" s="1085"/>
      <c r="CY113" s="1085"/>
      <c r="CZ113" s="1085"/>
      <c r="DA113" s="1085"/>
      <c r="DB113" s="1085"/>
      <c r="DC113" s="1085"/>
      <c r="DD113" s="1085"/>
      <c r="DE113" s="1085"/>
      <c r="DF113" s="1085"/>
      <c r="DG113" s="1085"/>
      <c r="DH113" s="1085"/>
      <c r="DI113" s="1085"/>
      <c r="DJ113" s="1085"/>
      <c r="DK113" s="1085"/>
      <c r="DL113" s="1085"/>
      <c r="DM113" s="1085"/>
      <c r="DN113" s="1085"/>
      <c r="DO113" s="1085"/>
      <c r="DP113" s="1085"/>
      <c r="DQ113" s="1085"/>
      <c r="DR113" s="1085"/>
      <c r="DS113" s="1085"/>
      <c r="DT113" s="1085"/>
      <c r="DU113" s="1085"/>
      <c r="DV113" s="1085"/>
      <c r="DW113" s="1085"/>
      <c r="DX113" s="1085"/>
      <c r="DY113" s="1085"/>
      <c r="DZ113" s="1085"/>
      <c r="EA113" s="1085"/>
      <c r="EB113" s="1085"/>
      <c r="EC113" s="1085"/>
      <c r="ED113" s="1085"/>
      <c r="EE113" s="1085"/>
      <c r="EF113" s="1085"/>
      <c r="EG113" s="1085"/>
      <c r="EH113" s="1085"/>
      <c r="EI113" s="1085"/>
      <c r="EJ113" s="1085"/>
      <c r="EK113" s="1085"/>
      <c r="EL113" s="1085"/>
      <c r="EM113" s="1085"/>
      <c r="EN113" s="1085"/>
      <c r="EO113" s="1085"/>
      <c r="EP113" s="1085"/>
      <c r="EQ113" s="1085"/>
      <c r="ER113" s="1085"/>
      <c r="ES113" s="1085"/>
      <c r="ET113" s="1085"/>
      <c r="EU113" s="1085"/>
      <c r="EV113" s="1085"/>
      <c r="EW113" s="1085"/>
      <c r="EX113" s="1085"/>
      <c r="EY113" s="1085"/>
      <c r="EZ113" s="1085"/>
      <c r="FA113" s="1085"/>
      <c r="FB113" s="1085"/>
      <c r="FC113" s="1085"/>
      <c r="FD113" s="1085"/>
      <c r="FE113" s="1085"/>
      <c r="FF113" s="1085"/>
    </row>
    <row r="114" spans="2:162" s="1140" customFormat="1" ht="13">
      <c r="B114" s="1310" t="s">
        <v>382</v>
      </c>
      <c r="C114" s="1310"/>
      <c r="D114" s="1310"/>
      <c r="E114" s="1086" t="s">
        <v>322</v>
      </c>
      <c r="F114" s="1086" t="s">
        <v>1196</v>
      </c>
      <c r="G114" s="1086" t="s">
        <v>398</v>
      </c>
      <c r="H114" s="1086"/>
      <c r="I114" s="1086"/>
      <c r="J114" s="1079"/>
      <c r="K114" s="1085"/>
      <c r="L114" s="1085"/>
      <c r="M114" s="1085"/>
      <c r="N114" s="1085"/>
      <c r="O114" s="1085"/>
      <c r="P114" s="1085"/>
      <c r="Q114" s="1085"/>
      <c r="R114" s="1085"/>
      <c r="S114" s="1085"/>
      <c r="T114" s="1085"/>
      <c r="U114" s="1085"/>
      <c r="V114" s="1085"/>
      <c r="W114" s="1085"/>
      <c r="X114" s="1085"/>
      <c r="Y114" s="1085"/>
      <c r="Z114" s="1085"/>
      <c r="AA114" s="1085"/>
      <c r="AB114" s="1085"/>
      <c r="AC114" s="1085"/>
      <c r="AD114" s="1085"/>
      <c r="AE114" s="1085"/>
      <c r="AF114" s="1085"/>
      <c r="AG114" s="1085"/>
      <c r="AH114" s="1085"/>
      <c r="AI114" s="1085"/>
      <c r="AJ114" s="1085"/>
      <c r="AK114" s="1085"/>
      <c r="AL114" s="1085"/>
      <c r="AM114" s="1085"/>
      <c r="AN114" s="1085"/>
      <c r="AO114" s="1085"/>
      <c r="AP114" s="1085"/>
      <c r="AQ114" s="1085"/>
      <c r="AR114" s="1085"/>
      <c r="AS114" s="1085"/>
      <c r="AT114" s="1085"/>
      <c r="AU114" s="1085"/>
      <c r="AV114" s="1085"/>
      <c r="AW114" s="1085"/>
      <c r="AX114" s="1085"/>
      <c r="AY114" s="1085"/>
      <c r="AZ114" s="1085"/>
      <c r="BA114" s="1085"/>
      <c r="BB114" s="1085"/>
      <c r="BC114" s="1085"/>
      <c r="BD114" s="1085"/>
      <c r="BE114" s="1085"/>
      <c r="BF114" s="1085"/>
      <c r="BG114" s="1085"/>
      <c r="BH114" s="1085"/>
      <c r="BI114" s="1085"/>
      <c r="BJ114" s="1085"/>
      <c r="BK114" s="1085"/>
      <c r="BL114" s="1085"/>
      <c r="BM114" s="1085"/>
      <c r="BN114" s="1085"/>
      <c r="BO114" s="1085"/>
      <c r="BP114" s="1085"/>
      <c r="BQ114" s="1085"/>
      <c r="BR114" s="1085"/>
      <c r="BS114" s="1085"/>
      <c r="BT114" s="1085"/>
      <c r="BU114" s="1085"/>
      <c r="BV114" s="1085"/>
      <c r="BW114" s="1085"/>
      <c r="BX114" s="1085"/>
      <c r="BY114" s="1085"/>
      <c r="BZ114" s="1085"/>
      <c r="CA114" s="1085"/>
      <c r="CB114" s="1085"/>
      <c r="CC114" s="1085"/>
      <c r="CD114" s="1085"/>
      <c r="CE114" s="1085"/>
      <c r="CF114" s="1085"/>
      <c r="CG114" s="1085"/>
      <c r="CH114" s="1085"/>
      <c r="CI114" s="1085"/>
      <c r="CJ114" s="1085"/>
      <c r="CK114" s="1085"/>
      <c r="CL114" s="1085"/>
      <c r="CM114" s="1085"/>
      <c r="CN114" s="1085"/>
      <c r="CO114" s="1085"/>
      <c r="CP114" s="1085"/>
      <c r="CQ114" s="1085"/>
      <c r="CR114" s="1085"/>
      <c r="CS114" s="1085"/>
      <c r="CT114" s="1085"/>
      <c r="CU114" s="1085"/>
      <c r="CV114" s="1085"/>
      <c r="CW114" s="1085"/>
      <c r="CX114" s="1085"/>
      <c r="CY114" s="1085"/>
      <c r="CZ114" s="1085"/>
      <c r="DA114" s="1085"/>
      <c r="DB114" s="1085"/>
      <c r="DC114" s="1085"/>
      <c r="DD114" s="1085"/>
      <c r="DE114" s="1085"/>
      <c r="DF114" s="1085"/>
      <c r="DG114" s="1085"/>
      <c r="DH114" s="1085"/>
      <c r="DI114" s="1085"/>
      <c r="DJ114" s="1085"/>
      <c r="DK114" s="1085"/>
      <c r="DL114" s="1085"/>
      <c r="DM114" s="1085"/>
      <c r="DN114" s="1085"/>
      <c r="DO114" s="1085"/>
      <c r="DP114" s="1085"/>
      <c r="DQ114" s="1085"/>
      <c r="DR114" s="1085"/>
      <c r="DS114" s="1085"/>
      <c r="DT114" s="1085"/>
      <c r="DU114" s="1085"/>
      <c r="DV114" s="1085"/>
      <c r="DW114" s="1085"/>
      <c r="DX114" s="1085"/>
      <c r="DY114" s="1085"/>
      <c r="DZ114" s="1085"/>
      <c r="EA114" s="1085"/>
      <c r="EB114" s="1085"/>
      <c r="EC114" s="1085"/>
      <c r="ED114" s="1085"/>
      <c r="EE114" s="1085"/>
      <c r="EF114" s="1085"/>
      <c r="EG114" s="1085"/>
      <c r="EH114" s="1085"/>
      <c r="EI114" s="1085"/>
      <c r="EJ114" s="1085"/>
      <c r="EK114" s="1085"/>
      <c r="EL114" s="1085"/>
      <c r="EM114" s="1085"/>
      <c r="EN114" s="1085"/>
      <c r="EO114" s="1085"/>
      <c r="EP114" s="1085"/>
      <c r="EQ114" s="1085"/>
      <c r="ER114" s="1085"/>
      <c r="ES114" s="1085"/>
      <c r="ET114" s="1085"/>
      <c r="EU114" s="1085"/>
      <c r="EV114" s="1085"/>
      <c r="EW114" s="1085"/>
      <c r="EX114" s="1085"/>
      <c r="EY114" s="1085"/>
      <c r="EZ114" s="1085"/>
      <c r="FA114" s="1085"/>
      <c r="FB114" s="1085"/>
      <c r="FC114" s="1085"/>
      <c r="FD114" s="1085"/>
      <c r="FE114" s="1085"/>
      <c r="FF114" s="1085"/>
    </row>
    <row r="115" spans="2:162" s="1140" customFormat="1" ht="13">
      <c r="B115" s="1146"/>
      <c r="C115" s="1146"/>
      <c r="D115" s="1146"/>
      <c r="E115" s="1086"/>
      <c r="F115" s="1086" t="s">
        <v>1197</v>
      </c>
      <c r="G115" s="1086" t="s">
        <v>379</v>
      </c>
      <c r="H115" s="1086" t="s">
        <v>395</v>
      </c>
      <c r="I115" s="1086" t="s">
        <v>397</v>
      </c>
      <c r="J115" s="1079"/>
      <c r="K115" s="1085"/>
      <c r="L115" s="1085"/>
      <c r="M115" s="1085"/>
      <c r="N115" s="1085"/>
      <c r="O115" s="1085"/>
      <c r="P115" s="1085"/>
      <c r="Q115" s="1085"/>
      <c r="R115" s="1085"/>
      <c r="S115" s="1085"/>
      <c r="T115" s="1085"/>
      <c r="U115" s="1085"/>
      <c r="V115" s="1085"/>
      <c r="W115" s="1085"/>
      <c r="X115" s="1085"/>
      <c r="Y115" s="1085"/>
      <c r="Z115" s="1085"/>
      <c r="AA115" s="1085"/>
      <c r="AB115" s="1085"/>
      <c r="AC115" s="1085"/>
      <c r="AD115" s="1085"/>
      <c r="AE115" s="1085"/>
      <c r="AF115" s="1085"/>
      <c r="AG115" s="1085"/>
      <c r="AH115" s="1085"/>
      <c r="AI115" s="1085"/>
      <c r="AJ115" s="1085"/>
      <c r="AK115" s="1085"/>
      <c r="AL115" s="1085"/>
      <c r="AM115" s="1085"/>
      <c r="AN115" s="1085"/>
      <c r="AO115" s="1085"/>
      <c r="AP115" s="1085"/>
      <c r="AQ115" s="1085"/>
      <c r="AR115" s="1085"/>
      <c r="AS115" s="1085"/>
      <c r="AT115" s="1085"/>
      <c r="AU115" s="1085"/>
      <c r="AV115" s="1085"/>
      <c r="AW115" s="1085"/>
      <c r="AX115" s="1085"/>
      <c r="AY115" s="1085"/>
      <c r="AZ115" s="1085"/>
      <c r="BA115" s="1085"/>
      <c r="BB115" s="1085"/>
      <c r="BC115" s="1085"/>
      <c r="BD115" s="1085"/>
      <c r="BE115" s="1085"/>
      <c r="BF115" s="1085"/>
      <c r="BG115" s="1085"/>
      <c r="BH115" s="1085"/>
      <c r="BI115" s="1085"/>
      <c r="BJ115" s="1085"/>
      <c r="BK115" s="1085"/>
      <c r="BL115" s="1085"/>
      <c r="BM115" s="1085"/>
      <c r="BN115" s="1085"/>
      <c r="BO115" s="1085"/>
      <c r="BP115" s="1085"/>
      <c r="BQ115" s="1085"/>
      <c r="BR115" s="1085"/>
      <c r="BS115" s="1085"/>
      <c r="BT115" s="1085"/>
      <c r="BU115" s="1085"/>
      <c r="BV115" s="1085"/>
      <c r="BW115" s="1085"/>
      <c r="BX115" s="1085"/>
      <c r="BY115" s="1085"/>
      <c r="BZ115" s="1085"/>
      <c r="CA115" s="1085"/>
      <c r="CB115" s="1085"/>
      <c r="CC115" s="1085"/>
      <c r="CD115" s="1085"/>
      <c r="CE115" s="1085"/>
      <c r="CF115" s="1085"/>
      <c r="CG115" s="1085"/>
      <c r="CH115" s="1085"/>
      <c r="CI115" s="1085"/>
      <c r="CJ115" s="1085"/>
      <c r="CK115" s="1085"/>
      <c r="CL115" s="1085"/>
      <c r="CM115" s="1085"/>
      <c r="CN115" s="1085"/>
      <c r="CO115" s="1085"/>
      <c r="CP115" s="1085"/>
      <c r="CQ115" s="1085"/>
      <c r="CR115" s="1085"/>
      <c r="CS115" s="1085"/>
      <c r="CT115" s="1085"/>
      <c r="CU115" s="1085"/>
      <c r="CV115" s="1085"/>
      <c r="CW115" s="1085"/>
      <c r="CX115" s="1085"/>
      <c r="CY115" s="1085"/>
      <c r="CZ115" s="1085"/>
      <c r="DA115" s="1085"/>
      <c r="DB115" s="1085"/>
      <c r="DC115" s="1085"/>
      <c r="DD115" s="1085"/>
      <c r="DE115" s="1085"/>
      <c r="DF115" s="1085"/>
      <c r="DG115" s="1085"/>
      <c r="DH115" s="1085"/>
      <c r="DI115" s="1085"/>
      <c r="DJ115" s="1085"/>
      <c r="DK115" s="1085"/>
      <c r="DL115" s="1085"/>
      <c r="DM115" s="1085"/>
      <c r="DN115" s="1085"/>
      <c r="DO115" s="1085"/>
      <c r="DP115" s="1085"/>
      <c r="DQ115" s="1085"/>
      <c r="DR115" s="1085"/>
      <c r="DS115" s="1085"/>
      <c r="DT115" s="1085"/>
      <c r="DU115" s="1085"/>
      <c r="DV115" s="1085"/>
      <c r="DW115" s="1085"/>
      <c r="DX115" s="1085"/>
      <c r="DY115" s="1085"/>
      <c r="DZ115" s="1085"/>
      <c r="EA115" s="1085"/>
      <c r="EB115" s="1085"/>
      <c r="EC115" s="1085"/>
      <c r="ED115" s="1085"/>
      <c r="EE115" s="1085"/>
      <c r="EF115" s="1085"/>
      <c r="EG115" s="1085"/>
      <c r="EH115" s="1085"/>
      <c r="EI115" s="1085"/>
      <c r="EJ115" s="1085"/>
      <c r="EK115" s="1085"/>
      <c r="EL115" s="1085"/>
      <c r="EM115" s="1085"/>
      <c r="EN115" s="1085"/>
      <c r="EO115" s="1085"/>
      <c r="EP115" s="1085"/>
      <c r="EQ115" s="1085"/>
      <c r="ER115" s="1085"/>
      <c r="ES115" s="1085"/>
      <c r="ET115" s="1085"/>
      <c r="EU115" s="1085"/>
      <c r="EV115" s="1085"/>
      <c r="EW115" s="1085"/>
      <c r="EX115" s="1085"/>
      <c r="EY115" s="1085"/>
      <c r="EZ115" s="1085"/>
      <c r="FA115" s="1085"/>
      <c r="FB115" s="1085"/>
      <c r="FC115" s="1085"/>
      <c r="FD115" s="1085"/>
      <c r="FE115" s="1085"/>
      <c r="FF115" s="1085"/>
    </row>
    <row r="116" spans="2:162" s="1140" customFormat="1" ht="13">
      <c r="B116" s="1146"/>
      <c r="C116" s="1146"/>
      <c r="D116" s="1146"/>
      <c r="E116" s="1086"/>
      <c r="F116" s="1306" t="s">
        <v>1198</v>
      </c>
      <c r="G116" s="1086" t="s">
        <v>396</v>
      </c>
      <c r="H116" s="1086" t="s">
        <v>396</v>
      </c>
      <c r="I116" s="1086" t="s">
        <v>396</v>
      </c>
      <c r="J116" s="1305" t="s">
        <v>119</v>
      </c>
      <c r="K116" s="1085"/>
      <c r="L116" s="1085"/>
      <c r="M116" s="1085"/>
      <c r="N116" s="1085"/>
      <c r="O116" s="1085"/>
      <c r="P116" s="1085"/>
      <c r="Q116" s="1085"/>
      <c r="R116" s="1085"/>
      <c r="S116" s="1085"/>
      <c r="T116" s="1085"/>
      <c r="U116" s="1085"/>
      <c r="V116" s="1085"/>
      <c r="W116" s="1085"/>
      <c r="X116" s="1085"/>
      <c r="Y116" s="1085"/>
      <c r="Z116" s="1085"/>
      <c r="AA116" s="1085"/>
      <c r="AB116" s="1085"/>
      <c r="AC116" s="1085"/>
      <c r="AD116" s="1085"/>
      <c r="AE116" s="1085"/>
      <c r="AF116" s="1085"/>
      <c r="AG116" s="1085"/>
      <c r="AH116" s="1085"/>
      <c r="AI116" s="1085"/>
      <c r="AJ116" s="1085"/>
      <c r="AK116" s="1085"/>
      <c r="AL116" s="1085"/>
      <c r="AM116" s="1085"/>
      <c r="AN116" s="1085"/>
      <c r="AO116" s="1085"/>
      <c r="AP116" s="1085"/>
      <c r="AQ116" s="1085"/>
      <c r="AR116" s="1085"/>
      <c r="AS116" s="1085"/>
      <c r="AT116" s="1085"/>
      <c r="AU116" s="1085"/>
      <c r="AV116" s="1085"/>
      <c r="AW116" s="1085"/>
      <c r="AX116" s="1085"/>
      <c r="AY116" s="1085"/>
      <c r="AZ116" s="1085"/>
      <c r="BA116" s="1085"/>
      <c r="BB116" s="1085"/>
      <c r="BC116" s="1085"/>
      <c r="BD116" s="1085"/>
      <c r="BE116" s="1085"/>
      <c r="BF116" s="1085"/>
      <c r="BG116" s="1085"/>
      <c r="BH116" s="1085"/>
      <c r="BI116" s="1085"/>
      <c r="BJ116" s="1085"/>
      <c r="BK116" s="1085"/>
      <c r="BL116" s="1085"/>
      <c r="BM116" s="1085"/>
      <c r="BN116" s="1085"/>
      <c r="BO116" s="1085"/>
      <c r="BP116" s="1085"/>
      <c r="BQ116" s="1085"/>
      <c r="BR116" s="1085"/>
      <c r="BS116" s="1085"/>
      <c r="BT116" s="1085"/>
      <c r="BU116" s="1085"/>
      <c r="BV116" s="1085"/>
      <c r="BW116" s="1085"/>
      <c r="BX116" s="1085"/>
      <c r="BY116" s="1085"/>
      <c r="BZ116" s="1085"/>
      <c r="CA116" s="1085"/>
      <c r="CB116" s="1085"/>
      <c r="CC116" s="1085"/>
      <c r="CD116" s="1085"/>
      <c r="CE116" s="1085"/>
      <c r="CF116" s="1085"/>
      <c r="CG116" s="1085"/>
      <c r="CH116" s="1085"/>
      <c r="CI116" s="1085"/>
      <c r="CJ116" s="1085"/>
      <c r="CK116" s="1085"/>
      <c r="CL116" s="1085"/>
      <c r="CM116" s="1085"/>
      <c r="CN116" s="1085"/>
      <c r="CO116" s="1085"/>
      <c r="CP116" s="1085"/>
      <c r="CQ116" s="1085"/>
      <c r="CR116" s="1085"/>
      <c r="CS116" s="1085"/>
      <c r="CT116" s="1085"/>
      <c r="CU116" s="1085"/>
      <c r="CV116" s="1085"/>
      <c r="CW116" s="1085"/>
      <c r="CX116" s="1085"/>
      <c r="CY116" s="1085"/>
      <c r="CZ116" s="1085"/>
      <c r="DA116" s="1085"/>
      <c r="DB116" s="1085"/>
      <c r="DC116" s="1085"/>
      <c r="DD116" s="1085"/>
      <c r="DE116" s="1085"/>
      <c r="DF116" s="1085"/>
      <c r="DG116" s="1085"/>
      <c r="DH116" s="1085"/>
      <c r="DI116" s="1085"/>
      <c r="DJ116" s="1085"/>
      <c r="DK116" s="1085"/>
      <c r="DL116" s="1085"/>
      <c r="DM116" s="1085"/>
      <c r="DN116" s="1085"/>
      <c r="DO116" s="1085"/>
      <c r="DP116" s="1085"/>
      <c r="DQ116" s="1085"/>
      <c r="DR116" s="1085"/>
      <c r="DS116" s="1085"/>
      <c r="DT116" s="1085"/>
      <c r="DU116" s="1085"/>
      <c r="DV116" s="1085"/>
      <c r="DW116" s="1085"/>
      <c r="DX116" s="1085"/>
      <c r="DY116" s="1085"/>
      <c r="DZ116" s="1085"/>
      <c r="EA116" s="1085"/>
      <c r="EB116" s="1085"/>
      <c r="EC116" s="1085"/>
      <c r="ED116" s="1085"/>
      <c r="EE116" s="1085"/>
      <c r="EF116" s="1085"/>
      <c r="EG116" s="1085"/>
      <c r="EH116" s="1085"/>
      <c r="EI116" s="1085"/>
      <c r="EJ116" s="1085"/>
      <c r="EK116" s="1085"/>
      <c r="EL116" s="1085"/>
      <c r="EM116" s="1085"/>
      <c r="EN116" s="1085"/>
      <c r="EO116" s="1085"/>
      <c r="EP116" s="1085"/>
      <c r="EQ116" s="1085"/>
      <c r="ER116" s="1085"/>
      <c r="ES116" s="1085"/>
      <c r="ET116" s="1085"/>
      <c r="EU116" s="1085"/>
      <c r="EV116" s="1085"/>
      <c r="EW116" s="1085"/>
      <c r="EX116" s="1085"/>
      <c r="EY116" s="1085"/>
      <c r="EZ116" s="1085"/>
      <c r="FA116" s="1085"/>
      <c r="FB116" s="1085"/>
      <c r="FC116" s="1085"/>
      <c r="FD116" s="1085"/>
      <c r="FE116" s="1085"/>
      <c r="FF116" s="1085"/>
    </row>
    <row r="117" spans="2:162" ht="13">
      <c r="B117" s="1339" t="s">
        <v>1286</v>
      </c>
      <c r="C117" s="1441"/>
      <c r="D117" s="1450"/>
      <c r="E117" s="1446">
        <f t="shared" ref="E117:E139" si="6">SUM(F117:I117)</f>
        <v>-38992443.57378605</v>
      </c>
      <c r="F117" s="1451">
        <v>-38992443.57378605</v>
      </c>
      <c r="G117" s="1169">
        <v>0</v>
      </c>
      <c r="H117" s="1169">
        <v>0</v>
      </c>
      <c r="I117" s="1169">
        <v>0</v>
      </c>
      <c r="J117" s="1452" t="s">
        <v>645</v>
      </c>
      <c r="L117" s="588"/>
    </row>
    <row r="118" spans="2:162" ht="13">
      <c r="B118" s="1339" t="s">
        <v>1287</v>
      </c>
      <c r="C118" s="1441"/>
      <c r="D118" s="1450"/>
      <c r="E118" s="1446">
        <f t="shared" si="6"/>
        <v>-1425562.8834006751</v>
      </c>
      <c r="F118" s="1451">
        <v>-1425562.8834006751</v>
      </c>
      <c r="G118" s="1169">
        <v>0</v>
      </c>
      <c r="H118" s="1169">
        <v>0</v>
      </c>
      <c r="I118" s="1169">
        <v>0</v>
      </c>
      <c r="J118" s="1452" t="s">
        <v>645</v>
      </c>
      <c r="L118" s="588"/>
    </row>
    <row r="119" spans="2:162" ht="13">
      <c r="B119" s="1339" t="s">
        <v>1288</v>
      </c>
      <c r="C119" s="1441"/>
      <c r="D119" s="1450"/>
      <c r="E119" s="1446">
        <f t="shared" si="6"/>
        <v>-547772</v>
      </c>
      <c r="F119" s="1453">
        <v>-547772</v>
      </c>
      <c r="G119" s="1453">
        <v>0</v>
      </c>
      <c r="H119" s="1169">
        <v>0</v>
      </c>
      <c r="I119" s="1169">
        <v>0</v>
      </c>
      <c r="J119" s="1456" t="s">
        <v>1301</v>
      </c>
      <c r="K119" s="588"/>
      <c r="L119" s="588"/>
    </row>
    <row r="120" spans="2:162" ht="13">
      <c r="B120" s="1339" t="s">
        <v>1289</v>
      </c>
      <c r="C120" s="1441"/>
      <c r="D120" s="1450"/>
      <c r="E120" s="1446">
        <f t="shared" si="6"/>
        <v>-4570744.9612931367</v>
      </c>
      <c r="F120" s="1451">
        <v>-4570744.9612931367</v>
      </c>
      <c r="G120" s="1169">
        <v>0</v>
      </c>
      <c r="H120" s="1169">
        <v>0</v>
      </c>
      <c r="I120" s="1169">
        <v>0</v>
      </c>
      <c r="J120" s="1452" t="s">
        <v>645</v>
      </c>
    </row>
    <row r="121" spans="2:162" ht="13">
      <c r="B121" s="1339" t="s">
        <v>1290</v>
      </c>
      <c r="C121" s="1441"/>
      <c r="D121" s="1450"/>
      <c r="E121" s="1446">
        <f t="shared" si="6"/>
        <v>-140979.71324453055</v>
      </c>
      <c r="F121" s="1451">
        <v>-140979.71324453055</v>
      </c>
      <c r="G121" s="1169">
        <v>0</v>
      </c>
      <c r="H121" s="1169">
        <v>0</v>
      </c>
      <c r="I121" s="1169">
        <v>0</v>
      </c>
      <c r="J121" s="1452" t="s">
        <v>645</v>
      </c>
    </row>
    <row r="122" spans="2:162" ht="13">
      <c r="B122" s="1339" t="s">
        <v>1291</v>
      </c>
      <c r="C122" s="1441"/>
      <c r="D122" s="1450"/>
      <c r="E122" s="1446">
        <f t="shared" si="6"/>
        <v>-206153.81081833161</v>
      </c>
      <c r="F122" s="1451">
        <v>-206153.81081833161</v>
      </c>
      <c r="G122" s="1169">
        <v>0</v>
      </c>
      <c r="H122" s="1169">
        <v>0</v>
      </c>
      <c r="I122" s="1169">
        <v>0</v>
      </c>
      <c r="J122" s="1452" t="s">
        <v>645</v>
      </c>
    </row>
    <row r="123" spans="2:162" ht="13">
      <c r="B123" s="1339" t="s">
        <v>1292</v>
      </c>
      <c r="C123" s="1441"/>
      <c r="D123" s="1450"/>
      <c r="E123" s="1446">
        <f t="shared" si="6"/>
        <v>-261463.32128761249</v>
      </c>
      <c r="F123" s="1451">
        <v>-261463.32128761249</v>
      </c>
      <c r="G123" s="1169">
        <v>0</v>
      </c>
      <c r="H123" s="1169">
        <v>0</v>
      </c>
      <c r="I123" s="1169">
        <v>0</v>
      </c>
      <c r="J123" s="1452" t="s">
        <v>645</v>
      </c>
      <c r="K123" s="588"/>
      <c r="L123" s="588"/>
    </row>
    <row r="124" spans="2:162" ht="13">
      <c r="B124" s="1339" t="s">
        <v>1293</v>
      </c>
      <c r="C124" s="1441"/>
      <c r="D124" s="1450"/>
      <c r="E124" s="1446">
        <f t="shared" si="6"/>
        <v>-892945.54139595921</v>
      </c>
      <c r="F124" s="1451">
        <v>-892945.54139595921</v>
      </c>
      <c r="G124" s="1169">
        <v>0</v>
      </c>
      <c r="H124" s="1169">
        <v>0</v>
      </c>
      <c r="I124" s="1169">
        <v>0</v>
      </c>
      <c r="J124" s="1452" t="s">
        <v>645</v>
      </c>
    </row>
    <row r="125" spans="2:162" ht="13">
      <c r="B125" s="1339" t="s">
        <v>1294</v>
      </c>
      <c r="C125" s="1441"/>
      <c r="D125" s="1450"/>
      <c r="E125" s="1446">
        <f t="shared" si="6"/>
        <v>-305762.06618377316</v>
      </c>
      <c r="F125" s="1451">
        <v>-305762.06618377316</v>
      </c>
      <c r="G125" s="1169">
        <v>0</v>
      </c>
      <c r="H125" s="1169">
        <v>0</v>
      </c>
      <c r="I125" s="1169">
        <v>0</v>
      </c>
      <c r="J125" s="1452" t="s">
        <v>645</v>
      </c>
    </row>
    <row r="126" spans="2:162" ht="13">
      <c r="B126" s="1339" t="s">
        <v>1295</v>
      </c>
      <c r="C126" s="1441"/>
      <c r="D126" s="1450"/>
      <c r="E126" s="1446">
        <f t="shared" si="6"/>
        <v>-641752.12792253913</v>
      </c>
      <c r="F126" s="1451">
        <v>-641752.12792253913</v>
      </c>
      <c r="G126" s="1169">
        <v>0</v>
      </c>
      <c r="H126" s="1169">
        <v>0</v>
      </c>
      <c r="I126" s="1169">
        <v>0</v>
      </c>
      <c r="J126" s="1452" t="s">
        <v>645</v>
      </c>
    </row>
    <row r="127" spans="2:162" ht="13">
      <c r="B127" s="1339" t="s">
        <v>1296</v>
      </c>
      <c r="C127" s="1441"/>
      <c r="D127" s="1450"/>
      <c r="E127" s="1446">
        <f t="shared" si="6"/>
        <v>-745966.67914809566</v>
      </c>
      <c r="F127" s="1451">
        <v>-745966.67914809566</v>
      </c>
      <c r="G127" s="1169">
        <v>0</v>
      </c>
      <c r="H127" s="1169">
        <v>0</v>
      </c>
      <c r="I127" s="1169">
        <v>0</v>
      </c>
      <c r="J127" s="1452" t="s">
        <v>645</v>
      </c>
    </row>
    <row r="128" spans="2:162" ht="13">
      <c r="B128" s="1339" t="s">
        <v>1297</v>
      </c>
      <c r="C128" s="1441"/>
      <c r="D128" s="1450"/>
      <c r="E128" s="1446">
        <f t="shared" si="6"/>
        <v>73623.556684946394</v>
      </c>
      <c r="F128" s="1451">
        <v>73623.556684946394</v>
      </c>
      <c r="G128" s="1169">
        <v>0</v>
      </c>
      <c r="H128" s="1169">
        <v>0</v>
      </c>
      <c r="I128" s="1169">
        <v>0</v>
      </c>
      <c r="J128" s="1452" t="s">
        <v>645</v>
      </c>
    </row>
    <row r="129" spans="2:12" ht="13">
      <c r="B129" s="1339" t="s">
        <v>1298</v>
      </c>
      <c r="C129" s="1441"/>
      <c r="D129" s="1450"/>
      <c r="E129" s="1446">
        <f t="shared" si="6"/>
        <v>-2873892.2055180524</v>
      </c>
      <c r="F129" s="1451">
        <v>-2873892.2055180524</v>
      </c>
      <c r="G129" s="1169">
        <v>0</v>
      </c>
      <c r="H129" s="1169">
        <v>0</v>
      </c>
      <c r="I129" s="1169">
        <v>0</v>
      </c>
      <c r="J129" s="1452" t="s">
        <v>645</v>
      </c>
    </row>
    <row r="130" spans="2:12" ht="13">
      <c r="B130" s="1339" t="s">
        <v>812</v>
      </c>
      <c r="C130" s="1441"/>
      <c r="D130" s="1450"/>
      <c r="E130" s="1446">
        <f t="shared" si="6"/>
        <v>-351525.26248636947</v>
      </c>
      <c r="F130" s="1451">
        <v>-351525.26248636947</v>
      </c>
      <c r="G130" s="1169">
        <v>0</v>
      </c>
      <c r="H130" s="1169">
        <v>0</v>
      </c>
      <c r="I130" s="1169">
        <v>0</v>
      </c>
      <c r="J130" s="1452" t="s">
        <v>645</v>
      </c>
    </row>
    <row r="131" spans="2:12" ht="13">
      <c r="B131" s="1339" t="s">
        <v>1021</v>
      </c>
      <c r="C131" s="1441"/>
      <c r="D131" s="1450"/>
      <c r="E131" s="1446">
        <f t="shared" si="6"/>
        <v>-2339424.0467614378</v>
      </c>
      <c r="F131" s="1451">
        <v>-2339424.0467614378</v>
      </c>
      <c r="G131" s="1169">
        <v>0</v>
      </c>
      <c r="H131" s="1169">
        <v>0</v>
      </c>
      <c r="I131" s="1169">
        <v>0</v>
      </c>
      <c r="J131" s="1452" t="s">
        <v>645</v>
      </c>
    </row>
    <row r="132" spans="2:12" ht="13">
      <c r="B132" s="1339" t="s">
        <v>1022</v>
      </c>
      <c r="C132" s="1441"/>
      <c r="D132" s="1450"/>
      <c r="E132" s="1446">
        <f t="shared" si="6"/>
        <v>614441.46633182827</v>
      </c>
      <c r="F132" s="1451">
        <v>614441.46633182827</v>
      </c>
      <c r="G132" s="1169">
        <v>0</v>
      </c>
      <c r="H132" s="1169">
        <v>0</v>
      </c>
      <c r="I132" s="1169">
        <v>0</v>
      </c>
      <c r="J132" s="1452" t="s">
        <v>645</v>
      </c>
    </row>
    <row r="133" spans="2:12" ht="13">
      <c r="B133" s="1339" t="s">
        <v>1024</v>
      </c>
      <c r="C133" s="1441"/>
      <c r="D133" s="1450"/>
      <c r="E133" s="1446">
        <f t="shared" si="6"/>
        <v>-82126774.031023026</v>
      </c>
      <c r="F133" s="1451">
        <v>-82126774.031023026</v>
      </c>
      <c r="G133" s="1169">
        <v>0</v>
      </c>
      <c r="H133" s="1169">
        <v>0</v>
      </c>
      <c r="I133" s="1169">
        <v>0</v>
      </c>
      <c r="J133" s="1452" t="s">
        <v>645</v>
      </c>
    </row>
    <row r="134" spans="2:12" ht="13">
      <c r="B134" s="1339" t="s">
        <v>889</v>
      </c>
      <c r="C134" s="1441"/>
      <c r="D134" s="1450"/>
      <c r="E134" s="1446">
        <f t="shared" si="6"/>
        <v>-13237182.783674492</v>
      </c>
      <c r="F134" s="1451">
        <v>-13237182.783674492</v>
      </c>
      <c r="G134" s="1169">
        <v>0</v>
      </c>
      <c r="H134" s="1169">
        <v>0</v>
      </c>
      <c r="I134" s="1169">
        <v>0</v>
      </c>
      <c r="J134" s="1452" t="s">
        <v>645</v>
      </c>
    </row>
    <row r="135" spans="2:12" ht="13">
      <c r="B135" s="1339" t="s">
        <v>1025</v>
      </c>
      <c r="C135" s="1441"/>
      <c r="D135" s="1450"/>
      <c r="E135" s="1446">
        <f t="shared" si="6"/>
        <v>-2477193.1692583188</v>
      </c>
      <c r="F135" s="1451">
        <v>-2477193.1692583188</v>
      </c>
      <c r="G135" s="1169">
        <v>0</v>
      </c>
      <c r="H135" s="1169">
        <v>0</v>
      </c>
      <c r="I135" s="1169">
        <v>0</v>
      </c>
      <c r="J135" s="1452" t="s">
        <v>205</v>
      </c>
    </row>
    <row r="136" spans="2:12" ht="25">
      <c r="B136" s="1339" t="s">
        <v>808</v>
      </c>
      <c r="C136" s="1441"/>
      <c r="D136" s="1450"/>
      <c r="E136" s="1446">
        <f t="shared" si="6"/>
        <v>-23638.514573088847</v>
      </c>
      <c r="F136" s="1442">
        <v>-3545.7771859633212</v>
      </c>
      <c r="G136" s="1169">
        <v>0</v>
      </c>
      <c r="H136" s="1454">
        <v>-20092.737387125526</v>
      </c>
      <c r="I136" s="1169">
        <v>0</v>
      </c>
      <c r="J136" s="1444" t="s">
        <v>809</v>
      </c>
    </row>
    <row r="137" spans="2:12" ht="25.5">
      <c r="B137" s="1339" t="s">
        <v>810</v>
      </c>
      <c r="C137" s="1441"/>
      <c r="D137" s="1450"/>
      <c r="E137" s="1446">
        <f t="shared" si="6"/>
        <v>-23532254.85828577</v>
      </c>
      <c r="F137" s="1442">
        <v>-7059676.4574857317</v>
      </c>
      <c r="G137" s="1169">
        <v>0</v>
      </c>
      <c r="H137" s="1454">
        <v>-16472578.400800038</v>
      </c>
      <c r="I137" s="1169">
        <v>0</v>
      </c>
      <c r="J137" s="1452" t="s">
        <v>809</v>
      </c>
      <c r="K137" s="588"/>
      <c r="L137" s="588"/>
    </row>
    <row r="138" spans="2:12" ht="13">
      <c r="B138" s="1339" t="s">
        <v>850</v>
      </c>
      <c r="C138" s="1441"/>
      <c r="D138" s="1450"/>
      <c r="E138" s="1446">
        <f t="shared" si="6"/>
        <v>-1103985.33495036</v>
      </c>
      <c r="F138" s="1451">
        <v>-1103985.33495036</v>
      </c>
      <c r="G138" s="1169">
        <v>0</v>
      </c>
      <c r="H138" s="1169">
        <v>0</v>
      </c>
      <c r="I138" s="1169">
        <v>0</v>
      </c>
      <c r="J138" s="1452" t="s">
        <v>645</v>
      </c>
      <c r="L138" s="588"/>
    </row>
    <row r="139" spans="2:12" ht="25">
      <c r="B139" s="1339" t="s">
        <v>1299</v>
      </c>
      <c r="C139" s="1441"/>
      <c r="D139" s="1450"/>
      <c r="E139" s="1446">
        <f t="shared" si="6"/>
        <v>-2283049.3781071529</v>
      </c>
      <c r="F139" s="1442">
        <v>-852262.3328474001</v>
      </c>
      <c r="G139" s="1169">
        <v>0</v>
      </c>
      <c r="H139" s="1442">
        <v>-1430787.0452597528</v>
      </c>
      <c r="I139" s="1169">
        <v>0</v>
      </c>
      <c r="J139" s="1444" t="s">
        <v>1300</v>
      </c>
      <c r="K139" s="588"/>
      <c r="L139" s="588"/>
    </row>
    <row r="140" spans="2:12" ht="13">
      <c r="B140" s="1152"/>
      <c r="C140" s="1151"/>
      <c r="D140" s="1170"/>
      <c r="E140" s="1171"/>
      <c r="F140" s="1171"/>
      <c r="G140" s="629"/>
      <c r="H140" s="629"/>
      <c r="I140" s="629"/>
      <c r="J140" s="1168"/>
    </row>
    <row r="141" spans="2:12" s="1062" customFormat="1" ht="13">
      <c r="B141" s="1090" t="s">
        <v>1103</v>
      </c>
      <c r="C141" s="1091"/>
      <c r="D141" s="1092"/>
      <c r="E141" s="1093">
        <f>SUM(E117:E140)</f>
        <v>-178392401.24010199</v>
      </c>
      <c r="F141" s="1093">
        <f>SUM(F117:F140)</f>
        <v>-160468943.05665508</v>
      </c>
      <c r="G141" s="1093">
        <f>SUM(G117:G140)</f>
        <v>0</v>
      </c>
      <c r="H141" s="1093">
        <f>SUM(H117:H140)</f>
        <v>-17923458.183446918</v>
      </c>
      <c r="I141" s="1093">
        <f>SUM(I117:I140)</f>
        <v>0</v>
      </c>
      <c r="J141" s="1172"/>
      <c r="K141" s="1095"/>
    </row>
    <row r="142" spans="2:12" s="1062" customFormat="1" ht="13">
      <c r="B142" s="1096"/>
      <c r="C142" s="1097"/>
      <c r="D142" s="1092"/>
      <c r="E142" s="1093"/>
      <c r="F142" s="1093"/>
      <c r="G142" s="1093"/>
      <c r="H142" s="1093"/>
      <c r="I142" s="1093"/>
      <c r="J142" s="1094"/>
      <c r="K142" s="1095"/>
    </row>
    <row r="143" spans="2:12" s="1062" customFormat="1">
      <c r="B143" s="1098" t="s">
        <v>1092</v>
      </c>
      <c r="C143" s="1099"/>
      <c r="D143" s="1100"/>
      <c r="E143" s="1101">
        <f>SUM(F143:I143)</f>
        <v>0</v>
      </c>
      <c r="F143" s="1102">
        <v>0</v>
      </c>
      <c r="G143" s="1102">
        <v>0</v>
      </c>
      <c r="H143" s="1102">
        <v>0</v>
      </c>
      <c r="I143" s="1102">
        <v>0</v>
      </c>
      <c r="J143" s="1103"/>
      <c r="K143" s="1095"/>
    </row>
    <row r="144" spans="2:12" s="1062" customFormat="1">
      <c r="B144" s="1098" t="s">
        <v>1093</v>
      </c>
      <c r="C144" s="1099"/>
      <c r="D144" s="1100"/>
      <c r="E144" s="1101">
        <f>SUM(F144:I144)</f>
        <v>0</v>
      </c>
      <c r="F144" s="1102">
        <v>0</v>
      </c>
      <c r="G144" s="1102">
        <v>0</v>
      </c>
      <c r="H144" s="1102">
        <v>0</v>
      </c>
      <c r="I144" s="1102">
        <v>0</v>
      </c>
      <c r="J144" s="1103"/>
      <c r="K144" s="1095"/>
    </row>
    <row r="145" spans="2:13" s="1062" customFormat="1">
      <c r="B145" s="1098" t="s">
        <v>1094</v>
      </c>
      <c r="C145" s="1099"/>
      <c r="D145" s="1100"/>
      <c r="E145" s="1101">
        <f>SUM(F145:I145)</f>
        <v>0</v>
      </c>
      <c r="F145" s="1102">
        <v>0</v>
      </c>
      <c r="G145" s="1102">
        <v>0</v>
      </c>
      <c r="H145" s="1102">
        <v>0</v>
      </c>
      <c r="I145" s="1102">
        <v>0</v>
      </c>
      <c r="J145" s="1103"/>
      <c r="K145" s="1095"/>
    </row>
    <row r="146" spans="2:13" s="1062" customFormat="1">
      <c r="B146" s="1104" t="s">
        <v>1095</v>
      </c>
      <c r="C146" s="1105"/>
      <c r="D146" s="1100"/>
      <c r="E146" s="1101">
        <f>SUM(F146:I146)</f>
        <v>0</v>
      </c>
      <c r="F146" s="1102">
        <v>0</v>
      </c>
      <c r="G146" s="1102">
        <v>0</v>
      </c>
      <c r="H146" s="1102">
        <v>0</v>
      </c>
      <c r="I146" s="1102">
        <v>0</v>
      </c>
      <c r="J146" s="1103"/>
      <c r="K146" s="1095"/>
    </row>
    <row r="147" spans="2:13" s="1062" customFormat="1" ht="5.15" customHeight="1">
      <c r="B147" s="1096"/>
      <c r="C147" s="1097"/>
      <c r="D147" s="1092"/>
      <c r="E147" s="1093"/>
      <c r="F147" s="1093"/>
      <c r="G147" s="1093"/>
      <c r="H147" s="1093"/>
      <c r="I147" s="1093"/>
      <c r="J147" s="1094"/>
      <c r="K147" s="1095"/>
    </row>
    <row r="148" spans="2:13" s="1062" customFormat="1" ht="13">
      <c r="B148" s="1106" t="s">
        <v>1104</v>
      </c>
      <c r="C148" s="1107"/>
      <c r="D148" s="1108"/>
      <c r="E148" s="1109">
        <f>SUM(E142:E147)+E141</f>
        <v>-178392401.24010199</v>
      </c>
      <c r="F148" s="1109">
        <f>SUM(F142:F147)+F141</f>
        <v>-160468943.05665508</v>
      </c>
      <c r="G148" s="1109">
        <f>SUM(G142:G147)+G141</f>
        <v>0</v>
      </c>
      <c r="H148" s="1109">
        <f>SUM(H142:H147)+H141</f>
        <v>-17923458.183446918</v>
      </c>
      <c r="I148" s="1109">
        <f>SUM(I142:I147)+I141</f>
        <v>0</v>
      </c>
      <c r="J148" s="1110"/>
      <c r="K148" s="1095"/>
    </row>
    <row r="149" spans="2:13" s="1062" customFormat="1" ht="13">
      <c r="B149" s="1111"/>
      <c r="C149" s="1112"/>
      <c r="D149" s="1113"/>
      <c r="E149" s="1114"/>
      <c r="F149" s="1114"/>
      <c r="G149" s="1114"/>
      <c r="H149" s="1114"/>
      <c r="I149" s="1114"/>
      <c r="J149" s="1115"/>
      <c r="K149" s="1095"/>
    </row>
    <row r="150" spans="2:13" s="1062" customFormat="1" ht="13">
      <c r="B150" s="1314" t="s">
        <v>295</v>
      </c>
      <c r="C150" s="1116"/>
      <c r="D150" s="1117"/>
      <c r="E150" s="1114"/>
      <c r="F150" s="1114"/>
      <c r="G150" s="1114"/>
      <c r="H150" s="1114"/>
      <c r="I150" s="1118">
        <f>+'ATT H-2A'!H16</f>
        <v>0.16107005309484509</v>
      </c>
      <c r="J150" s="1115"/>
      <c r="K150" s="1095"/>
    </row>
    <row r="151" spans="2:13" s="1062" customFormat="1" ht="13">
      <c r="B151" s="1314" t="s">
        <v>144</v>
      </c>
      <c r="C151" s="1116"/>
      <c r="D151" s="1113"/>
      <c r="E151" s="1114"/>
      <c r="F151" s="1114"/>
      <c r="G151" s="1114"/>
      <c r="H151" s="1118">
        <f>+'ATT H-2A'!H32</f>
        <v>0.221715942881543</v>
      </c>
      <c r="I151" s="1114"/>
      <c r="J151" s="1115"/>
      <c r="K151" s="1095"/>
    </row>
    <row r="152" spans="2:13" s="1062" customFormat="1" ht="13">
      <c r="B152" s="1314" t="s">
        <v>1097</v>
      </c>
      <c r="C152" s="1116"/>
      <c r="D152" s="1113"/>
      <c r="E152" s="1114"/>
      <c r="F152" s="1114"/>
      <c r="G152" s="1118">
        <v>1</v>
      </c>
      <c r="H152" s="1114"/>
      <c r="I152" s="1114"/>
      <c r="J152" s="1115"/>
      <c r="K152" s="1095"/>
    </row>
    <row r="153" spans="2:13" s="1062" customFormat="1" ht="13">
      <c r="B153" s="1314" t="s">
        <v>1098</v>
      </c>
      <c r="C153" s="1116"/>
      <c r="D153" s="1113"/>
      <c r="E153" s="1114"/>
      <c r="F153" s="1118">
        <v>0</v>
      </c>
      <c r="G153" s="1114"/>
      <c r="H153" s="1114"/>
      <c r="I153" s="1114"/>
      <c r="J153" s="1115"/>
      <c r="K153" s="1095"/>
    </row>
    <row r="154" spans="2:13" s="1062" customFormat="1" ht="13">
      <c r="B154" s="1315" t="s">
        <v>1099</v>
      </c>
      <c r="C154" s="1116"/>
      <c r="D154" s="1113"/>
      <c r="E154" s="1114">
        <f>F154+G154+H154+I154</f>
        <v>-3973916.4308408415</v>
      </c>
      <c r="F154" s="1114">
        <f>F153*F148</f>
        <v>0</v>
      </c>
      <c r="G154" s="1114">
        <f>G152*G148</f>
        <v>0</v>
      </c>
      <c r="H154" s="1114">
        <f>H148*H151</f>
        <v>-3973916.4308408415</v>
      </c>
      <c r="I154" s="1114">
        <f>I148*I150</f>
        <v>0</v>
      </c>
      <c r="J154" s="1115"/>
      <c r="K154" s="1095"/>
    </row>
    <row r="155" spans="2:13">
      <c r="B155" s="565"/>
      <c r="C155" s="565"/>
      <c r="D155" s="565"/>
      <c r="E155" s="565"/>
      <c r="F155" s="565"/>
      <c r="G155" s="565"/>
      <c r="H155" s="565"/>
      <c r="I155" s="565"/>
      <c r="J155" s="565"/>
      <c r="K155" s="561"/>
      <c r="L155" s="561"/>
      <c r="M155" s="561"/>
    </row>
    <row r="156" spans="2:13" s="1123" customFormat="1" ht="13">
      <c r="B156" s="1160" t="s">
        <v>400</v>
      </c>
      <c r="C156" s="1125"/>
      <c r="D156" s="1125"/>
      <c r="E156" s="1125"/>
      <c r="F156" s="1125"/>
      <c r="G156" s="1129"/>
      <c r="H156" s="1455"/>
      <c r="I156" s="1129"/>
      <c r="J156" s="1130"/>
      <c r="K156" s="1131"/>
    </row>
    <row r="157" spans="2:13" s="1123" customFormat="1" ht="12.75" customHeight="1">
      <c r="B157" s="1479" t="s">
        <v>1217</v>
      </c>
      <c r="C157" s="1479"/>
      <c r="D157" s="1479"/>
      <c r="E157" s="1479"/>
      <c r="F157" s="1479"/>
      <c r="G157" s="1479"/>
      <c r="H157" s="1479"/>
      <c r="I157" s="1479"/>
      <c r="J157" s="1130"/>
      <c r="K157" s="1131"/>
    </row>
    <row r="158" spans="2:13" s="1123" customFormat="1" ht="13">
      <c r="B158" s="1133" t="s">
        <v>1184</v>
      </c>
      <c r="C158" s="1133"/>
      <c r="D158" s="1125"/>
      <c r="E158" s="1131"/>
      <c r="F158" s="1125"/>
      <c r="G158" s="1125"/>
      <c r="H158" s="1129"/>
      <c r="I158" s="1129"/>
      <c r="J158" s="1130"/>
      <c r="K158" s="1131"/>
    </row>
    <row r="159" spans="2:13" s="1123" customFormat="1" ht="13">
      <c r="B159" s="1133" t="s">
        <v>1185</v>
      </c>
      <c r="C159" s="1133"/>
      <c r="D159" s="1125"/>
      <c r="E159" s="1131"/>
      <c r="F159" s="1125"/>
      <c r="G159" s="1125"/>
      <c r="H159" s="1129"/>
      <c r="I159" s="1129"/>
      <c r="J159" s="1130"/>
      <c r="K159" s="1131"/>
    </row>
    <row r="160" spans="2:13" s="1123" customFormat="1" ht="13">
      <c r="B160" s="1133" t="s">
        <v>1186</v>
      </c>
      <c r="C160" s="1133"/>
      <c r="D160" s="1125"/>
      <c r="E160" s="1131"/>
      <c r="F160" s="1125"/>
      <c r="G160" s="1125"/>
      <c r="H160" s="1129"/>
      <c r="I160" s="1129"/>
      <c r="J160" s="1130"/>
      <c r="K160" s="1131"/>
    </row>
    <row r="161" spans="2:13" s="1123" customFormat="1" ht="15.75" customHeight="1">
      <c r="B161" s="1480" t="s">
        <v>1100</v>
      </c>
      <c r="C161" s="1480"/>
      <c r="D161" s="1480"/>
      <c r="E161" s="1480"/>
      <c r="F161" s="1480"/>
      <c r="G161" s="1480"/>
      <c r="H161" s="1480"/>
      <c r="I161" s="1480"/>
      <c r="J161" s="1131"/>
      <c r="K161" s="1134"/>
    </row>
    <row r="162" spans="2:13" s="1123" customFormat="1" ht="15.75" customHeight="1">
      <c r="B162" s="1480"/>
      <c r="C162" s="1480"/>
      <c r="D162" s="1480"/>
      <c r="E162" s="1480"/>
      <c r="F162" s="1480"/>
      <c r="G162" s="1480"/>
      <c r="H162" s="1480"/>
      <c r="I162" s="1480"/>
      <c r="J162" s="1131"/>
      <c r="K162" s="1134"/>
    </row>
    <row r="163" spans="2:13" s="1123" customFormat="1" ht="13">
      <c r="B163" s="1133"/>
      <c r="C163" s="1125"/>
      <c r="D163" s="1131"/>
      <c r="E163" s="1125"/>
      <c r="F163" s="1125"/>
      <c r="G163" s="1129"/>
      <c r="H163" s="1129"/>
      <c r="I163" s="1129"/>
      <c r="J163" s="1130"/>
      <c r="K163" s="1131"/>
    </row>
    <row r="164" spans="2:13" s="1085" customFormat="1" ht="13">
      <c r="B164" s="1141" t="s">
        <v>1156</v>
      </c>
      <c r="C164" s="1141"/>
      <c r="D164" s="1141"/>
      <c r="E164" s="1142"/>
      <c r="F164" s="1173"/>
      <c r="G164" s="1173"/>
      <c r="H164" s="1141"/>
      <c r="I164" s="1142"/>
      <c r="J164" s="1174"/>
    </row>
    <row r="165" spans="2:13" s="1085" customFormat="1">
      <c r="B165" s="1163"/>
      <c r="C165" s="1163"/>
      <c r="D165" s="1163"/>
      <c r="E165" s="1165"/>
      <c r="F165" s="1165"/>
      <c r="G165" s="1165"/>
      <c r="H165" s="1163"/>
      <c r="I165" s="1165"/>
    </row>
    <row r="166" spans="2:13" s="1085" customFormat="1" ht="13">
      <c r="B166" s="1163"/>
      <c r="C166" s="1163"/>
      <c r="D166" s="1163"/>
      <c r="E166" s="1165"/>
      <c r="F166" s="1165"/>
      <c r="G166" s="1175"/>
      <c r="H166" s="1163"/>
      <c r="I166" s="1165"/>
    </row>
    <row r="167" spans="2:13" ht="26">
      <c r="B167" s="1176" t="s">
        <v>606</v>
      </c>
      <c r="C167" s="1177"/>
      <c r="D167" s="1177"/>
      <c r="E167" s="1178"/>
      <c r="F167" s="1300" t="s">
        <v>1160</v>
      </c>
      <c r="G167" s="1300" t="s">
        <v>1161</v>
      </c>
      <c r="H167" s="1179"/>
      <c r="I167" s="1179"/>
      <c r="J167" s="1179"/>
      <c r="K167" s="561"/>
      <c r="L167" s="561"/>
      <c r="M167" s="561"/>
    </row>
    <row r="168" spans="2:13">
      <c r="B168" s="1180"/>
      <c r="C168" s="628"/>
      <c r="D168" s="628"/>
      <c r="E168" s="627"/>
      <c r="F168" s="627"/>
      <c r="G168" s="1181"/>
      <c r="H168" s="618"/>
      <c r="I168" s="565"/>
      <c r="J168" s="565"/>
      <c r="K168" s="561"/>
      <c r="L168" s="561"/>
      <c r="M168" s="561"/>
    </row>
    <row r="169" spans="2:13">
      <c r="B169" s="1180">
        <v>1</v>
      </c>
      <c r="C169" s="627" t="s">
        <v>608</v>
      </c>
      <c r="D169" s="627"/>
      <c r="E169" s="627"/>
      <c r="F169" s="1182"/>
      <c r="G169" s="1183"/>
      <c r="H169" s="618"/>
      <c r="I169" s="565"/>
      <c r="J169" s="565"/>
      <c r="K169" s="561"/>
      <c r="L169" s="561"/>
      <c r="M169" s="561"/>
    </row>
    <row r="170" spans="2:13">
      <c r="B170" s="1180">
        <v>2</v>
      </c>
      <c r="C170" s="843" t="s">
        <v>1114</v>
      </c>
      <c r="D170" s="627"/>
      <c r="E170" s="627" t="s">
        <v>1166</v>
      </c>
      <c r="F170" s="1184">
        <v>0</v>
      </c>
      <c r="G170" s="1185">
        <v>0</v>
      </c>
      <c r="H170" s="618"/>
      <c r="I170" s="565"/>
      <c r="J170" s="565"/>
      <c r="K170" s="561"/>
      <c r="L170" s="561"/>
      <c r="M170" s="561"/>
    </row>
    <row r="171" spans="2:13">
      <c r="B171" s="1180"/>
      <c r="C171" s="627"/>
      <c r="D171" s="627"/>
      <c r="E171" s="627"/>
      <c r="F171" s="1186"/>
      <c r="G171" s="1187"/>
      <c r="H171" s="618"/>
      <c r="I171" s="565"/>
      <c r="J171" s="565"/>
      <c r="K171" s="561"/>
      <c r="L171" s="561"/>
      <c r="M171" s="561"/>
    </row>
    <row r="172" spans="2:13">
      <c r="B172" s="1180">
        <v>3</v>
      </c>
      <c r="C172" s="1188" t="s">
        <v>607</v>
      </c>
      <c r="D172" s="1188"/>
      <c r="E172" s="627"/>
      <c r="F172" s="1189"/>
      <c r="G172" s="1190"/>
      <c r="H172" s="1191"/>
      <c r="I172" s="1192"/>
      <c r="J172" s="1192"/>
      <c r="K172" s="561"/>
      <c r="L172" s="561"/>
      <c r="M172" s="561"/>
    </row>
    <row r="173" spans="2:13" ht="13">
      <c r="B173" s="1180">
        <v>4</v>
      </c>
      <c r="C173" s="627" t="s">
        <v>1167</v>
      </c>
      <c r="D173" s="627"/>
      <c r="E173" s="627" t="s">
        <v>1168</v>
      </c>
      <c r="F173" s="1376">
        <f>583580</f>
        <v>583580</v>
      </c>
      <c r="G173" s="1377">
        <f>29158</f>
        <v>29158</v>
      </c>
      <c r="H173" s="1193"/>
      <c r="I173" s="565"/>
      <c r="J173" s="565"/>
      <c r="K173" s="561"/>
      <c r="L173" s="561"/>
      <c r="M173" s="561"/>
    </row>
    <row r="174" spans="2:13" ht="12" customHeight="1">
      <c r="B174" s="1180"/>
      <c r="C174" s="627"/>
      <c r="D174" s="627"/>
      <c r="E174" s="627"/>
      <c r="F174" s="1194"/>
      <c r="G174" s="1195"/>
      <c r="H174" s="618"/>
      <c r="I174" s="565"/>
      <c r="J174" s="565"/>
      <c r="K174" s="561"/>
      <c r="L174" s="561"/>
      <c r="M174" s="561"/>
    </row>
    <row r="175" spans="2:13">
      <c r="B175" s="1180">
        <v>5</v>
      </c>
      <c r="C175" s="627" t="s">
        <v>322</v>
      </c>
      <c r="D175" s="627"/>
      <c r="E175" s="627"/>
      <c r="F175" s="1184">
        <f>F173+F170</f>
        <v>583580</v>
      </c>
      <c r="G175" s="1184">
        <f>G173+G170</f>
        <v>29158</v>
      </c>
      <c r="H175" s="618"/>
      <c r="I175" s="565"/>
      <c r="J175" s="565"/>
      <c r="K175" s="561"/>
      <c r="L175" s="561"/>
      <c r="M175" s="561"/>
    </row>
    <row r="176" spans="2:13">
      <c r="B176" s="1180"/>
      <c r="C176" s="627"/>
      <c r="D176" s="627"/>
      <c r="E176" s="627"/>
      <c r="F176" s="1194"/>
      <c r="G176" s="1195"/>
      <c r="H176" s="618"/>
      <c r="I176" s="565"/>
      <c r="J176" s="565"/>
      <c r="K176" s="561"/>
      <c r="L176" s="561"/>
      <c r="M176" s="561"/>
    </row>
    <row r="177" spans="1:13">
      <c r="B177" s="1180">
        <v>6</v>
      </c>
      <c r="C177" s="627" t="s">
        <v>1105</v>
      </c>
      <c r="D177" s="627"/>
      <c r="E177" s="627"/>
      <c r="F177" s="1376">
        <v>583580</v>
      </c>
      <c r="G177" s="1377">
        <v>29158</v>
      </c>
      <c r="H177" s="1196"/>
      <c r="I177" s="565"/>
      <c r="J177" s="565"/>
      <c r="K177" s="561"/>
      <c r="L177" s="561"/>
      <c r="M177" s="561"/>
    </row>
    <row r="178" spans="1:13">
      <c r="B178" s="1197"/>
      <c r="C178" s="627"/>
      <c r="D178" s="627"/>
      <c r="E178" s="627"/>
      <c r="F178" s="627"/>
      <c r="G178" s="1181"/>
      <c r="H178" s="618"/>
      <c r="I178" s="565"/>
      <c r="J178" s="565"/>
      <c r="K178" s="561"/>
      <c r="L178" s="561"/>
      <c r="M178" s="561"/>
    </row>
    <row r="179" spans="1:13" ht="13" thickBot="1">
      <c r="B179" s="1198">
        <v>7</v>
      </c>
      <c r="C179" s="1199" t="s">
        <v>609</v>
      </c>
      <c r="D179" s="1199"/>
      <c r="E179" s="1199"/>
      <c r="F179" s="1200">
        <f>F175-F177</f>
        <v>0</v>
      </c>
      <c r="G179" s="1201">
        <f>G175-G177</f>
        <v>0</v>
      </c>
      <c r="H179" s="618"/>
      <c r="I179" s="565"/>
      <c r="J179" s="565"/>
      <c r="K179" s="561"/>
      <c r="L179" s="561"/>
      <c r="M179" s="561"/>
    </row>
    <row r="180" spans="1:13" ht="13" thickTop="1">
      <c r="B180" s="565"/>
      <c r="C180" s="565"/>
      <c r="D180" s="565"/>
      <c r="E180" s="565"/>
      <c r="F180" s="565"/>
      <c r="G180" s="565"/>
      <c r="H180" s="565"/>
      <c r="I180" s="565"/>
      <c r="J180" s="565"/>
      <c r="K180" s="561"/>
      <c r="L180" s="561"/>
      <c r="M180" s="561"/>
    </row>
    <row r="181" spans="1:13">
      <c r="B181" s="565" t="s">
        <v>610</v>
      </c>
      <c r="C181" s="565"/>
      <c r="D181" s="565"/>
      <c r="E181" s="565"/>
      <c r="F181" s="565"/>
      <c r="G181" s="565"/>
      <c r="H181" s="565"/>
      <c r="I181" s="565"/>
      <c r="J181" s="565"/>
      <c r="K181" s="561"/>
      <c r="L181" s="561"/>
      <c r="M181" s="561"/>
    </row>
    <row r="182" spans="1:13">
      <c r="B182" s="565"/>
      <c r="C182" s="565"/>
      <c r="D182" s="565"/>
      <c r="E182" s="565"/>
      <c r="F182" s="564"/>
      <c r="G182" s="565"/>
      <c r="H182" s="565"/>
      <c r="I182" s="575"/>
      <c r="J182" s="565"/>
      <c r="K182" s="561"/>
      <c r="L182" s="561"/>
      <c r="M182" s="561"/>
    </row>
    <row r="183" spans="1:13" s="21" customFormat="1" ht="15.5">
      <c r="A183" s="92" t="s">
        <v>963</v>
      </c>
      <c r="B183" s="91"/>
      <c r="C183" s="91"/>
      <c r="D183" s="77"/>
      <c r="E183" s="76"/>
      <c r="F183" s="811"/>
      <c r="G183" s="76"/>
      <c r="H183" s="76"/>
      <c r="I183" s="77"/>
      <c r="J183" s="77"/>
    </row>
    <row r="184" spans="1:13" ht="14">
      <c r="B184" s="525"/>
      <c r="F184" s="527"/>
      <c r="G184" s="527"/>
      <c r="H184" s="526"/>
      <c r="I184" s="526"/>
      <c r="J184" s="821"/>
      <c r="K184" s="630"/>
    </row>
  </sheetData>
  <mergeCells count="11">
    <mergeCell ref="B66:I66"/>
    <mergeCell ref="B70:I71"/>
    <mergeCell ref="B107:I108"/>
    <mergeCell ref="B161:I162"/>
    <mergeCell ref="A1:J1"/>
    <mergeCell ref="A2:J2"/>
    <mergeCell ref="A3:J3"/>
    <mergeCell ref="B22:I24"/>
    <mergeCell ref="B27:I29"/>
    <mergeCell ref="B103:I103"/>
    <mergeCell ref="B157:I157"/>
  </mergeCells>
  <phoneticPr fontId="0" type="noConversion"/>
  <pageMargins left="1" right="0.5" top="1.5" bottom="0.5" header="0.5" footer="0.5"/>
  <pageSetup scale="43" fitToHeight="0" orientation="landscape" r:id="rId1"/>
  <headerFooter alignWithMargins="0">
    <oddFooter>&amp;C&amp;A&amp;RPage &amp;P of &amp;N</oddFooter>
  </headerFooter>
  <rowBreaks count="2" manualBreakCount="2">
    <brk id="72" max="16383" man="1"/>
    <brk id="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00470-2F6D-4C49-A137-4377FFFD5B40}">
  <sheetPr>
    <pageSetUpPr fitToPage="1"/>
  </sheetPr>
  <dimension ref="A1:T203"/>
  <sheetViews>
    <sheetView topLeftCell="B32" zoomScale="90" zoomScaleNormal="90" workbookViewId="0">
      <selection activeCell="O73" sqref="O73"/>
    </sheetView>
  </sheetViews>
  <sheetFormatPr defaultColWidth="9.1796875" defaultRowHeight="12.5"/>
  <cols>
    <col min="1" max="1" width="9.1796875" style="964"/>
    <col min="2" max="2" width="5.7265625" style="964" customWidth="1"/>
    <col min="3" max="3" width="9.453125" style="964" customWidth="1"/>
    <col min="4" max="4" width="2.7265625" style="964" customWidth="1"/>
    <col min="5" max="5" width="46.81640625" style="964" bestFit="1" customWidth="1"/>
    <col min="6" max="6" width="2.7265625" style="964" customWidth="1"/>
    <col min="7" max="7" width="19.1796875" style="964" bestFit="1" customWidth="1"/>
    <col min="8" max="8" width="2.7265625" style="964" customWidth="1"/>
    <col min="9" max="9" width="19.1796875" style="964" bestFit="1" customWidth="1"/>
    <col min="10" max="10" width="2.7265625" style="964" customWidth="1"/>
    <col min="11" max="11" width="18.54296875" style="964" bestFit="1" customWidth="1"/>
    <col min="12" max="12" width="5.7265625" style="964" customWidth="1"/>
    <col min="13" max="13" width="19.1796875" style="964" bestFit="1" customWidth="1"/>
    <col min="14" max="14" width="2.7265625" style="964" customWidth="1"/>
    <col min="15" max="15" width="17.453125" style="964" customWidth="1"/>
    <col min="16" max="16" width="2.7265625" style="964" customWidth="1"/>
    <col min="17" max="17" width="18.54296875" style="964" bestFit="1" customWidth="1"/>
    <col min="18" max="18" width="5.7265625" style="964" customWidth="1"/>
    <col min="19" max="19" width="9.1796875" style="964"/>
    <col min="20" max="20" width="15.26953125" style="964" customWidth="1"/>
    <col min="21" max="21" width="15.1796875" style="964" customWidth="1"/>
    <col min="22" max="16384" width="9.1796875" style="964"/>
  </cols>
  <sheetData>
    <row r="1" spans="1:20" ht="15.5">
      <c r="A1" s="1504" t="s">
        <v>64</v>
      </c>
      <c r="B1" s="1504"/>
      <c r="C1" s="1504"/>
      <c r="D1" s="1504"/>
      <c r="E1" s="1504"/>
      <c r="F1" s="1504"/>
      <c r="G1" s="1504"/>
      <c r="H1" s="1504"/>
      <c r="I1" s="1504"/>
      <c r="J1" s="1504"/>
      <c r="K1" s="1504"/>
      <c r="L1" s="1504"/>
      <c r="M1" s="1504"/>
      <c r="N1" s="1504"/>
      <c r="O1" s="1504"/>
      <c r="P1" s="1504"/>
      <c r="Q1" s="1504"/>
      <c r="R1" s="1504"/>
      <c r="S1" s="1504"/>
    </row>
    <row r="2" spans="1:20" ht="15.5">
      <c r="A2" s="1504" t="s">
        <v>1203</v>
      </c>
      <c r="B2" s="1504"/>
      <c r="C2" s="1504"/>
      <c r="D2" s="1504"/>
      <c r="E2" s="1504"/>
      <c r="F2" s="1504"/>
      <c r="G2" s="1504"/>
      <c r="H2" s="1504"/>
      <c r="I2" s="1504"/>
      <c r="J2" s="1504"/>
      <c r="K2" s="1504"/>
      <c r="L2" s="1504"/>
      <c r="M2" s="1504"/>
      <c r="N2" s="1504"/>
      <c r="O2" s="1504"/>
      <c r="P2" s="1504"/>
      <c r="Q2" s="1504"/>
      <c r="R2" s="1504"/>
      <c r="S2" s="1504"/>
    </row>
    <row r="3" spans="1:20" ht="15.5">
      <c r="A3" s="1504" t="s">
        <v>1204</v>
      </c>
      <c r="B3" s="1504"/>
      <c r="C3" s="1504"/>
      <c r="D3" s="1504"/>
      <c r="E3" s="1504"/>
      <c r="F3" s="1504"/>
      <c r="G3" s="1504"/>
      <c r="H3" s="1504"/>
      <c r="I3" s="1504"/>
      <c r="J3" s="1504"/>
      <c r="K3" s="1504"/>
      <c r="L3" s="1504"/>
      <c r="M3" s="1504"/>
      <c r="N3" s="1504"/>
      <c r="O3" s="1504"/>
      <c r="P3" s="1504"/>
      <c r="Q3" s="1504"/>
      <c r="R3" s="1504"/>
      <c r="S3" s="1504"/>
    </row>
    <row r="4" spans="1:20" ht="14">
      <c r="A4" s="965"/>
      <c r="G4" s="965"/>
      <c r="O4" s="965"/>
    </row>
    <row r="5" spans="1:20" ht="14">
      <c r="A5" s="965"/>
      <c r="G5" s="965"/>
      <c r="O5" s="965"/>
    </row>
    <row r="6" spans="1:20" ht="15.5">
      <c r="C6" s="1489" t="s">
        <v>921</v>
      </c>
      <c r="D6" s="1489"/>
      <c r="E6" s="1489"/>
      <c r="F6" s="1489"/>
      <c r="G6" s="1489"/>
      <c r="H6" s="1489"/>
      <c r="I6" s="1489"/>
      <c r="J6" s="1489"/>
      <c r="K6" s="1489"/>
      <c r="L6" s="1489"/>
      <c r="M6" s="1489"/>
      <c r="N6" s="1489"/>
      <c r="O6" s="1489"/>
      <c r="P6" s="1489"/>
      <c r="Q6" s="1489"/>
    </row>
    <row r="8" spans="1:20" ht="15.5">
      <c r="C8" s="1490" t="s">
        <v>1052</v>
      </c>
      <c r="D8" s="1491"/>
      <c r="E8" s="1491"/>
      <c r="F8" s="1491"/>
      <c r="G8" s="1491"/>
      <c r="H8" s="1491"/>
      <c r="I8" s="1491"/>
      <c r="J8" s="1491"/>
      <c r="K8" s="1491"/>
      <c r="L8" s="1491"/>
      <c r="M8" s="1491"/>
      <c r="N8" s="1491"/>
      <c r="O8" s="1491"/>
      <c r="P8" s="1491"/>
      <c r="Q8" s="1492"/>
    </row>
    <row r="10" spans="1:20" ht="13">
      <c r="E10" s="966" t="s">
        <v>922</v>
      </c>
      <c r="F10" s="966"/>
      <c r="G10" s="966" t="s">
        <v>923</v>
      </c>
      <c r="H10" s="966"/>
      <c r="I10" s="966" t="s">
        <v>924</v>
      </c>
      <c r="J10" s="966"/>
      <c r="K10" s="966" t="s">
        <v>925</v>
      </c>
      <c r="L10" s="966"/>
      <c r="M10" s="966" t="s">
        <v>926</v>
      </c>
      <c r="N10" s="966"/>
      <c r="O10" s="966" t="s">
        <v>927</v>
      </c>
      <c r="P10" s="966"/>
      <c r="Q10" s="966" t="s">
        <v>928</v>
      </c>
    </row>
    <row r="11" spans="1:20" ht="15" customHeight="1">
      <c r="C11" s="1493" t="s">
        <v>1083</v>
      </c>
      <c r="D11" s="1318"/>
      <c r="E11" s="1495" t="s">
        <v>932</v>
      </c>
      <c r="G11" s="1497" t="s">
        <v>340</v>
      </c>
      <c r="I11" s="1497" t="s">
        <v>929</v>
      </c>
      <c r="K11" s="967" t="s">
        <v>930</v>
      </c>
      <c r="M11" s="968" t="s">
        <v>1225</v>
      </c>
      <c r="O11" s="1499" t="s">
        <v>931</v>
      </c>
      <c r="Q11" s="968" t="s">
        <v>1273</v>
      </c>
    </row>
    <row r="12" spans="1:20" ht="25">
      <c r="C12" s="1494"/>
      <c r="D12" s="1318"/>
      <c r="E12" s="1496"/>
      <c r="F12" s="969"/>
      <c r="G12" s="1498"/>
      <c r="H12" s="969"/>
      <c r="I12" s="1498"/>
      <c r="J12" s="969"/>
      <c r="K12" s="970" t="s">
        <v>933</v>
      </c>
      <c r="M12" s="971" t="s">
        <v>934</v>
      </c>
      <c r="O12" s="1500"/>
      <c r="Q12" s="971" t="s">
        <v>934</v>
      </c>
    </row>
    <row r="13" spans="1:20" ht="5.15" customHeight="1"/>
    <row r="14" spans="1:20" ht="13">
      <c r="A14" s="972"/>
      <c r="B14" s="972"/>
      <c r="C14" s="1016">
        <v>1</v>
      </c>
      <c r="D14" s="972"/>
      <c r="E14" s="973" t="s">
        <v>935</v>
      </c>
      <c r="F14" s="972"/>
      <c r="G14" s="974"/>
      <c r="H14" s="972"/>
      <c r="I14" s="974"/>
      <c r="J14" s="972"/>
      <c r="K14" s="975"/>
      <c r="M14" s="976"/>
      <c r="O14" s="977"/>
      <c r="Q14" s="978"/>
    </row>
    <row r="15" spans="1:20" ht="5.15" customHeight="1"/>
    <row r="16" spans="1:20">
      <c r="C16" s="1016">
        <f>C14+1</f>
        <v>2</v>
      </c>
      <c r="E16" s="979" t="s">
        <v>936</v>
      </c>
      <c r="F16" s="980"/>
      <c r="G16" s="981" t="s">
        <v>326</v>
      </c>
      <c r="H16" s="980"/>
      <c r="I16" s="974" t="s">
        <v>937</v>
      </c>
      <c r="J16" s="980"/>
      <c r="K16" s="982">
        <f>SUMIFS('1C - ADIT Remeasurement'!$AF$11:$AF$74,'1C - ADIT Remeasurement'!$E$11:$E$74,"Non-Property",'1C - ADIT Remeasurement'!$AH$11:$AH$74,"190")</f>
        <v>-5220329.6200069413</v>
      </c>
      <c r="L16" s="983"/>
      <c r="M16" s="982">
        <v>-2610165.1899965294</v>
      </c>
      <c r="N16" s="983"/>
      <c r="O16" s="982">
        <f>-K16/4</f>
        <v>1305082.4050017353</v>
      </c>
      <c r="P16" s="983"/>
      <c r="Q16" s="982">
        <f>M16+O16</f>
        <v>-1305082.7849947941</v>
      </c>
      <c r="T16" s="984"/>
    </row>
    <row r="17" spans="1:20">
      <c r="C17" s="1016">
        <f>C16+1</f>
        <v>3</v>
      </c>
      <c r="E17" s="979" t="s">
        <v>938</v>
      </c>
      <c r="F17" s="980"/>
      <c r="G17" s="981" t="s">
        <v>326</v>
      </c>
      <c r="H17" s="980"/>
      <c r="I17" s="974" t="s">
        <v>937</v>
      </c>
      <c r="J17" s="980"/>
      <c r="K17" s="985">
        <f>SUMIFS('1C - ADIT Remeasurement'!$AF$11:$AF$74,'1C - ADIT Remeasurement'!$E$11:$E$74,"Non-Property",'1C - ADIT Remeasurement'!$AH$11:$AH$74,"281")</f>
        <v>0</v>
      </c>
      <c r="L17" s="980"/>
      <c r="M17" s="985">
        <v>0</v>
      </c>
      <c r="N17" s="980"/>
      <c r="O17" s="985">
        <f>-K17/4</f>
        <v>0</v>
      </c>
      <c r="P17" s="980"/>
      <c r="Q17" s="986">
        <f>M17+O17</f>
        <v>0</v>
      </c>
    </row>
    <row r="18" spans="1:20">
      <c r="C18" s="1016">
        <f>C17+1</f>
        <v>4</v>
      </c>
      <c r="E18" s="979" t="s">
        <v>939</v>
      </c>
      <c r="F18" s="980"/>
      <c r="G18" s="981" t="s">
        <v>326</v>
      </c>
      <c r="H18" s="980"/>
      <c r="I18" s="974" t="s">
        <v>937</v>
      </c>
      <c r="J18" s="980"/>
      <c r="K18" s="985">
        <f>SUMIFS('1C - ADIT Remeasurement'!$AF$11:$AF$74,'1C - ADIT Remeasurement'!$E$11:$E$74,"Non-Property",'1C - ADIT Remeasurement'!$AH$11:$AH$74,"282")</f>
        <v>0</v>
      </c>
      <c r="L18" s="980"/>
      <c r="M18" s="985">
        <v>0</v>
      </c>
      <c r="N18" s="980"/>
      <c r="O18" s="985">
        <f>-K18/4</f>
        <v>0</v>
      </c>
      <c r="P18" s="980"/>
      <c r="Q18" s="986">
        <f>M18+O18</f>
        <v>0</v>
      </c>
    </row>
    <row r="19" spans="1:20">
      <c r="C19" s="1016">
        <f>C18+1</f>
        <v>5</v>
      </c>
      <c r="E19" s="979" t="s">
        <v>940</v>
      </c>
      <c r="F19" s="980"/>
      <c r="G19" s="981" t="s">
        <v>326</v>
      </c>
      <c r="H19" s="980"/>
      <c r="I19" s="974" t="s">
        <v>937</v>
      </c>
      <c r="J19" s="980"/>
      <c r="K19" s="985">
        <f>SUMIFS('1C - ADIT Remeasurement'!$AF$11:$AF$74,'1C - ADIT Remeasurement'!$E$11:$E$74,"Non-Property",'1C - ADIT Remeasurement'!$AH$11:$AH$74,"283")</f>
        <v>-1259450.4739000001</v>
      </c>
      <c r="L19" s="980"/>
      <c r="M19" s="985">
        <v>-629724.76304999995</v>
      </c>
      <c r="N19" s="980"/>
      <c r="O19" s="985">
        <f>-K19/4</f>
        <v>314862.61847500002</v>
      </c>
      <c r="P19" s="980"/>
      <c r="Q19" s="986">
        <f>M19+O19</f>
        <v>-314862.14457499993</v>
      </c>
      <c r="T19" s="984"/>
    </row>
    <row r="20" spans="1:20" ht="5.15" customHeight="1">
      <c r="G20" s="980"/>
      <c r="K20" s="987"/>
      <c r="L20" s="980"/>
      <c r="M20" s="987"/>
      <c r="N20" s="980"/>
      <c r="O20" s="987"/>
      <c r="P20" s="980"/>
      <c r="Q20" s="987"/>
    </row>
    <row r="21" spans="1:20" ht="13">
      <c r="C21" s="1016">
        <f>C19+1</f>
        <v>6</v>
      </c>
      <c r="E21" s="988" t="s">
        <v>941</v>
      </c>
      <c r="G21" s="980"/>
      <c r="K21" s="976">
        <f>SUM(K15:K20)</f>
        <v>-6479780.0939069409</v>
      </c>
      <c r="L21" s="976"/>
      <c r="M21" s="976">
        <f>SUM(M15:M20)</f>
        <v>-3239889.9530465296</v>
      </c>
      <c r="N21" s="983"/>
      <c r="O21" s="976">
        <f>SUM(O15:O20)</f>
        <v>1619945.0234767352</v>
      </c>
      <c r="P21" s="976"/>
      <c r="Q21" s="976">
        <f>SUM(Q15:Q20)</f>
        <v>-1619944.9295697939</v>
      </c>
    </row>
    <row r="22" spans="1:20">
      <c r="C22" s="1016"/>
    </row>
    <row r="23" spans="1:20" ht="13">
      <c r="A23" s="972"/>
      <c r="B23" s="972"/>
      <c r="C23" s="1016">
        <f>C21+1</f>
        <v>7</v>
      </c>
      <c r="D23" s="972"/>
      <c r="E23" s="973" t="s">
        <v>942</v>
      </c>
      <c r="F23" s="972"/>
      <c r="G23" s="974"/>
      <c r="H23" s="972"/>
      <c r="I23" s="974"/>
      <c r="J23" s="972"/>
      <c r="K23" s="975"/>
      <c r="M23" s="976"/>
      <c r="O23" s="977"/>
      <c r="Q23" s="978"/>
    </row>
    <row r="24" spans="1:20" ht="5.15" customHeight="1">
      <c r="L24" s="980"/>
    </row>
    <row r="25" spans="1:20">
      <c r="C25" s="1016">
        <f>C23+1</f>
        <v>8</v>
      </c>
      <c r="E25" s="979" t="s">
        <v>936</v>
      </c>
      <c r="F25" s="980"/>
      <c r="G25" s="981" t="s">
        <v>326</v>
      </c>
      <c r="H25" s="980"/>
      <c r="I25" s="974" t="s">
        <v>943</v>
      </c>
      <c r="J25" s="980"/>
      <c r="K25" s="982">
        <f>SUMIFS('1C - ADIT Remeasurement'!$AF$11:$AF$74,'1C - ADIT Remeasurement'!$E$11:$E$74,"Unprotected Property",'1C - ADIT Remeasurement'!$AH$11:$AH$74,"190")</f>
        <v>0</v>
      </c>
      <c r="L25" s="983"/>
      <c r="M25" s="982">
        <v>0</v>
      </c>
      <c r="N25" s="976"/>
      <c r="O25" s="982">
        <f>-K25/5</f>
        <v>0</v>
      </c>
      <c r="P25" s="976"/>
      <c r="Q25" s="982">
        <f>M25+O25</f>
        <v>0</v>
      </c>
    </row>
    <row r="26" spans="1:20">
      <c r="C26" s="1016">
        <f>C25+1</f>
        <v>9</v>
      </c>
      <c r="E26" s="979" t="s">
        <v>938</v>
      </c>
      <c r="F26" s="980"/>
      <c r="G26" s="981" t="s">
        <v>326</v>
      </c>
      <c r="H26" s="980"/>
      <c r="I26" s="974" t="s">
        <v>943</v>
      </c>
      <c r="J26" s="980"/>
      <c r="K26" s="985">
        <f>SUMIFS('1C - ADIT Remeasurement'!$AF$11:$AF$74,'1C - ADIT Remeasurement'!$E$11:$E$74,"Unprotected Property",'1C - ADIT Remeasurement'!$AH$11:$AH$74,"281")</f>
        <v>0</v>
      </c>
      <c r="L26" s="980"/>
      <c r="M26" s="985">
        <v>0</v>
      </c>
      <c r="O26" s="985">
        <f>-K26/5</f>
        <v>0</v>
      </c>
      <c r="Q26" s="986">
        <f>M26+O26</f>
        <v>0</v>
      </c>
      <c r="T26" s="990"/>
    </row>
    <row r="27" spans="1:20">
      <c r="C27" s="1016">
        <f>C26+1</f>
        <v>10</v>
      </c>
      <c r="E27" s="979" t="s">
        <v>939</v>
      </c>
      <c r="F27" s="980"/>
      <c r="G27" s="981" t="s">
        <v>326</v>
      </c>
      <c r="H27" s="980"/>
      <c r="I27" s="974" t="s">
        <v>943</v>
      </c>
      <c r="J27" s="980"/>
      <c r="K27" s="985">
        <f>SUMIFS('1C - ADIT Remeasurement'!$AF$11:$AF$74,'1C - ADIT Remeasurement'!$E$11:$E$74,"Unprotected Property",'1C - ADIT Remeasurement'!$AH$11:$AH$74,"282")</f>
        <v>-37716819.563906267</v>
      </c>
      <c r="L27" s="980"/>
      <c r="M27" s="985">
        <v>-22630092.174437493</v>
      </c>
      <c r="O27" s="985">
        <f>-K27/5</f>
        <v>7543363.9127812535</v>
      </c>
      <c r="Q27" s="986">
        <f>M27+O27</f>
        <v>-15086728.26165624</v>
      </c>
      <c r="T27" s="984"/>
    </row>
    <row r="28" spans="1:20">
      <c r="C28" s="1016">
        <f>C27+1</f>
        <v>11</v>
      </c>
      <c r="E28" s="979" t="s">
        <v>940</v>
      </c>
      <c r="F28" s="980"/>
      <c r="G28" s="981" t="s">
        <v>326</v>
      </c>
      <c r="H28" s="980"/>
      <c r="I28" s="974" t="s">
        <v>943</v>
      </c>
      <c r="J28" s="980"/>
      <c r="K28" s="985">
        <f>SUMIFS('1C - ADIT Remeasurement'!$AF$11:$AF$74,'1C - ADIT Remeasurement'!$E$11:$E$74,"Unprotected Property",'1C - ADIT Remeasurement'!$AH$11:$AH$74,"283")</f>
        <v>0</v>
      </c>
      <c r="L28" s="980"/>
      <c r="M28" s="985">
        <v>0</v>
      </c>
      <c r="O28" s="985">
        <f>-K28/5</f>
        <v>0</v>
      </c>
      <c r="Q28" s="986">
        <f>M28+O28</f>
        <v>0</v>
      </c>
    </row>
    <row r="29" spans="1:20" ht="5.15" customHeight="1">
      <c r="K29" s="987"/>
      <c r="L29" s="980"/>
      <c r="M29" s="987"/>
      <c r="O29" s="987"/>
      <c r="Q29" s="987"/>
    </row>
    <row r="30" spans="1:20" ht="13">
      <c r="C30" s="1016">
        <f>C28+1</f>
        <v>12</v>
      </c>
      <c r="E30" s="988" t="s">
        <v>941</v>
      </c>
      <c r="K30" s="976">
        <f>SUM(K24:K29)</f>
        <v>-37716819.563906267</v>
      </c>
      <c r="L30" s="983"/>
      <c r="M30" s="976">
        <f>SUM(M24:M29)</f>
        <v>-22630092.174437493</v>
      </c>
      <c r="N30" s="976"/>
      <c r="O30" s="976">
        <f>SUM(O24:O29)</f>
        <v>7543363.9127812535</v>
      </c>
      <c r="P30" s="976"/>
      <c r="Q30" s="976">
        <f>SUM(Q24:Q29)</f>
        <v>-15086728.26165624</v>
      </c>
    </row>
    <row r="31" spans="1:20">
      <c r="L31" s="980"/>
    </row>
    <row r="32" spans="1:20" ht="13">
      <c r="A32" s="972"/>
      <c r="B32" s="972"/>
      <c r="C32" s="1016">
        <f>C30+1</f>
        <v>13</v>
      </c>
      <c r="D32" s="972"/>
      <c r="E32" s="973" t="s">
        <v>944</v>
      </c>
      <c r="F32" s="972"/>
      <c r="G32" s="974"/>
      <c r="H32" s="972"/>
      <c r="I32" s="974"/>
      <c r="J32" s="972"/>
      <c r="K32" s="975"/>
      <c r="M32" s="976"/>
      <c r="N32" s="980"/>
      <c r="O32" s="977"/>
      <c r="Q32" s="978"/>
    </row>
    <row r="33" spans="3:20" ht="5.15" customHeight="1">
      <c r="N33" s="980"/>
    </row>
    <row r="34" spans="3:20">
      <c r="C34" s="1016">
        <f>C32+1</f>
        <v>14</v>
      </c>
      <c r="E34" s="979" t="s">
        <v>936</v>
      </c>
      <c r="F34" s="980"/>
      <c r="G34" s="981" t="s">
        <v>326</v>
      </c>
      <c r="H34" s="980"/>
      <c r="I34" s="974" t="s">
        <v>945</v>
      </c>
      <c r="J34" s="980"/>
      <c r="K34" s="982">
        <f>SUMIFS('1C - ADIT Remeasurement'!$AF$11:$AF$74,'1C - ADIT Remeasurement'!$E$11:$E$74,"Protected Property",'1C - ADIT Remeasurement'!$AH$11:$AH$74,"190")</f>
        <v>0</v>
      </c>
      <c r="L34" s="980"/>
      <c r="M34" s="985">
        <v>0</v>
      </c>
      <c r="N34" s="980"/>
      <c r="O34" s="985">
        <v>0</v>
      </c>
      <c r="Q34" s="986">
        <f>M34+O34</f>
        <v>0</v>
      </c>
    </row>
    <row r="35" spans="3:20">
      <c r="C35" s="1016">
        <f>C34+1</f>
        <v>15</v>
      </c>
      <c r="E35" s="979" t="s">
        <v>938</v>
      </c>
      <c r="F35" s="980"/>
      <c r="G35" s="981" t="s">
        <v>326</v>
      </c>
      <c r="H35" s="980"/>
      <c r="I35" s="974" t="s">
        <v>945</v>
      </c>
      <c r="J35" s="980"/>
      <c r="K35" s="985">
        <f>SUMIFS('1C - ADIT Remeasurement'!$AF$11:$AF$74,'1C - ADIT Remeasurement'!$E$11:$E$74,"Protected Property",'1C - ADIT Remeasurement'!$AH$11:$AH$74,"281")</f>
        <v>0</v>
      </c>
      <c r="L35" s="980"/>
      <c r="M35" s="985">
        <v>0</v>
      </c>
      <c r="N35" s="980"/>
      <c r="O35" s="985">
        <v>0</v>
      </c>
      <c r="Q35" s="986">
        <f>M35+O35</f>
        <v>0</v>
      </c>
    </row>
    <row r="36" spans="3:20">
      <c r="C36" s="1016">
        <f>C35+1</f>
        <v>16</v>
      </c>
      <c r="E36" s="979" t="s">
        <v>939</v>
      </c>
      <c r="F36" s="980"/>
      <c r="G36" s="981" t="s">
        <v>326</v>
      </c>
      <c r="H36" s="980"/>
      <c r="I36" s="974" t="s">
        <v>945</v>
      </c>
      <c r="J36" s="980"/>
      <c r="K36" s="985">
        <f>SUMIFS('1C - ADIT Remeasurement'!$AF$11:$AF$74,'1C - ADIT Remeasurement'!$E$11:$E$74,"Protected Property",'1C - ADIT Remeasurement'!$AH$11:$AH$74,"282")</f>
        <v>-70691097.607948944</v>
      </c>
      <c r="L36" s="980"/>
      <c r="M36" s="985">
        <v>-66775797</v>
      </c>
      <c r="N36" s="980"/>
      <c r="O36" s="985">
        <v>1762399.42</v>
      </c>
      <c r="Q36" s="986">
        <f>M36+O36</f>
        <v>-65013397.579999998</v>
      </c>
    </row>
    <row r="37" spans="3:20">
      <c r="C37" s="1016">
        <f>C36+1</f>
        <v>17</v>
      </c>
      <c r="E37" s="979" t="s">
        <v>940</v>
      </c>
      <c r="F37" s="980"/>
      <c r="G37" s="981" t="s">
        <v>326</v>
      </c>
      <c r="H37" s="980"/>
      <c r="I37" s="974" t="s">
        <v>945</v>
      </c>
      <c r="J37" s="980"/>
      <c r="K37" s="985">
        <f>SUMIFS('1C - ADIT Remeasurement'!$AF$11:$AF$74,'1C - ADIT Remeasurement'!$E$11:$E$74,"Protected Property",'1C - ADIT Remeasurement'!$AH$11:$AH$74,"283")</f>
        <v>0</v>
      </c>
      <c r="L37" s="980"/>
      <c r="M37" s="985">
        <v>0</v>
      </c>
      <c r="N37" s="980"/>
      <c r="O37" s="985">
        <v>0</v>
      </c>
      <c r="Q37" s="986">
        <f>M37+O37</f>
        <v>0</v>
      </c>
    </row>
    <row r="38" spans="3:20" ht="5.15" customHeight="1">
      <c r="K38" s="987"/>
      <c r="L38" s="980"/>
      <c r="M38" s="987"/>
      <c r="N38" s="980"/>
      <c r="O38" s="987"/>
      <c r="Q38" s="987"/>
    </row>
    <row r="39" spans="3:20" ht="13">
      <c r="C39" s="1016">
        <f>C37+1</f>
        <v>18</v>
      </c>
      <c r="E39" s="988" t="s">
        <v>941</v>
      </c>
      <c r="K39" s="976">
        <f>SUM(K33:K38)</f>
        <v>-70691097.607948944</v>
      </c>
      <c r="L39" s="983"/>
      <c r="M39" s="976">
        <f>SUM(M33:M38)</f>
        <v>-66775797</v>
      </c>
      <c r="N39" s="983"/>
      <c r="O39" s="976">
        <f>SUM(O33:O38)</f>
        <v>1762399.42</v>
      </c>
      <c r="P39" s="976"/>
      <c r="Q39" s="976">
        <f>SUM(Q33:Q38)</f>
        <v>-65013397.579999998</v>
      </c>
      <c r="T39" s="984"/>
    </row>
    <row r="40" spans="3:20">
      <c r="N40" s="980"/>
    </row>
    <row r="41" spans="3:20" ht="13.5" thickBot="1">
      <c r="C41" s="1016">
        <f>C39+1</f>
        <v>19</v>
      </c>
      <c r="E41" s="988" t="s">
        <v>946</v>
      </c>
      <c r="K41" s="989">
        <f>K21+K30+K39</f>
        <v>-114887697.26576215</v>
      </c>
      <c r="L41" s="976"/>
      <c r="M41" s="989">
        <f>M21+M30+M39</f>
        <v>-92645779.127484024</v>
      </c>
      <c r="N41" s="976"/>
      <c r="O41" s="989">
        <f>O21+O30+O39</f>
        <v>10925708.356257988</v>
      </c>
      <c r="P41" s="976"/>
      <c r="Q41" s="989">
        <f>Q21+Q30+Q39</f>
        <v>-81720070.771226034</v>
      </c>
      <c r="T41" s="990"/>
    </row>
    <row r="44" spans="3:20" ht="15.5">
      <c r="C44" s="1490" t="s">
        <v>947</v>
      </c>
      <c r="D44" s="1491"/>
      <c r="E44" s="1491"/>
      <c r="F44" s="1491"/>
      <c r="G44" s="1491"/>
      <c r="H44" s="1491"/>
      <c r="I44" s="1491"/>
      <c r="J44" s="1491"/>
      <c r="K44" s="1491"/>
      <c r="L44" s="1491"/>
      <c r="M44" s="1491"/>
      <c r="N44" s="1491"/>
      <c r="O44" s="1491"/>
      <c r="P44" s="1491"/>
      <c r="Q44" s="1492"/>
    </row>
    <row r="46" spans="3:20" ht="13">
      <c r="E46" s="966" t="s">
        <v>922</v>
      </c>
      <c r="F46" s="966"/>
      <c r="G46" s="966" t="s">
        <v>923</v>
      </c>
      <c r="H46" s="966"/>
      <c r="I46" s="966" t="s">
        <v>924</v>
      </c>
      <c r="J46" s="966"/>
      <c r="K46" s="966" t="s">
        <v>925</v>
      </c>
      <c r="L46" s="966"/>
      <c r="M46" s="966" t="s">
        <v>926</v>
      </c>
      <c r="N46" s="966"/>
      <c r="O46" s="966" t="s">
        <v>927</v>
      </c>
      <c r="P46" s="966"/>
      <c r="Q46" s="966" t="s">
        <v>928</v>
      </c>
    </row>
    <row r="47" spans="3:20" ht="15" customHeight="1">
      <c r="C47" s="1493" t="s">
        <v>1083</v>
      </c>
      <c r="D47" s="1318"/>
      <c r="E47" s="1495" t="s">
        <v>932</v>
      </c>
      <c r="G47" s="1497" t="s">
        <v>340</v>
      </c>
      <c r="I47" s="1497" t="s">
        <v>929</v>
      </c>
      <c r="K47" s="991" t="s">
        <v>948</v>
      </c>
      <c r="M47" s="968" t="s">
        <v>1225</v>
      </c>
      <c r="O47" s="1499" t="s">
        <v>931</v>
      </c>
      <c r="Q47" s="968" t="s">
        <v>1273</v>
      </c>
    </row>
    <row r="48" spans="3:20" ht="25">
      <c r="C48" s="1494"/>
      <c r="D48" s="1318"/>
      <c r="E48" s="1496"/>
      <c r="F48" s="969"/>
      <c r="G48" s="1498"/>
      <c r="H48" s="969"/>
      <c r="I48" s="1498"/>
      <c r="J48" s="969"/>
      <c r="K48" s="970" t="s">
        <v>933</v>
      </c>
      <c r="M48" s="1375" t="s">
        <v>934</v>
      </c>
      <c r="O48" s="1500"/>
      <c r="Q48" s="971" t="s">
        <v>934</v>
      </c>
    </row>
    <row r="49" spans="1:20" ht="5.15" customHeight="1"/>
    <row r="50" spans="1:20" ht="13">
      <c r="A50" s="972"/>
      <c r="B50" s="972"/>
      <c r="C50" s="1016">
        <f>C41+1</f>
        <v>20</v>
      </c>
      <c r="D50" s="972"/>
      <c r="E50" s="973" t="s">
        <v>944</v>
      </c>
      <c r="F50" s="972"/>
      <c r="G50" s="974"/>
      <c r="H50" s="972"/>
      <c r="I50" s="974"/>
      <c r="J50" s="972"/>
      <c r="K50" s="975"/>
      <c r="M50" s="976"/>
      <c r="O50" s="977"/>
      <c r="Q50" s="978"/>
    </row>
    <row r="51" spans="1:20" ht="5.15" customHeight="1">
      <c r="E51" s="980"/>
      <c r="F51" s="980"/>
      <c r="G51" s="980"/>
      <c r="H51" s="980"/>
      <c r="I51" s="980"/>
    </row>
    <row r="52" spans="1:20">
      <c r="C52" s="1016">
        <f>C50+1</f>
        <v>21</v>
      </c>
      <c r="E52" s="979" t="s">
        <v>936</v>
      </c>
      <c r="F52" s="980"/>
      <c r="G52" s="981" t="s">
        <v>394</v>
      </c>
      <c r="H52" s="980"/>
      <c r="I52" s="974" t="s">
        <v>945</v>
      </c>
      <c r="J52" s="980"/>
      <c r="K52" s="982">
        <v>0</v>
      </c>
      <c r="L52" s="983"/>
      <c r="M52" s="982">
        <v>0</v>
      </c>
      <c r="N52" s="983"/>
      <c r="O52" s="982">
        <v>0</v>
      </c>
      <c r="P52" s="983"/>
      <c r="Q52" s="982">
        <f>M52+O52</f>
        <v>0</v>
      </c>
    </row>
    <row r="53" spans="1:20">
      <c r="C53" s="1016">
        <f>C52+1</f>
        <v>22</v>
      </c>
      <c r="E53" s="979" t="s">
        <v>938</v>
      </c>
      <c r="F53" s="980"/>
      <c r="G53" s="981" t="s">
        <v>394</v>
      </c>
      <c r="H53" s="980"/>
      <c r="I53" s="974" t="s">
        <v>945</v>
      </c>
      <c r="J53" s="980"/>
      <c r="K53" s="985">
        <v>0</v>
      </c>
      <c r="L53" s="980"/>
      <c r="M53" s="985">
        <v>0</v>
      </c>
      <c r="N53" s="980"/>
      <c r="O53" s="985">
        <v>0</v>
      </c>
      <c r="P53" s="980"/>
      <c r="Q53" s="986">
        <f>M53+O53</f>
        <v>0</v>
      </c>
      <c r="T53" s="977"/>
    </row>
    <row r="54" spans="1:20">
      <c r="C54" s="1016">
        <f>C53+1</f>
        <v>23</v>
      </c>
      <c r="E54" s="979" t="s">
        <v>939</v>
      </c>
      <c r="F54" s="980"/>
      <c r="G54" s="981" t="s">
        <v>394</v>
      </c>
      <c r="H54" s="980"/>
      <c r="I54" s="974" t="s">
        <v>945</v>
      </c>
      <c r="J54" s="980"/>
      <c r="K54" s="985">
        <f>-759803</f>
        <v>-759803</v>
      </c>
      <c r="L54" s="980"/>
      <c r="M54" s="985">
        <f>-621237</f>
        <v>-621237</v>
      </c>
      <c r="N54" s="980"/>
      <c r="O54" s="985">
        <v>112493.58000000007</v>
      </c>
      <c r="P54" s="980"/>
      <c r="Q54" s="986">
        <f>M54+O54</f>
        <v>-508743.41999999993</v>
      </c>
      <c r="T54" s="1440"/>
    </row>
    <row r="55" spans="1:20">
      <c r="C55" s="1016">
        <f>C54+1</f>
        <v>24</v>
      </c>
      <c r="E55" s="979" t="s">
        <v>940</v>
      </c>
      <c r="F55" s="980"/>
      <c r="G55" s="981" t="s">
        <v>394</v>
      </c>
      <c r="H55" s="980"/>
      <c r="I55" s="974" t="s">
        <v>945</v>
      </c>
      <c r="J55" s="980"/>
      <c r="K55" s="985">
        <v>0</v>
      </c>
      <c r="L55" s="980"/>
      <c r="M55" s="985">
        <v>0</v>
      </c>
      <c r="N55" s="980"/>
      <c r="O55" s="985">
        <v>0</v>
      </c>
      <c r="P55" s="980"/>
      <c r="Q55" s="986">
        <f>M55+O55</f>
        <v>0</v>
      </c>
      <c r="R55" s="964" t="s">
        <v>166</v>
      </c>
      <c r="S55" s="964" t="s">
        <v>166</v>
      </c>
      <c r="T55" s="977"/>
    </row>
    <row r="56" spans="1:20" ht="5.15" customHeight="1">
      <c r="J56" s="980"/>
      <c r="K56" s="987"/>
      <c r="L56" s="980"/>
      <c r="M56" s="987"/>
      <c r="N56" s="980"/>
      <c r="O56" s="987"/>
      <c r="P56" s="980"/>
      <c r="Q56" s="987"/>
    </row>
    <row r="57" spans="1:20" ht="13">
      <c r="C57" s="1016">
        <f>C55+1</f>
        <v>25</v>
      </c>
      <c r="E57" s="988" t="s">
        <v>941</v>
      </c>
      <c r="J57" s="980"/>
      <c r="K57" s="976">
        <f>SUM(K51:K56)</f>
        <v>-759803</v>
      </c>
      <c r="L57" s="976"/>
      <c r="M57" s="976">
        <f>SUM(M51:M56)</f>
        <v>-621237</v>
      </c>
      <c r="N57" s="976"/>
      <c r="O57" s="976">
        <f>SUM(O51:O56)</f>
        <v>112493.58000000007</v>
      </c>
      <c r="P57" s="976"/>
      <c r="Q57" s="976">
        <f>SUM(Q51:Q56)</f>
        <v>-508743.41999999993</v>
      </c>
    </row>
    <row r="58" spans="1:20">
      <c r="J58" s="980"/>
    </row>
    <row r="59" spans="1:20" ht="13.5" thickBot="1">
      <c r="C59" s="1016">
        <f>C57+1</f>
        <v>26</v>
      </c>
      <c r="E59" s="988" t="s">
        <v>946</v>
      </c>
      <c r="K59" s="989">
        <f>K57</f>
        <v>-759803</v>
      </c>
      <c r="L59" s="976"/>
      <c r="M59" s="989">
        <f>M57</f>
        <v>-621237</v>
      </c>
      <c r="N59" s="976"/>
      <c r="O59" s="989">
        <f>O57</f>
        <v>112493.58000000007</v>
      </c>
      <c r="P59" s="976"/>
      <c r="Q59" s="989">
        <f>Q57</f>
        <v>-508743.41999999993</v>
      </c>
    </row>
    <row r="62" spans="1:20" ht="15.5">
      <c r="C62" s="1490" t="s">
        <v>949</v>
      </c>
      <c r="D62" s="1491"/>
      <c r="E62" s="1491"/>
      <c r="F62" s="1491"/>
      <c r="G62" s="1491"/>
      <c r="H62" s="1491"/>
      <c r="I62" s="1491"/>
      <c r="J62" s="1491"/>
      <c r="K62" s="1491"/>
      <c r="L62" s="1491"/>
      <c r="M62" s="1491"/>
      <c r="N62" s="1491"/>
      <c r="O62" s="1491"/>
      <c r="P62" s="1491"/>
      <c r="Q62" s="1492"/>
    </row>
    <row r="64" spans="1:20" ht="13">
      <c r="E64" s="966" t="s">
        <v>922</v>
      </c>
      <c r="F64" s="966"/>
      <c r="G64" s="966" t="s">
        <v>923</v>
      </c>
      <c r="H64" s="966"/>
      <c r="I64" s="966" t="s">
        <v>924</v>
      </c>
      <c r="J64" s="966"/>
      <c r="K64" s="966" t="s">
        <v>925</v>
      </c>
      <c r="L64" s="966"/>
      <c r="M64" s="966" t="s">
        <v>926</v>
      </c>
      <c r="N64" s="966"/>
      <c r="O64" s="966" t="s">
        <v>927</v>
      </c>
      <c r="P64" s="966"/>
      <c r="Q64" s="966" t="s">
        <v>928</v>
      </c>
    </row>
    <row r="65" spans="3:19" ht="15" customHeight="1">
      <c r="C65" s="1493" t="s">
        <v>1083</v>
      </c>
      <c r="D65" s="1318"/>
      <c r="E65" s="1495" t="s">
        <v>932</v>
      </c>
      <c r="G65" s="1497" t="s">
        <v>340</v>
      </c>
      <c r="I65" s="1497" t="s">
        <v>929</v>
      </c>
      <c r="M65" s="968" t="s">
        <v>1225</v>
      </c>
      <c r="O65" s="1499" t="s">
        <v>931</v>
      </c>
      <c r="Q65" s="968" t="s">
        <v>1273</v>
      </c>
    </row>
    <row r="66" spans="3:19" ht="25">
      <c r="C66" s="1494"/>
      <c r="D66" s="1318"/>
      <c r="E66" s="1496"/>
      <c r="F66" s="969"/>
      <c r="G66" s="1498"/>
      <c r="H66" s="969"/>
      <c r="I66" s="1498"/>
      <c r="J66" s="969"/>
      <c r="K66" s="970" t="s">
        <v>933</v>
      </c>
      <c r="M66" s="1375" t="s">
        <v>934</v>
      </c>
      <c r="O66" s="1500"/>
      <c r="Q66" s="971" t="s">
        <v>934</v>
      </c>
    </row>
    <row r="67" spans="3:19" ht="5.15" customHeight="1"/>
    <row r="68" spans="3:19">
      <c r="C68" s="1016">
        <f>C59+1</f>
        <v>27</v>
      </c>
      <c r="E68" s="979" t="s">
        <v>936</v>
      </c>
      <c r="F68" s="980"/>
      <c r="G68" s="980"/>
      <c r="H68" s="980"/>
      <c r="I68" s="980"/>
      <c r="J68" s="980"/>
      <c r="K68" s="982">
        <f>K16+K25+K34+K52</f>
        <v>-5220329.6200069413</v>
      </c>
      <c r="L68" s="983"/>
      <c r="M68" s="982">
        <f>M16+M25+M34+M52</f>
        <v>-2610165.1899965294</v>
      </c>
      <c r="N68" s="983"/>
      <c r="O68" s="982">
        <f>O16+O25+O34+O52</f>
        <v>1305082.4050017353</v>
      </c>
      <c r="P68" s="983"/>
      <c r="Q68" s="982">
        <f>M68+O68</f>
        <v>-1305082.7849947941</v>
      </c>
    </row>
    <row r="69" spans="3:19">
      <c r="C69" s="1016">
        <f>C68+1</f>
        <v>28</v>
      </c>
      <c r="E69" s="979" t="s">
        <v>938</v>
      </c>
      <c r="F69" s="980"/>
      <c r="G69" s="980"/>
      <c r="H69" s="980"/>
      <c r="I69" s="980"/>
      <c r="J69" s="980"/>
      <c r="K69" s="986">
        <f>K17+K26+K35+K53</f>
        <v>0</v>
      </c>
      <c r="L69" s="980"/>
      <c r="M69" s="986">
        <f>M17+M26+M35+M53</f>
        <v>0</v>
      </c>
      <c r="N69" s="980"/>
      <c r="O69" s="986">
        <f>O17+O26+O35+O53</f>
        <v>0</v>
      </c>
      <c r="P69" s="980"/>
      <c r="Q69" s="986">
        <f>M69+O69</f>
        <v>0</v>
      </c>
    </row>
    <row r="70" spans="3:19">
      <c r="C70" s="1016">
        <f>C69+1</f>
        <v>29</v>
      </c>
      <c r="E70" s="979" t="s">
        <v>939</v>
      </c>
      <c r="F70" s="980"/>
      <c r="G70" s="980"/>
      <c r="H70" s="980"/>
      <c r="I70" s="980"/>
      <c r="J70" s="980"/>
      <c r="K70" s="986">
        <f>K18+K27+K36+K54</f>
        <v>-109167720.17185521</v>
      </c>
      <c r="L70" s="980"/>
      <c r="M70" s="986">
        <f>M18+M27+M36+M54</f>
        <v>-90027126.174437493</v>
      </c>
      <c r="N70" s="980"/>
      <c r="O70" s="986">
        <f>O18+O27+O36+O54</f>
        <v>9418256.9127812535</v>
      </c>
      <c r="P70" s="980"/>
      <c r="Q70" s="986">
        <f>M70+O70</f>
        <v>-80608869.26165624</v>
      </c>
    </row>
    <row r="71" spans="3:19">
      <c r="C71" s="1016">
        <f>C70+1</f>
        <v>30</v>
      </c>
      <c r="E71" s="979" t="s">
        <v>940</v>
      </c>
      <c r="F71" s="980"/>
      <c r="G71" s="980"/>
      <c r="H71" s="980"/>
      <c r="I71" s="980"/>
      <c r="J71" s="980"/>
      <c r="K71" s="986">
        <f>K19+K28+K37+K55</f>
        <v>-1259450.4739000001</v>
      </c>
      <c r="L71" s="980"/>
      <c r="M71" s="986">
        <f>M19+M28+M37+M55</f>
        <v>-629724.76304999995</v>
      </c>
      <c r="N71" s="980"/>
      <c r="O71" s="986">
        <f>O19+O28+O37+O55</f>
        <v>314862.61847500002</v>
      </c>
      <c r="P71" s="980"/>
      <c r="Q71" s="986">
        <f>M71+O71</f>
        <v>-314862.14457499993</v>
      </c>
    </row>
    <row r="72" spans="3:19" ht="5.15" customHeight="1">
      <c r="E72" s="980"/>
      <c r="F72" s="980"/>
      <c r="G72" s="980"/>
      <c r="H72" s="980"/>
      <c r="I72" s="980"/>
      <c r="J72" s="980"/>
      <c r="L72" s="980"/>
      <c r="N72" s="980"/>
      <c r="P72" s="980"/>
      <c r="Q72" s="987"/>
    </row>
    <row r="73" spans="3:19" ht="13">
      <c r="C73" s="1016">
        <f>C71+1</f>
        <v>31</v>
      </c>
      <c r="E73" s="988" t="s">
        <v>946</v>
      </c>
      <c r="G73" s="964" t="s">
        <v>1188</v>
      </c>
      <c r="K73" s="993">
        <f>SUM(K68:K72)</f>
        <v>-115647500.26576217</v>
      </c>
      <c r="L73" s="976"/>
      <c r="M73" s="993">
        <f>SUM(M68:M72)</f>
        <v>-93267016.127484024</v>
      </c>
      <c r="N73" s="976"/>
      <c r="O73" s="993">
        <f>SUM(O68:O72)</f>
        <v>11038201.936257988</v>
      </c>
      <c r="P73" s="976"/>
      <c r="Q73" s="993">
        <f>SUM(Q68:Q72)</f>
        <v>-82228814.191226035</v>
      </c>
    </row>
    <row r="74" spans="3:19" ht="5.15" customHeight="1"/>
    <row r="75" spans="3:19">
      <c r="C75" s="1016">
        <f>C73+1</f>
        <v>32</v>
      </c>
      <c r="E75" s="994" t="s">
        <v>1159</v>
      </c>
      <c r="G75" s="964" t="s">
        <v>1158</v>
      </c>
      <c r="K75" s="995">
        <f>'ATT H-2A'!$H$232</f>
        <v>1.3796433621908735</v>
      </c>
      <c r="M75" s="995">
        <f>'ATT H-2A'!$H$232</f>
        <v>1.3796433621908735</v>
      </c>
      <c r="O75" s="995">
        <f>'ATT H-2A'!$H$232</f>
        <v>1.3796433621908735</v>
      </c>
      <c r="Q75" s="995">
        <f>'ATT H-2A'!$H$232</f>
        <v>1.3796433621908735</v>
      </c>
    </row>
    <row r="76" spans="3:19" ht="5.15" customHeight="1"/>
    <row r="77" spans="3:19" ht="13.5" thickBot="1">
      <c r="C77" s="1016">
        <f>C75+1</f>
        <v>33</v>
      </c>
      <c r="E77" s="988" t="s">
        <v>950</v>
      </c>
      <c r="K77" s="992">
        <f>K73*K75</f>
        <v>-159552306.09562606</v>
      </c>
      <c r="L77" s="976"/>
      <c r="M77" s="992">
        <f>M73*M75</f>
        <v>-128675219.71163248</v>
      </c>
      <c r="N77" s="976"/>
      <c r="O77" s="992">
        <f>O73*O75</f>
        <v>15228782.031880781</v>
      </c>
      <c r="P77" s="976"/>
      <c r="Q77" s="992">
        <f>Q73*Q75</f>
        <v>-113446437.67975169</v>
      </c>
      <c r="S77" s="996"/>
    </row>
    <row r="78" spans="3:19" ht="13" thickTop="1"/>
    <row r="80" spans="3:19" ht="15.5">
      <c r="C80" s="1490" t="s">
        <v>951</v>
      </c>
      <c r="D80" s="1491"/>
      <c r="E80" s="1491"/>
      <c r="F80" s="1491"/>
      <c r="G80" s="1491"/>
      <c r="H80" s="1491"/>
      <c r="I80" s="1491"/>
      <c r="J80" s="1491"/>
      <c r="K80" s="1491"/>
      <c r="L80" s="1491"/>
      <c r="M80" s="1491"/>
      <c r="N80" s="1491"/>
      <c r="O80" s="1491"/>
      <c r="P80" s="1491"/>
      <c r="Q80" s="1492"/>
    </row>
    <row r="82" spans="3:17" ht="13">
      <c r="E82" s="966" t="s">
        <v>922</v>
      </c>
      <c r="F82" s="966"/>
      <c r="G82" s="966" t="s">
        <v>923</v>
      </c>
      <c r="H82" s="966"/>
      <c r="I82" s="966" t="s">
        <v>924</v>
      </c>
      <c r="J82" s="966"/>
      <c r="K82" s="966" t="s">
        <v>925</v>
      </c>
      <c r="L82" s="966"/>
      <c r="M82" s="966" t="s">
        <v>926</v>
      </c>
      <c r="N82" s="966"/>
      <c r="O82" s="966" t="s">
        <v>927</v>
      </c>
      <c r="P82" s="966"/>
      <c r="Q82" s="966" t="s">
        <v>928</v>
      </c>
    </row>
    <row r="83" spans="3:17">
      <c r="C83" s="1485" t="s">
        <v>1083</v>
      </c>
      <c r="E83" s="1487" t="s">
        <v>952</v>
      </c>
      <c r="G83" s="1502" t="s">
        <v>340</v>
      </c>
      <c r="H83" s="1502"/>
      <c r="I83" s="1502"/>
      <c r="K83" s="967"/>
      <c r="M83" s="968" t="s">
        <v>1225</v>
      </c>
      <c r="Q83" s="968" t="s">
        <v>1273</v>
      </c>
    </row>
    <row r="84" spans="3:17" ht="25">
      <c r="C84" s="1486"/>
      <c r="E84" s="1488"/>
      <c r="G84" s="1503"/>
      <c r="H84" s="1503"/>
      <c r="I84" s="1503"/>
      <c r="J84" s="969"/>
      <c r="K84" s="970" t="s">
        <v>933</v>
      </c>
      <c r="M84" s="1375" t="s">
        <v>934</v>
      </c>
      <c r="N84" s="980"/>
      <c r="O84" s="971" t="s">
        <v>931</v>
      </c>
      <c r="P84" s="980"/>
      <c r="Q84" s="971" t="s">
        <v>934</v>
      </c>
    </row>
    <row r="85" spans="3:17" ht="5.15" customHeight="1">
      <c r="N85" s="980"/>
      <c r="P85" s="980"/>
    </row>
    <row r="86" spans="3:17">
      <c r="C86" s="1016">
        <f>C77+1</f>
        <v>34</v>
      </c>
      <c r="E86" s="979" t="s">
        <v>953</v>
      </c>
      <c r="F86" s="980"/>
      <c r="G86" s="980"/>
      <c r="H86" s="980"/>
      <c r="I86" s="980"/>
      <c r="J86" s="980"/>
      <c r="K86" s="982">
        <v>0</v>
      </c>
      <c r="L86" s="983"/>
      <c r="M86" s="982">
        <v>0</v>
      </c>
      <c r="N86" s="983"/>
      <c r="O86" s="982">
        <v>0</v>
      </c>
      <c r="P86" s="983"/>
      <c r="Q86" s="982">
        <f>M86+O86</f>
        <v>0</v>
      </c>
    </row>
    <row r="87" spans="3:17">
      <c r="C87" s="1016">
        <f>C86+1</f>
        <v>35</v>
      </c>
      <c r="E87" s="979" t="s">
        <v>954</v>
      </c>
      <c r="F87" s="980"/>
      <c r="G87" s="980"/>
      <c r="H87" s="980"/>
      <c r="I87" s="980"/>
      <c r="J87" s="980"/>
      <c r="K87" s="986">
        <f>K77</f>
        <v>-159552306.09562606</v>
      </c>
      <c r="L87" s="980"/>
      <c r="M87" s="986">
        <f>M77</f>
        <v>-128675219.71163248</v>
      </c>
      <c r="N87" s="980"/>
      <c r="O87" s="986">
        <f>O77</f>
        <v>15228782.031880781</v>
      </c>
      <c r="P87" s="980"/>
      <c r="Q87" s="985">
        <f>M87+O87</f>
        <v>-113446437.67975169</v>
      </c>
    </row>
    <row r="88" spans="3:17" ht="5.15" customHeight="1">
      <c r="K88" s="987"/>
      <c r="L88" s="980"/>
      <c r="M88" s="987"/>
      <c r="N88" s="980"/>
      <c r="O88" s="987"/>
      <c r="P88" s="980"/>
      <c r="Q88" s="987"/>
    </row>
    <row r="89" spans="3:17" ht="13">
      <c r="C89" s="1016">
        <f>C87+1</f>
        <v>36</v>
      </c>
      <c r="E89" s="988" t="s">
        <v>955</v>
      </c>
      <c r="K89" s="976">
        <f>SUM(K86:K88)</f>
        <v>-159552306.09562606</v>
      </c>
      <c r="L89" s="976"/>
      <c r="M89" s="976">
        <f>SUM(M86:M88)</f>
        <v>-128675219.71163248</v>
      </c>
      <c r="N89" s="983"/>
      <c r="O89" s="976">
        <f>SUM(O86:O88)</f>
        <v>15228782.031880781</v>
      </c>
      <c r="P89" s="983"/>
      <c r="Q89" s="976">
        <f>SUM(Q86:Q88)</f>
        <v>-113446437.67975169</v>
      </c>
    </row>
    <row r="90" spans="3:17">
      <c r="N90" s="980"/>
      <c r="P90" s="980"/>
    </row>
    <row r="91" spans="3:17">
      <c r="N91" s="980"/>
      <c r="P91" s="980"/>
    </row>
    <row r="93" spans="3:17" ht="15.5">
      <c r="C93" s="1489" t="s">
        <v>956</v>
      </c>
      <c r="D93" s="1489"/>
      <c r="E93" s="1489"/>
      <c r="F93" s="1489"/>
      <c r="G93" s="1489"/>
      <c r="H93" s="1489"/>
      <c r="I93" s="1489"/>
      <c r="J93" s="1489"/>
      <c r="K93" s="1489"/>
      <c r="L93" s="1489"/>
      <c r="M93" s="1489"/>
      <c r="N93" s="1489"/>
      <c r="O93" s="1489"/>
      <c r="P93" s="1489"/>
      <c r="Q93" s="1489"/>
    </row>
    <row r="95" spans="3:17" ht="15.5">
      <c r="C95" s="1490" t="s">
        <v>957</v>
      </c>
      <c r="D95" s="1491"/>
      <c r="E95" s="1491"/>
      <c r="F95" s="1491"/>
      <c r="G95" s="1491"/>
      <c r="H95" s="1491"/>
      <c r="I95" s="1491"/>
      <c r="J95" s="1491"/>
      <c r="K95" s="1491"/>
      <c r="L95" s="1491"/>
      <c r="M95" s="1491"/>
      <c r="N95" s="1491"/>
      <c r="O95" s="1491"/>
      <c r="P95" s="1491"/>
      <c r="Q95" s="1492"/>
    </row>
    <row r="97" spans="1:17" ht="13">
      <c r="E97" s="966" t="s">
        <v>922</v>
      </c>
      <c r="F97" s="966"/>
      <c r="G97" s="966" t="s">
        <v>923</v>
      </c>
      <c r="H97" s="966"/>
      <c r="I97" s="966" t="s">
        <v>924</v>
      </c>
      <c r="J97" s="966"/>
      <c r="K97" s="966" t="s">
        <v>925</v>
      </c>
      <c r="L97" s="966"/>
      <c r="M97" s="966" t="s">
        <v>926</v>
      </c>
      <c r="N97" s="966"/>
      <c r="O97" s="966" t="s">
        <v>927</v>
      </c>
      <c r="P97" s="966"/>
      <c r="Q97" s="966" t="s">
        <v>928</v>
      </c>
    </row>
    <row r="98" spans="1:17" ht="15" customHeight="1">
      <c r="C98" s="1493" t="s">
        <v>1083</v>
      </c>
      <c r="D98" s="1318"/>
      <c r="E98" s="1495" t="s">
        <v>932</v>
      </c>
      <c r="G98" s="1497" t="s">
        <v>340</v>
      </c>
      <c r="I98" s="1497" t="s">
        <v>929</v>
      </c>
      <c r="K98" s="967"/>
      <c r="M98" s="968" t="s">
        <v>1225</v>
      </c>
      <c r="O98" s="1499" t="s">
        <v>931</v>
      </c>
      <c r="Q98" s="968" t="s">
        <v>1273</v>
      </c>
    </row>
    <row r="99" spans="1:17" ht="25">
      <c r="C99" s="1494"/>
      <c r="D99" s="1318"/>
      <c r="E99" s="1496"/>
      <c r="F99" s="969"/>
      <c r="G99" s="1498"/>
      <c r="H99" s="969"/>
      <c r="I99" s="1498"/>
      <c r="J99" s="969"/>
      <c r="K99" s="970" t="s">
        <v>933</v>
      </c>
      <c r="M99" s="1375" t="s">
        <v>934</v>
      </c>
      <c r="O99" s="1500"/>
      <c r="Q99" s="971" t="s">
        <v>934</v>
      </c>
    </row>
    <row r="100" spans="1:17" ht="5.15" customHeight="1"/>
    <row r="101" spans="1:17" ht="13">
      <c r="A101" s="972"/>
      <c r="B101" s="972"/>
      <c r="C101" s="1016">
        <f>C89+1</f>
        <v>37</v>
      </c>
      <c r="D101" s="972"/>
      <c r="E101" s="973" t="s">
        <v>935</v>
      </c>
      <c r="F101" s="972"/>
      <c r="G101" s="974"/>
      <c r="H101" s="972"/>
      <c r="I101" s="974"/>
      <c r="J101" s="972"/>
      <c r="K101" s="975"/>
      <c r="M101" s="976"/>
      <c r="O101" s="977"/>
      <c r="Q101" s="978"/>
    </row>
    <row r="102" spans="1:17" ht="5.15" customHeight="1">
      <c r="C102" s="1016"/>
    </row>
    <row r="103" spans="1:17">
      <c r="C103" s="1016">
        <f>C101+1</f>
        <v>38</v>
      </c>
      <c r="E103" s="979" t="s">
        <v>936</v>
      </c>
      <c r="F103" s="980"/>
      <c r="G103" s="981"/>
      <c r="H103" s="980"/>
      <c r="I103" s="974" t="s">
        <v>937</v>
      </c>
      <c r="J103" s="980"/>
      <c r="K103" s="982">
        <v>0</v>
      </c>
      <c r="L103" s="983"/>
      <c r="M103" s="982">
        <v>0</v>
      </c>
      <c r="N103" s="983"/>
      <c r="O103" s="982">
        <v>0</v>
      </c>
      <c r="P103" s="983"/>
      <c r="Q103" s="982">
        <f>M103+O103</f>
        <v>0</v>
      </c>
    </row>
    <row r="104" spans="1:17">
      <c r="C104" s="1016">
        <f>C103+1</f>
        <v>39</v>
      </c>
      <c r="E104" s="979" t="s">
        <v>938</v>
      </c>
      <c r="F104" s="980"/>
      <c r="G104" s="981"/>
      <c r="H104" s="980"/>
      <c r="I104" s="974" t="s">
        <v>937</v>
      </c>
      <c r="J104" s="980"/>
      <c r="K104" s="985">
        <v>0</v>
      </c>
      <c r="L104" s="980"/>
      <c r="M104" s="985">
        <v>0</v>
      </c>
      <c r="N104" s="980"/>
      <c r="O104" s="985">
        <v>0</v>
      </c>
      <c r="P104" s="980"/>
      <c r="Q104" s="986">
        <f>M104+O104</f>
        <v>0</v>
      </c>
    </row>
    <row r="105" spans="1:17">
      <c r="C105" s="1016">
        <f>C104+1</f>
        <v>40</v>
      </c>
      <c r="E105" s="979" t="s">
        <v>939</v>
      </c>
      <c r="F105" s="980"/>
      <c r="G105" s="981"/>
      <c r="H105" s="980"/>
      <c r="I105" s="974" t="s">
        <v>937</v>
      </c>
      <c r="J105" s="980"/>
      <c r="K105" s="985">
        <v>0</v>
      </c>
      <c r="L105" s="980"/>
      <c r="M105" s="985">
        <v>0</v>
      </c>
      <c r="N105" s="980"/>
      <c r="O105" s="985">
        <v>0</v>
      </c>
      <c r="P105" s="980"/>
      <c r="Q105" s="986">
        <f>M105+O105</f>
        <v>0</v>
      </c>
    </row>
    <row r="106" spans="1:17">
      <c r="C106" s="1016">
        <f>C105+1</f>
        <v>41</v>
      </c>
      <c r="E106" s="979" t="s">
        <v>940</v>
      </c>
      <c r="F106" s="980"/>
      <c r="G106" s="981"/>
      <c r="H106" s="980"/>
      <c r="I106" s="974" t="s">
        <v>937</v>
      </c>
      <c r="J106" s="980"/>
      <c r="K106" s="985">
        <v>0</v>
      </c>
      <c r="L106" s="980"/>
      <c r="M106" s="985">
        <v>0</v>
      </c>
      <c r="N106" s="980"/>
      <c r="O106" s="985">
        <v>0</v>
      </c>
      <c r="P106" s="980"/>
      <c r="Q106" s="986">
        <f>M106+O106</f>
        <v>0</v>
      </c>
    </row>
    <row r="107" spans="1:17" ht="5.15" customHeight="1">
      <c r="G107" s="980"/>
      <c r="K107" s="987"/>
      <c r="L107" s="980"/>
      <c r="M107" s="987"/>
      <c r="N107" s="980"/>
      <c r="O107" s="987"/>
      <c r="P107" s="980"/>
      <c r="Q107" s="987"/>
    </row>
    <row r="108" spans="1:17" ht="13">
      <c r="C108" s="1016">
        <f>C106+1</f>
        <v>42</v>
      </c>
      <c r="E108" s="988" t="s">
        <v>941</v>
      </c>
      <c r="G108" s="980"/>
      <c r="K108" s="976">
        <f>SUM(K102:K107)</f>
        <v>0</v>
      </c>
      <c r="L108" s="976"/>
      <c r="M108" s="976">
        <f>SUM(M102:M107)</f>
        <v>0</v>
      </c>
      <c r="N108" s="983"/>
      <c r="O108" s="976">
        <f>SUM(O102:O107)</f>
        <v>0</v>
      </c>
      <c r="P108" s="976"/>
      <c r="Q108" s="976">
        <f>SUM(Q102:Q107)</f>
        <v>0</v>
      </c>
    </row>
    <row r="110" spans="1:17" ht="13">
      <c r="A110" s="972"/>
      <c r="B110" s="972"/>
      <c r="C110" s="1016">
        <f>C108+1</f>
        <v>43</v>
      </c>
      <c r="D110" s="972"/>
      <c r="E110" s="973" t="s">
        <v>942</v>
      </c>
      <c r="F110" s="972"/>
      <c r="G110" s="974"/>
      <c r="H110" s="972"/>
      <c r="I110" s="974"/>
      <c r="J110" s="972"/>
      <c r="K110" s="975"/>
      <c r="M110" s="976"/>
      <c r="O110" s="977"/>
      <c r="Q110" s="978"/>
    </row>
    <row r="111" spans="1:17" ht="5.15" customHeight="1">
      <c r="L111" s="980"/>
    </row>
    <row r="112" spans="1:17">
      <c r="C112" s="1016">
        <f>C110+1</f>
        <v>44</v>
      </c>
      <c r="E112" s="979" t="s">
        <v>936</v>
      </c>
      <c r="F112" s="980"/>
      <c r="G112" s="981"/>
      <c r="H112" s="980"/>
      <c r="I112" s="974" t="s">
        <v>943</v>
      </c>
      <c r="J112" s="980"/>
      <c r="K112" s="982">
        <v>0</v>
      </c>
      <c r="L112" s="983"/>
      <c r="M112" s="982">
        <v>0</v>
      </c>
      <c r="N112" s="976"/>
      <c r="O112" s="982">
        <v>0</v>
      </c>
      <c r="P112" s="976"/>
      <c r="Q112" s="982">
        <f>M112+O112</f>
        <v>0</v>
      </c>
    </row>
    <row r="113" spans="1:17">
      <c r="C113" s="1016">
        <f>C112+1</f>
        <v>45</v>
      </c>
      <c r="E113" s="979" t="s">
        <v>938</v>
      </c>
      <c r="F113" s="980"/>
      <c r="G113" s="981"/>
      <c r="H113" s="980"/>
      <c r="I113" s="974" t="s">
        <v>943</v>
      </c>
      <c r="J113" s="980"/>
      <c r="K113" s="985">
        <v>0</v>
      </c>
      <c r="L113" s="980"/>
      <c r="M113" s="985">
        <v>0</v>
      </c>
      <c r="O113" s="985">
        <v>0</v>
      </c>
      <c r="Q113" s="986">
        <f>M113+O113</f>
        <v>0</v>
      </c>
    </row>
    <row r="114" spans="1:17">
      <c r="C114" s="1016">
        <f>C113+1</f>
        <v>46</v>
      </c>
      <c r="E114" s="979" t="s">
        <v>939</v>
      </c>
      <c r="F114" s="980"/>
      <c r="G114" s="981"/>
      <c r="H114" s="980"/>
      <c r="I114" s="974" t="s">
        <v>943</v>
      </c>
      <c r="J114" s="980"/>
      <c r="K114" s="985">
        <v>0</v>
      </c>
      <c r="L114" s="980"/>
      <c r="M114" s="985">
        <v>0</v>
      </c>
      <c r="O114" s="985">
        <v>0</v>
      </c>
      <c r="Q114" s="986">
        <f>M114+O114</f>
        <v>0</v>
      </c>
    </row>
    <row r="115" spans="1:17">
      <c r="C115" s="1016">
        <f>C114+1</f>
        <v>47</v>
      </c>
      <c r="E115" s="979" t="s">
        <v>940</v>
      </c>
      <c r="F115" s="980"/>
      <c r="G115" s="981"/>
      <c r="H115" s="980"/>
      <c r="I115" s="974" t="s">
        <v>943</v>
      </c>
      <c r="J115" s="980"/>
      <c r="K115" s="985">
        <v>0</v>
      </c>
      <c r="L115" s="980"/>
      <c r="M115" s="985">
        <v>0</v>
      </c>
      <c r="O115" s="985">
        <v>0</v>
      </c>
      <c r="Q115" s="986">
        <f>M115+O115</f>
        <v>0</v>
      </c>
    </row>
    <row r="116" spans="1:17" ht="5.15" customHeight="1">
      <c r="K116" s="987"/>
      <c r="L116" s="980"/>
      <c r="M116" s="987"/>
      <c r="O116" s="987"/>
      <c r="Q116" s="987"/>
    </row>
    <row r="117" spans="1:17" ht="13">
      <c r="C117" s="1016">
        <f>C115+1</f>
        <v>48</v>
      </c>
      <c r="E117" s="988" t="s">
        <v>941</v>
      </c>
      <c r="K117" s="976">
        <f>SUM(K111:K116)</f>
        <v>0</v>
      </c>
      <c r="L117" s="983"/>
      <c r="M117" s="976">
        <f>SUM(M111:M116)</f>
        <v>0</v>
      </c>
      <c r="N117" s="976"/>
      <c r="O117" s="976">
        <f>SUM(O111:O116)</f>
        <v>0</v>
      </c>
      <c r="P117" s="976"/>
      <c r="Q117" s="976">
        <f>SUM(Q111:Q116)</f>
        <v>0</v>
      </c>
    </row>
    <row r="118" spans="1:17">
      <c r="L118" s="980"/>
    </row>
    <row r="119" spans="1:17" ht="13">
      <c r="A119" s="972"/>
      <c r="B119" s="972"/>
      <c r="C119" s="1016">
        <f>C117+1</f>
        <v>49</v>
      </c>
      <c r="D119" s="972"/>
      <c r="E119" s="973" t="s">
        <v>944</v>
      </c>
      <c r="F119" s="972"/>
      <c r="G119" s="974"/>
      <c r="H119" s="972"/>
      <c r="I119" s="974"/>
      <c r="J119" s="972"/>
      <c r="K119" s="975"/>
      <c r="M119" s="976"/>
      <c r="N119" s="980"/>
      <c r="O119" s="977"/>
      <c r="Q119" s="978"/>
    </row>
    <row r="120" spans="1:17" ht="5.15" customHeight="1">
      <c r="N120" s="980"/>
    </row>
    <row r="121" spans="1:17">
      <c r="C121" s="1016">
        <f>C119+1</f>
        <v>50</v>
      </c>
      <c r="E121" s="979" t="s">
        <v>936</v>
      </c>
      <c r="F121" s="980"/>
      <c r="G121" s="981"/>
      <c r="H121" s="980"/>
      <c r="I121" s="974" t="s">
        <v>958</v>
      </c>
      <c r="J121" s="980"/>
      <c r="K121" s="982">
        <v>0</v>
      </c>
      <c r="L121" s="980"/>
      <c r="M121" s="985">
        <v>0</v>
      </c>
      <c r="N121" s="980"/>
      <c r="O121" s="985">
        <v>0</v>
      </c>
      <c r="Q121" s="986">
        <f>M121+O121</f>
        <v>0</v>
      </c>
    </row>
    <row r="122" spans="1:17">
      <c r="C122" s="1016">
        <f>C121+1</f>
        <v>51</v>
      </c>
      <c r="E122" s="979" t="s">
        <v>938</v>
      </c>
      <c r="F122" s="980"/>
      <c r="G122" s="981"/>
      <c r="H122" s="980"/>
      <c r="I122" s="974" t="s">
        <v>958</v>
      </c>
      <c r="J122" s="980"/>
      <c r="K122" s="985">
        <v>0</v>
      </c>
      <c r="L122" s="980"/>
      <c r="M122" s="985">
        <v>0</v>
      </c>
      <c r="N122" s="980"/>
      <c r="O122" s="985">
        <v>0</v>
      </c>
      <c r="Q122" s="986">
        <f>M122+O122</f>
        <v>0</v>
      </c>
    </row>
    <row r="123" spans="1:17">
      <c r="C123" s="1016">
        <f>C122+1</f>
        <v>52</v>
      </c>
      <c r="E123" s="979" t="s">
        <v>939</v>
      </c>
      <c r="F123" s="980"/>
      <c r="G123" s="981"/>
      <c r="H123" s="980"/>
      <c r="I123" s="974" t="s">
        <v>958</v>
      </c>
      <c r="J123" s="980"/>
      <c r="K123" s="985">
        <v>0</v>
      </c>
      <c r="L123" s="980"/>
      <c r="M123" s="985">
        <v>0</v>
      </c>
      <c r="N123" s="980"/>
      <c r="O123" s="985">
        <v>0</v>
      </c>
      <c r="Q123" s="986">
        <f>M123+O123</f>
        <v>0</v>
      </c>
    </row>
    <row r="124" spans="1:17">
      <c r="C124" s="1016">
        <f>C123+1</f>
        <v>53</v>
      </c>
      <c r="E124" s="979" t="s">
        <v>940</v>
      </c>
      <c r="F124" s="980"/>
      <c r="G124" s="981"/>
      <c r="H124" s="980"/>
      <c r="I124" s="974" t="s">
        <v>958</v>
      </c>
      <c r="J124" s="980"/>
      <c r="K124" s="985">
        <v>0</v>
      </c>
      <c r="L124" s="980"/>
      <c r="M124" s="985">
        <v>0</v>
      </c>
      <c r="N124" s="980"/>
      <c r="O124" s="985">
        <v>0</v>
      </c>
      <c r="Q124" s="986">
        <f>M124+O124</f>
        <v>0</v>
      </c>
    </row>
    <row r="125" spans="1:17" ht="5.15" customHeight="1">
      <c r="K125" s="987"/>
      <c r="L125" s="980"/>
      <c r="M125" s="987"/>
      <c r="N125" s="980"/>
      <c r="O125" s="987"/>
      <c r="Q125" s="987"/>
    </row>
    <row r="126" spans="1:17" ht="13">
      <c r="C126" s="1016">
        <f>C124+1</f>
        <v>54</v>
      </c>
      <c r="E126" s="988" t="s">
        <v>941</v>
      </c>
      <c r="K126" s="976">
        <f>SUM(K120:K125)</f>
        <v>0</v>
      </c>
      <c r="L126" s="983"/>
      <c r="M126" s="976">
        <f>SUM(M120:M125)</f>
        <v>0</v>
      </c>
      <c r="N126" s="983"/>
      <c r="O126" s="976">
        <f>SUM(O120:O125)</f>
        <v>0</v>
      </c>
      <c r="P126" s="976"/>
      <c r="Q126" s="976">
        <f>SUM(Q120:Q125)</f>
        <v>0</v>
      </c>
    </row>
    <row r="127" spans="1:17">
      <c r="N127" s="980"/>
    </row>
    <row r="128" spans="1:17" ht="13.5" thickBot="1">
      <c r="C128" s="1016">
        <f>C126+1</f>
        <v>55</v>
      </c>
      <c r="E128" s="988" t="s">
        <v>946</v>
      </c>
      <c r="K128" s="989">
        <f>K108+K117+K126</f>
        <v>0</v>
      </c>
      <c r="L128" s="976"/>
      <c r="M128" s="989">
        <f>M108+M117+M126</f>
        <v>0</v>
      </c>
      <c r="N128" s="976"/>
      <c r="O128" s="989">
        <f>O108+O117+O126</f>
        <v>0</v>
      </c>
      <c r="P128" s="976"/>
      <c r="Q128" s="989">
        <f>Q108+Q117+Q126</f>
        <v>0</v>
      </c>
    </row>
    <row r="131" spans="3:17" ht="15.5">
      <c r="C131" s="1490" t="s">
        <v>959</v>
      </c>
      <c r="D131" s="1491"/>
      <c r="E131" s="1491"/>
      <c r="F131" s="1491"/>
      <c r="G131" s="1491"/>
      <c r="H131" s="1491"/>
      <c r="I131" s="1491"/>
      <c r="J131" s="1491"/>
      <c r="K131" s="1491"/>
      <c r="L131" s="1491"/>
      <c r="M131" s="1491"/>
      <c r="N131" s="1491"/>
      <c r="O131" s="1491"/>
      <c r="P131" s="1491"/>
      <c r="Q131" s="1492"/>
    </row>
    <row r="133" spans="3:17" ht="13">
      <c r="E133" s="966" t="s">
        <v>922</v>
      </c>
      <c r="F133" s="966"/>
      <c r="G133" s="966" t="s">
        <v>923</v>
      </c>
      <c r="H133" s="966"/>
      <c r="I133" s="966" t="s">
        <v>924</v>
      </c>
      <c r="J133" s="966"/>
      <c r="K133" s="966" t="s">
        <v>925</v>
      </c>
      <c r="L133" s="966"/>
      <c r="M133" s="966" t="s">
        <v>926</v>
      </c>
      <c r="N133" s="966"/>
      <c r="O133" s="966" t="s">
        <v>927</v>
      </c>
      <c r="P133" s="966"/>
      <c r="Q133" s="966" t="s">
        <v>928</v>
      </c>
    </row>
    <row r="134" spans="3:17" ht="15" customHeight="1">
      <c r="C134" s="1493" t="s">
        <v>1083</v>
      </c>
      <c r="D134" s="1318"/>
      <c r="E134" s="1495" t="s">
        <v>932</v>
      </c>
      <c r="G134" s="1497" t="s">
        <v>340</v>
      </c>
      <c r="I134" s="1497" t="s">
        <v>929</v>
      </c>
      <c r="M134" s="968" t="s">
        <v>1225</v>
      </c>
      <c r="O134" s="1499" t="s">
        <v>931</v>
      </c>
      <c r="Q134" s="968" t="s">
        <v>1273</v>
      </c>
    </row>
    <row r="135" spans="3:17" ht="25">
      <c r="C135" s="1494"/>
      <c r="D135" s="1318"/>
      <c r="E135" s="1496"/>
      <c r="F135" s="969"/>
      <c r="G135" s="1498"/>
      <c r="H135" s="969"/>
      <c r="I135" s="1498"/>
      <c r="J135" s="969"/>
      <c r="K135" s="970" t="s">
        <v>933</v>
      </c>
      <c r="M135" s="1375" t="s">
        <v>934</v>
      </c>
      <c r="O135" s="1500"/>
      <c r="Q135" s="971" t="s">
        <v>934</v>
      </c>
    </row>
    <row r="136" spans="3:17" ht="5.15" customHeight="1"/>
    <row r="137" spans="3:17">
      <c r="C137" s="1016">
        <f>C128+1</f>
        <v>56</v>
      </c>
      <c r="E137" s="979" t="s">
        <v>936</v>
      </c>
      <c r="F137" s="980"/>
      <c r="G137" s="980"/>
      <c r="H137" s="980"/>
      <c r="I137" s="980"/>
      <c r="J137" s="980"/>
      <c r="K137" s="982">
        <f>K103+K112+K121</f>
        <v>0</v>
      </c>
      <c r="L137" s="983"/>
      <c r="M137" s="982">
        <f>M103+M112+M121</f>
        <v>0</v>
      </c>
      <c r="N137" s="983"/>
      <c r="O137" s="982">
        <f>O103+O112+O121</f>
        <v>0</v>
      </c>
      <c r="P137" s="983"/>
      <c r="Q137" s="982">
        <f>M137+O137</f>
        <v>0</v>
      </c>
    </row>
    <row r="138" spans="3:17">
      <c r="C138" s="1016">
        <f>C137+1</f>
        <v>57</v>
      </c>
      <c r="E138" s="979" t="s">
        <v>938</v>
      </c>
      <c r="F138" s="980"/>
      <c r="G138" s="980"/>
      <c r="H138" s="980"/>
      <c r="I138" s="980"/>
      <c r="J138" s="980"/>
      <c r="K138" s="985">
        <f>K104+K113+K122</f>
        <v>0</v>
      </c>
      <c r="L138" s="980"/>
      <c r="M138" s="985">
        <f>M104+M113+M122</f>
        <v>0</v>
      </c>
      <c r="N138" s="980"/>
      <c r="O138" s="985">
        <f>O104+O113+O122</f>
        <v>0</v>
      </c>
      <c r="P138" s="980"/>
      <c r="Q138" s="985">
        <f t="shared" ref="Q138:Q140" si="0">M138+O138</f>
        <v>0</v>
      </c>
    </row>
    <row r="139" spans="3:17">
      <c r="C139" s="1016">
        <f>C138+1</f>
        <v>58</v>
      </c>
      <c r="E139" s="979" t="s">
        <v>939</v>
      </c>
      <c r="F139" s="980"/>
      <c r="G139" s="980"/>
      <c r="H139" s="980"/>
      <c r="I139" s="980"/>
      <c r="J139" s="980"/>
      <c r="K139" s="985">
        <f>K105+K114+K123</f>
        <v>0</v>
      </c>
      <c r="L139" s="980"/>
      <c r="M139" s="985">
        <f>M105+M114+M123</f>
        <v>0</v>
      </c>
      <c r="N139" s="980"/>
      <c r="O139" s="985">
        <f>O105+O114+O123</f>
        <v>0</v>
      </c>
      <c r="P139" s="980"/>
      <c r="Q139" s="985">
        <f t="shared" si="0"/>
        <v>0</v>
      </c>
    </row>
    <row r="140" spans="3:17">
      <c r="C140" s="1016">
        <f>C139+1</f>
        <v>59</v>
      </c>
      <c r="E140" s="979" t="s">
        <v>940</v>
      </c>
      <c r="F140" s="980"/>
      <c r="G140" s="980"/>
      <c r="H140" s="980"/>
      <c r="I140" s="980"/>
      <c r="J140" s="980"/>
      <c r="K140" s="985">
        <f>K106+K115+K124</f>
        <v>0</v>
      </c>
      <c r="L140" s="980"/>
      <c r="M140" s="985">
        <f>M106+M115+M124</f>
        <v>0</v>
      </c>
      <c r="N140" s="980"/>
      <c r="O140" s="985">
        <f>O106+O115+O124</f>
        <v>0</v>
      </c>
      <c r="P140" s="980"/>
      <c r="Q140" s="985">
        <f t="shared" si="0"/>
        <v>0</v>
      </c>
    </row>
    <row r="141" spans="3:17" ht="5.15" customHeight="1">
      <c r="E141" s="980"/>
      <c r="F141" s="980"/>
      <c r="G141" s="980"/>
      <c r="H141" s="980"/>
      <c r="I141" s="980"/>
      <c r="J141" s="980"/>
      <c r="L141" s="980"/>
      <c r="N141" s="980"/>
      <c r="P141" s="980"/>
      <c r="Q141" s="987"/>
    </row>
    <row r="142" spans="3:17" ht="13">
      <c r="C142" s="1016">
        <f>C140+1</f>
        <v>60</v>
      </c>
      <c r="E142" s="988" t="s">
        <v>946</v>
      </c>
      <c r="G142" s="964" t="s">
        <v>1187</v>
      </c>
      <c r="K142" s="993">
        <f>SUM(K137:K141)</f>
        <v>0</v>
      </c>
      <c r="L142" s="976"/>
      <c r="M142" s="993">
        <f>SUM(M137:M141)</f>
        <v>0</v>
      </c>
      <c r="N142" s="976"/>
      <c r="O142" s="993">
        <f>SUM(O137:O141)</f>
        <v>0</v>
      </c>
      <c r="P142" s="976"/>
      <c r="Q142" s="993">
        <f>SUM(Q137:Q141)</f>
        <v>0</v>
      </c>
    </row>
    <row r="143" spans="3:17" ht="5.15" customHeight="1"/>
    <row r="144" spans="3:17">
      <c r="C144" s="1016">
        <f>C142+1</f>
        <v>61</v>
      </c>
      <c r="E144" s="994" t="s">
        <v>1159</v>
      </c>
      <c r="G144" s="964" t="s">
        <v>1158</v>
      </c>
      <c r="K144" s="995">
        <f>'ATT H-2A'!$H$232</f>
        <v>1.3796433621908735</v>
      </c>
      <c r="M144" s="995">
        <f>'ATT H-2A'!$H$232</f>
        <v>1.3796433621908735</v>
      </c>
      <c r="O144" s="995">
        <f>'ATT H-2A'!$H$232</f>
        <v>1.3796433621908735</v>
      </c>
      <c r="Q144" s="995">
        <f>'ATT H-2A'!$H$232</f>
        <v>1.3796433621908735</v>
      </c>
    </row>
    <row r="145" spans="3:17" ht="5.15" customHeight="1"/>
    <row r="146" spans="3:17" ht="13.5" thickBot="1">
      <c r="C146" s="1016">
        <f>C144+1</f>
        <v>62</v>
      </c>
      <c r="E146" s="988" t="s">
        <v>950</v>
      </c>
      <c r="K146" s="992">
        <f>K142*K144</f>
        <v>0</v>
      </c>
      <c r="L146" s="976"/>
      <c r="M146" s="992">
        <f>M142*M144</f>
        <v>0</v>
      </c>
      <c r="N146" s="976"/>
      <c r="O146" s="992">
        <f>O142*O144</f>
        <v>0</v>
      </c>
      <c r="P146" s="976"/>
      <c r="Q146" s="992">
        <f>Q142*Q144</f>
        <v>0</v>
      </c>
    </row>
    <row r="147" spans="3:17" ht="13" thickTop="1"/>
    <row r="149" spans="3:17" ht="15.5">
      <c r="C149" s="1490" t="s">
        <v>960</v>
      </c>
      <c r="D149" s="1491"/>
      <c r="E149" s="1491"/>
      <c r="F149" s="1491"/>
      <c r="G149" s="1491"/>
      <c r="H149" s="1491"/>
      <c r="I149" s="1491"/>
      <c r="J149" s="1491"/>
      <c r="K149" s="1491"/>
      <c r="L149" s="1491"/>
      <c r="M149" s="1491"/>
      <c r="N149" s="1491"/>
      <c r="O149" s="1491"/>
      <c r="P149" s="1491"/>
      <c r="Q149" s="1492"/>
    </row>
    <row r="151" spans="3:17" ht="13">
      <c r="E151" s="966" t="s">
        <v>922</v>
      </c>
      <c r="F151" s="966"/>
      <c r="G151" s="966" t="s">
        <v>923</v>
      </c>
      <c r="H151" s="966"/>
      <c r="I151" s="966" t="s">
        <v>924</v>
      </c>
      <c r="J151" s="966"/>
      <c r="K151" s="966" t="s">
        <v>925</v>
      </c>
      <c r="L151" s="966"/>
      <c r="M151" s="966" t="s">
        <v>926</v>
      </c>
      <c r="N151" s="966"/>
      <c r="O151" s="966" t="s">
        <v>927</v>
      </c>
      <c r="P151" s="966"/>
      <c r="Q151" s="966" t="s">
        <v>928</v>
      </c>
    </row>
    <row r="152" spans="3:17">
      <c r="C152" s="1485" t="s">
        <v>1083</v>
      </c>
      <c r="E152" s="1487" t="s">
        <v>952</v>
      </c>
      <c r="G152" s="1502" t="s">
        <v>340</v>
      </c>
      <c r="H152" s="1502"/>
      <c r="I152" s="1502"/>
      <c r="K152" s="967"/>
      <c r="M152" s="968" t="s">
        <v>1225</v>
      </c>
      <c r="Q152" s="968" t="s">
        <v>1273</v>
      </c>
    </row>
    <row r="153" spans="3:17" ht="25">
      <c r="C153" s="1486"/>
      <c r="E153" s="1488"/>
      <c r="G153" s="1503"/>
      <c r="H153" s="1503"/>
      <c r="I153" s="1503"/>
      <c r="J153" s="969"/>
      <c r="K153" s="970" t="s">
        <v>933</v>
      </c>
      <c r="M153" s="1375" t="s">
        <v>934</v>
      </c>
      <c r="N153" s="980"/>
      <c r="O153" s="971" t="s">
        <v>931</v>
      </c>
      <c r="P153" s="980"/>
      <c r="Q153" s="971" t="s">
        <v>934</v>
      </c>
    </row>
    <row r="154" spans="3:17" ht="5.15" customHeight="1">
      <c r="N154" s="980"/>
      <c r="P154" s="980"/>
    </row>
    <row r="155" spans="3:17">
      <c r="C155" s="1016">
        <f>C146+1</f>
        <v>63</v>
      </c>
      <c r="E155" s="979" t="s">
        <v>953</v>
      </c>
      <c r="F155" s="980"/>
      <c r="G155" s="980"/>
      <c r="H155" s="980"/>
      <c r="I155" s="980"/>
      <c r="J155" s="980"/>
      <c r="K155" s="982">
        <v>0</v>
      </c>
      <c r="L155" s="983"/>
      <c r="M155" s="982">
        <v>0</v>
      </c>
      <c r="N155" s="983"/>
      <c r="O155" s="982">
        <v>0</v>
      </c>
      <c r="P155" s="983"/>
      <c r="Q155" s="982">
        <f>M155+O155</f>
        <v>0</v>
      </c>
    </row>
    <row r="156" spans="3:17">
      <c r="C156" s="1016">
        <f>C155+1</f>
        <v>64</v>
      </c>
      <c r="E156" s="979" t="s">
        <v>954</v>
      </c>
      <c r="F156" s="980"/>
      <c r="G156" s="980"/>
      <c r="H156" s="980"/>
      <c r="I156" s="980"/>
      <c r="J156" s="980"/>
      <c r="K156" s="986">
        <f>K146</f>
        <v>0</v>
      </c>
      <c r="L156" s="980"/>
      <c r="M156" s="986">
        <f>M146</f>
        <v>0</v>
      </c>
      <c r="N156" s="980"/>
      <c r="O156" s="986">
        <f>O146</f>
        <v>0</v>
      </c>
      <c r="P156" s="980"/>
      <c r="Q156" s="985">
        <f>M156+O156</f>
        <v>0</v>
      </c>
    </row>
    <row r="157" spans="3:17" ht="5.15" customHeight="1">
      <c r="K157" s="987"/>
      <c r="L157" s="980"/>
      <c r="M157" s="987"/>
      <c r="N157" s="980"/>
      <c r="O157" s="987"/>
      <c r="P157" s="980"/>
      <c r="Q157" s="987"/>
    </row>
    <row r="158" spans="3:17" ht="13">
      <c r="C158" s="1016">
        <f>C156+1</f>
        <v>65</v>
      </c>
      <c r="E158" s="988" t="s">
        <v>955</v>
      </c>
      <c r="K158" s="976">
        <f>SUM(K155:K157)</f>
        <v>0</v>
      </c>
      <c r="L158" s="976"/>
      <c r="M158" s="976">
        <f>SUM(M155:M157)</f>
        <v>0</v>
      </c>
      <c r="N158" s="983"/>
      <c r="O158" s="976">
        <f>SUM(O155:O157)</f>
        <v>0</v>
      </c>
      <c r="P158" s="983"/>
      <c r="Q158" s="976">
        <f>SUM(Q155:Q157)</f>
        <v>0</v>
      </c>
    </row>
    <row r="159" spans="3:17">
      <c r="K159" s="990"/>
    </row>
    <row r="161" spans="1:19" ht="15.5">
      <c r="C161" s="1489" t="s">
        <v>961</v>
      </c>
      <c r="D161" s="1489"/>
      <c r="E161" s="1489"/>
      <c r="F161" s="1489"/>
      <c r="G161" s="1489"/>
      <c r="H161" s="1489"/>
      <c r="I161" s="1489"/>
      <c r="J161" s="1489"/>
      <c r="K161" s="1489"/>
      <c r="L161" s="1489"/>
      <c r="M161" s="1489"/>
      <c r="N161" s="1489"/>
      <c r="O161" s="1489"/>
      <c r="P161" s="1489"/>
      <c r="Q161" s="1489"/>
    </row>
    <row r="163" spans="1:19" ht="15.5">
      <c r="C163" s="1490" t="s">
        <v>1205</v>
      </c>
      <c r="D163" s="1491"/>
      <c r="E163" s="1491"/>
      <c r="F163" s="1491"/>
      <c r="G163" s="1491"/>
      <c r="H163" s="1491"/>
      <c r="I163" s="1491"/>
      <c r="J163" s="1491"/>
      <c r="K163" s="1491"/>
      <c r="L163" s="1491"/>
      <c r="M163" s="1491"/>
      <c r="N163" s="1491"/>
      <c r="O163" s="1491"/>
      <c r="P163" s="1491"/>
      <c r="Q163" s="1492"/>
    </row>
    <row r="165" spans="1:19" ht="13">
      <c r="E165" s="966" t="s">
        <v>922</v>
      </c>
      <c r="F165" s="966"/>
      <c r="G165" s="966" t="s">
        <v>923</v>
      </c>
      <c r="H165" s="966"/>
      <c r="I165" s="966" t="s">
        <v>924</v>
      </c>
      <c r="J165" s="966"/>
      <c r="K165" s="966" t="s">
        <v>925</v>
      </c>
      <c r="L165" s="966"/>
      <c r="M165" s="966" t="s">
        <v>926</v>
      </c>
      <c r="N165" s="966"/>
      <c r="O165" s="966" t="s">
        <v>927</v>
      </c>
      <c r="P165" s="966"/>
      <c r="Q165" s="966" t="s">
        <v>928</v>
      </c>
    </row>
    <row r="166" spans="1:19">
      <c r="C166" s="1485" t="s">
        <v>1083</v>
      </c>
      <c r="E166" s="1487" t="s">
        <v>952</v>
      </c>
      <c r="G166" s="1502" t="s">
        <v>340</v>
      </c>
      <c r="H166" s="1502"/>
      <c r="I166" s="1502"/>
      <c r="K166" s="967"/>
      <c r="M166" s="968" t="s">
        <v>1225</v>
      </c>
      <c r="Q166" s="968" t="s">
        <v>1273</v>
      </c>
    </row>
    <row r="167" spans="1:19" ht="25">
      <c r="C167" s="1486"/>
      <c r="E167" s="1488"/>
      <c r="G167" s="1503"/>
      <c r="H167" s="1503"/>
      <c r="I167" s="1503"/>
      <c r="J167" s="969"/>
      <c r="K167" s="970" t="s">
        <v>933</v>
      </c>
      <c r="M167" s="1375" t="s">
        <v>934</v>
      </c>
      <c r="N167" s="980"/>
      <c r="O167" s="971" t="s">
        <v>931</v>
      </c>
      <c r="P167" s="980"/>
      <c r="Q167" s="971" t="s">
        <v>934</v>
      </c>
    </row>
    <row r="168" spans="1:19" ht="5.15" customHeight="1">
      <c r="N168" s="980"/>
      <c r="P168" s="980"/>
    </row>
    <row r="169" spans="1:19">
      <c r="C169" s="1016">
        <f>C158+1</f>
        <v>66</v>
      </c>
      <c r="E169" s="979" t="s">
        <v>953</v>
      </c>
      <c r="F169" s="980"/>
      <c r="G169" s="980"/>
      <c r="H169" s="980"/>
      <c r="I169" s="980"/>
      <c r="J169" s="980"/>
      <c r="K169" s="982">
        <f>K86+K155</f>
        <v>0</v>
      </c>
      <c r="L169" s="983"/>
      <c r="M169" s="982">
        <f>M86+M155</f>
        <v>0</v>
      </c>
      <c r="N169" s="983"/>
      <c r="O169" s="982">
        <f>O86+O155</f>
        <v>0</v>
      </c>
      <c r="P169" s="983"/>
      <c r="Q169" s="982">
        <f>M169+O169</f>
        <v>0</v>
      </c>
    </row>
    <row r="170" spans="1:19">
      <c r="C170" s="1016">
        <f>C169+1</f>
        <v>67</v>
      </c>
      <c r="E170" s="979" t="s">
        <v>954</v>
      </c>
      <c r="F170" s="980"/>
      <c r="G170" s="980"/>
      <c r="H170" s="980"/>
      <c r="I170" s="980"/>
      <c r="J170" s="980"/>
      <c r="K170" s="985">
        <f>K87+K156</f>
        <v>-159552306.09562606</v>
      </c>
      <c r="L170" s="980"/>
      <c r="M170" s="985">
        <f>M87+M156</f>
        <v>-128675219.71163248</v>
      </c>
      <c r="N170" s="980"/>
      <c r="O170" s="985">
        <f>O87+O156</f>
        <v>15228782.031880781</v>
      </c>
      <c r="P170" s="980"/>
      <c r="Q170" s="985">
        <f>M170+O170</f>
        <v>-113446437.67975169</v>
      </c>
    </row>
    <row r="171" spans="1:19" ht="5.15" customHeight="1">
      <c r="K171" s="987"/>
      <c r="L171" s="980"/>
      <c r="M171" s="987"/>
      <c r="N171" s="980"/>
      <c r="O171" s="987"/>
      <c r="P171" s="980"/>
      <c r="Q171" s="987"/>
    </row>
    <row r="172" spans="1:19" ht="13">
      <c r="C172" s="1016">
        <f>C170+1</f>
        <v>68</v>
      </c>
      <c r="E172" s="988" t="s">
        <v>955</v>
      </c>
      <c r="K172" s="976">
        <f>SUM(K169:K171)</f>
        <v>-159552306.09562606</v>
      </c>
      <c r="L172" s="976"/>
      <c r="M172" s="976">
        <f>SUM(M169:M171)</f>
        <v>-128675219.71163248</v>
      </c>
      <c r="N172" s="983"/>
      <c r="O172" s="976">
        <f>SUM(O169:O171)</f>
        <v>15228782.031880781</v>
      </c>
      <c r="P172" s="983"/>
      <c r="Q172" s="976">
        <f>SUM(Q169:Q171)</f>
        <v>-113446437.67975169</v>
      </c>
    </row>
    <row r="173" spans="1:19">
      <c r="N173" s="980"/>
      <c r="P173" s="980"/>
    </row>
    <row r="174" spans="1:19">
      <c r="N174" s="980"/>
      <c r="P174" s="980"/>
    </row>
    <row r="175" spans="1:19">
      <c r="N175" s="980"/>
      <c r="P175" s="980"/>
    </row>
    <row r="176" spans="1:19" ht="18">
      <c r="A176" s="1325"/>
      <c r="B176" s="1326" t="s">
        <v>1079</v>
      </c>
      <c r="C176" s="1325"/>
      <c r="D176" s="1325"/>
      <c r="E176" s="1325"/>
      <c r="F176" s="1325"/>
      <c r="G176" s="1325"/>
      <c r="H176" s="1325"/>
      <c r="I176" s="1325"/>
      <c r="J176" s="1325"/>
      <c r="K176" s="1325"/>
      <c r="L176" s="1325"/>
      <c r="M176" s="1325"/>
      <c r="N176" s="1325"/>
      <c r="O176" s="1325"/>
      <c r="P176" s="1325"/>
      <c r="Q176" s="1325"/>
      <c r="R176" s="1325"/>
      <c r="S176" s="1325"/>
    </row>
    <row r="177" spans="1:19">
      <c r="A177" s="561"/>
      <c r="B177" s="561"/>
      <c r="C177" s="561"/>
      <c r="D177" s="561"/>
      <c r="E177" s="561"/>
      <c r="F177" s="561"/>
      <c r="G177" s="561"/>
      <c r="H177" s="561"/>
      <c r="I177" s="561"/>
      <c r="J177" s="561"/>
      <c r="K177" s="561"/>
      <c r="L177" s="561"/>
      <c r="M177" s="561"/>
      <c r="N177" s="575"/>
      <c r="O177" s="561"/>
      <c r="P177" s="575"/>
      <c r="Q177" s="561"/>
    </row>
    <row r="178" spans="1:19">
      <c r="A178" s="561"/>
      <c r="B178" s="1501" t="s">
        <v>1213</v>
      </c>
      <c r="C178" s="1501"/>
      <c r="D178" s="1501"/>
      <c r="E178" s="1501"/>
      <c r="F178" s="1501"/>
      <c r="G178" s="1501"/>
      <c r="H178" s="1501"/>
      <c r="I178" s="1501"/>
      <c r="J178" s="1501"/>
      <c r="K178" s="1501"/>
      <c r="L178" s="1501"/>
      <c r="M178" s="1501"/>
      <c r="N178" s="1501"/>
      <c r="O178" s="1501"/>
      <c r="P178" s="1501"/>
      <c r="Q178" s="1501"/>
    </row>
    <row r="179" spans="1:19">
      <c r="A179" s="561"/>
      <c r="B179" s="1501"/>
      <c r="C179" s="1501"/>
      <c r="D179" s="1501"/>
      <c r="E179" s="1501"/>
      <c r="F179" s="1501"/>
      <c r="G179" s="1501"/>
      <c r="H179" s="1501"/>
      <c r="I179" s="1501"/>
      <c r="J179" s="1501"/>
      <c r="K179" s="1501"/>
      <c r="L179" s="1501"/>
      <c r="M179" s="1501"/>
      <c r="N179" s="1501"/>
      <c r="O179" s="1501"/>
      <c r="P179" s="1501"/>
      <c r="Q179" s="1501"/>
    </row>
    <row r="180" spans="1:19">
      <c r="A180" s="561"/>
      <c r="B180" s="1501"/>
      <c r="C180" s="1501"/>
      <c r="D180" s="1501"/>
      <c r="E180" s="1501"/>
      <c r="F180" s="1501"/>
      <c r="G180" s="1501"/>
      <c r="H180" s="1501"/>
      <c r="I180" s="1501"/>
      <c r="J180" s="1501"/>
      <c r="K180" s="1501"/>
      <c r="L180" s="1501"/>
      <c r="M180" s="1501"/>
      <c r="N180" s="1501"/>
      <c r="O180" s="1501"/>
      <c r="P180" s="1501"/>
      <c r="Q180" s="1501"/>
    </row>
    <row r="181" spans="1:19">
      <c r="A181" s="561"/>
      <c r="B181" s="1501" t="s">
        <v>1218</v>
      </c>
      <c r="C181" s="1501"/>
      <c r="D181" s="1501"/>
      <c r="E181" s="1501"/>
      <c r="F181" s="1501"/>
      <c r="G181" s="1501"/>
      <c r="H181" s="1501"/>
      <c r="I181" s="1501"/>
      <c r="J181" s="1501"/>
      <c r="K181" s="1501"/>
      <c r="L181" s="1501"/>
      <c r="M181" s="1501"/>
      <c r="N181" s="1501"/>
      <c r="O181" s="1501"/>
      <c r="P181" s="1501"/>
      <c r="Q181" s="1501"/>
    </row>
    <row r="182" spans="1:19">
      <c r="A182" s="561"/>
      <c r="B182" s="1501"/>
      <c r="C182" s="1501"/>
      <c r="D182" s="1501"/>
      <c r="E182" s="1501"/>
      <c r="F182" s="1501"/>
      <c r="G182" s="1501"/>
      <c r="H182" s="1501"/>
      <c r="I182" s="1501"/>
      <c r="J182" s="1501"/>
      <c r="K182" s="1501"/>
      <c r="L182" s="1501"/>
      <c r="M182" s="1501"/>
      <c r="N182" s="1501"/>
      <c r="O182" s="1501"/>
      <c r="P182" s="1501"/>
      <c r="Q182" s="1501"/>
    </row>
    <row r="183" spans="1:19">
      <c r="A183" s="561"/>
      <c r="B183" s="1501"/>
      <c r="C183" s="1501"/>
      <c r="D183" s="1501"/>
      <c r="E183" s="1501"/>
      <c r="F183" s="1501"/>
      <c r="G183" s="1501"/>
      <c r="H183" s="1501"/>
      <c r="I183" s="1501"/>
      <c r="J183" s="1501"/>
      <c r="K183" s="1501"/>
      <c r="L183" s="1501"/>
      <c r="M183" s="1501"/>
      <c r="N183" s="1501"/>
      <c r="O183" s="1501"/>
      <c r="P183" s="1501"/>
      <c r="Q183" s="1501"/>
    </row>
    <row r="184" spans="1:19">
      <c r="A184" s="561"/>
      <c r="B184" s="1501" t="s">
        <v>1206</v>
      </c>
      <c r="C184" s="1501"/>
      <c r="D184" s="1501"/>
      <c r="E184" s="1501"/>
      <c r="F184" s="1501"/>
      <c r="G184" s="1501"/>
      <c r="H184" s="1501"/>
      <c r="I184" s="1501"/>
      <c r="J184" s="1501"/>
      <c r="K184" s="1501"/>
      <c r="L184" s="1501"/>
      <c r="M184" s="1501"/>
      <c r="N184" s="1501"/>
      <c r="O184" s="1501"/>
      <c r="P184" s="1501"/>
      <c r="Q184" s="1501"/>
    </row>
    <row r="185" spans="1:19">
      <c r="A185" s="561"/>
      <c r="B185" s="1501"/>
      <c r="C185" s="1501"/>
      <c r="D185" s="1501"/>
      <c r="E185" s="1501"/>
      <c r="F185" s="1501"/>
      <c r="G185" s="1501"/>
      <c r="H185" s="1501"/>
      <c r="I185" s="1501"/>
      <c r="J185" s="1501"/>
      <c r="K185" s="1501"/>
      <c r="L185" s="1501"/>
      <c r="M185" s="1501"/>
      <c r="N185" s="1501"/>
      <c r="O185" s="1501"/>
      <c r="P185" s="1501"/>
      <c r="Q185" s="1501"/>
    </row>
    <row r="186" spans="1:19">
      <c r="A186" s="561"/>
      <c r="B186" s="1501"/>
      <c r="C186" s="1501"/>
      <c r="D186" s="1501"/>
      <c r="E186" s="1501"/>
      <c r="F186" s="1501"/>
      <c r="G186" s="1501"/>
      <c r="H186" s="1501"/>
      <c r="I186" s="1501"/>
      <c r="J186" s="1501"/>
      <c r="K186" s="1501"/>
      <c r="L186" s="1501"/>
      <c r="M186" s="1501"/>
      <c r="N186" s="1501"/>
      <c r="O186" s="1501"/>
      <c r="P186" s="1501"/>
      <c r="Q186" s="1501"/>
    </row>
    <row r="187" spans="1:19" ht="12.75" customHeight="1">
      <c r="A187" s="561"/>
      <c r="B187" s="1501" t="s">
        <v>1214</v>
      </c>
      <c r="C187" s="1501"/>
      <c r="D187" s="1501"/>
      <c r="E187" s="1501"/>
      <c r="F187" s="1501"/>
      <c r="G187" s="1501"/>
      <c r="H187" s="1501"/>
      <c r="I187" s="1501"/>
      <c r="J187" s="1501"/>
      <c r="K187" s="1501"/>
      <c r="L187" s="1501"/>
      <c r="M187" s="1501"/>
      <c r="N187" s="1501"/>
      <c r="O187" s="1501"/>
      <c r="P187" s="1501"/>
      <c r="Q187" s="1501"/>
    </row>
    <row r="188" spans="1:19">
      <c r="A188" s="561"/>
      <c r="B188" s="1501"/>
      <c r="C188" s="1501"/>
      <c r="D188" s="1501"/>
      <c r="E188" s="1501"/>
      <c r="F188" s="1501"/>
      <c r="G188" s="1501"/>
      <c r="H188" s="1501"/>
      <c r="I188" s="1501"/>
      <c r="J188" s="1501"/>
      <c r="K188" s="1501"/>
      <c r="L188" s="1501"/>
      <c r="M188" s="1501"/>
      <c r="N188" s="1501"/>
      <c r="O188" s="1501"/>
      <c r="P188" s="1501"/>
      <c r="Q188" s="1501"/>
    </row>
    <row r="189" spans="1:19">
      <c r="A189" s="561"/>
      <c r="B189" s="1323"/>
      <c r="C189" s="1323"/>
      <c r="D189" s="1323"/>
      <c r="E189" s="1323"/>
      <c r="F189" s="1323"/>
      <c r="G189" s="1323"/>
      <c r="H189" s="1323"/>
      <c r="I189" s="1323"/>
      <c r="J189" s="1323"/>
      <c r="K189" s="1323"/>
      <c r="L189" s="1323"/>
      <c r="M189" s="1323"/>
      <c r="N189" s="1323"/>
      <c r="O189" s="1323"/>
      <c r="P189" s="1323"/>
      <c r="Q189" s="1323"/>
    </row>
    <row r="190" spans="1:19" ht="18">
      <c r="A190" s="1325"/>
      <c r="B190" s="1326" t="s">
        <v>962</v>
      </c>
      <c r="C190" s="1325"/>
      <c r="D190" s="1325"/>
      <c r="E190" s="1325"/>
      <c r="F190" s="1325"/>
      <c r="G190" s="1325"/>
      <c r="H190" s="1325"/>
      <c r="I190" s="1325"/>
      <c r="J190" s="1325"/>
      <c r="K190" s="1325"/>
      <c r="L190" s="1325"/>
      <c r="M190" s="1325"/>
      <c r="N190" s="1325"/>
      <c r="O190" s="1325"/>
      <c r="P190" s="1325"/>
      <c r="Q190" s="1325"/>
      <c r="R190" s="1325"/>
      <c r="S190" s="1325"/>
    </row>
    <row r="191" spans="1:19">
      <c r="A191" s="561" t="s">
        <v>166</v>
      </c>
      <c r="B191" s="561"/>
      <c r="C191" s="561"/>
      <c r="D191" s="561"/>
      <c r="E191" s="561"/>
      <c r="F191" s="561"/>
      <c r="G191" s="561"/>
      <c r="H191" s="561"/>
      <c r="I191" s="561" t="s">
        <v>166</v>
      </c>
      <c r="J191" s="561"/>
      <c r="K191" s="561"/>
      <c r="L191" s="561"/>
      <c r="M191" s="561"/>
      <c r="N191" s="561"/>
      <c r="O191" s="561"/>
      <c r="P191" s="561"/>
      <c r="Q191" s="561"/>
    </row>
    <row r="192" spans="1:19" ht="12.75" customHeight="1">
      <c r="A192" s="561"/>
      <c r="B192" s="561" t="s">
        <v>168</v>
      </c>
      <c r="C192" s="1501" t="s">
        <v>1215</v>
      </c>
      <c r="D192" s="1501"/>
      <c r="E192" s="1501"/>
      <c r="F192" s="1501"/>
      <c r="G192" s="1501"/>
      <c r="H192" s="1501"/>
      <c r="I192" s="1501"/>
      <c r="J192" s="1501"/>
      <c r="K192" s="1501"/>
      <c r="L192" s="1501"/>
      <c r="M192" s="1501"/>
      <c r="N192" s="1501"/>
      <c r="O192" s="1501"/>
      <c r="P192" s="1501"/>
      <c r="Q192" s="1501"/>
    </row>
    <row r="193" spans="1:19">
      <c r="A193" s="561"/>
      <c r="B193" s="561"/>
      <c r="C193" s="1501"/>
      <c r="D193" s="1501"/>
      <c r="E193" s="1501"/>
      <c r="F193" s="1501"/>
      <c r="G193" s="1501"/>
      <c r="H193" s="1501"/>
      <c r="I193" s="1501"/>
      <c r="J193" s="1501"/>
      <c r="K193" s="1501"/>
      <c r="L193" s="1501"/>
      <c r="M193" s="1501"/>
      <c r="N193" s="1501"/>
      <c r="O193" s="1501"/>
      <c r="P193" s="1501"/>
      <c r="Q193" s="1501"/>
    </row>
    <row r="194" spans="1:19">
      <c r="A194" s="561"/>
      <c r="B194" s="561"/>
      <c r="C194" s="1501"/>
      <c r="D194" s="1501"/>
      <c r="E194" s="1501"/>
      <c r="F194" s="1501"/>
      <c r="G194" s="1501"/>
      <c r="H194" s="1501"/>
      <c r="I194" s="1501"/>
      <c r="J194" s="1501"/>
      <c r="K194" s="1501"/>
      <c r="L194" s="1501"/>
      <c r="M194" s="1501"/>
      <c r="N194" s="1501"/>
      <c r="O194" s="1501"/>
      <c r="P194" s="1501"/>
      <c r="Q194" s="1501"/>
    </row>
    <row r="195" spans="1:19">
      <c r="A195" s="561"/>
      <c r="B195" s="561"/>
      <c r="C195" s="1501"/>
      <c r="D195" s="1501"/>
      <c r="E195" s="1501"/>
      <c r="F195" s="1501"/>
      <c r="G195" s="1501"/>
      <c r="H195" s="1501"/>
      <c r="I195" s="1501"/>
      <c r="J195" s="1501"/>
      <c r="K195" s="1501"/>
      <c r="L195" s="1501"/>
      <c r="M195" s="1501"/>
      <c r="N195" s="1501"/>
      <c r="O195" s="1501"/>
      <c r="P195" s="1501"/>
      <c r="Q195" s="1501"/>
    </row>
    <row r="196" spans="1:19">
      <c r="A196" s="561"/>
      <c r="B196" s="561"/>
      <c r="C196" s="1501"/>
      <c r="D196" s="1501"/>
      <c r="E196" s="1501"/>
      <c r="F196" s="1501"/>
      <c r="G196" s="1501"/>
      <c r="H196" s="1501"/>
      <c r="I196" s="1501"/>
      <c r="J196" s="1501"/>
      <c r="K196" s="1501"/>
      <c r="L196" s="1501"/>
      <c r="M196" s="1501"/>
      <c r="N196" s="1501"/>
      <c r="O196" s="1501"/>
      <c r="P196" s="1501"/>
      <c r="Q196" s="1501"/>
    </row>
    <row r="197" spans="1:19">
      <c r="A197" s="561"/>
      <c r="B197" s="561"/>
      <c r="C197" s="1501"/>
      <c r="D197" s="1501"/>
      <c r="E197" s="1501"/>
      <c r="F197" s="1501"/>
      <c r="G197" s="1501"/>
      <c r="H197" s="1501"/>
      <c r="I197" s="1501"/>
      <c r="J197" s="1501"/>
      <c r="K197" s="1501"/>
      <c r="L197" s="1501"/>
      <c r="M197" s="1501"/>
      <c r="N197" s="1501"/>
      <c r="O197" s="1501"/>
      <c r="P197" s="1501"/>
      <c r="Q197" s="1501"/>
    </row>
    <row r="198" spans="1:19">
      <c r="A198" s="561"/>
      <c r="B198" s="561"/>
      <c r="C198" s="1501"/>
      <c r="D198" s="1501"/>
      <c r="E198" s="1501"/>
      <c r="F198" s="1501"/>
      <c r="G198" s="1501"/>
      <c r="H198" s="1501"/>
      <c r="I198" s="1501"/>
      <c r="J198" s="1501"/>
      <c r="K198" s="1501"/>
      <c r="L198" s="1501"/>
      <c r="M198" s="1501"/>
      <c r="N198" s="1501"/>
      <c r="O198" s="1501"/>
      <c r="P198" s="1501"/>
      <c r="Q198" s="1501"/>
    </row>
    <row r="199" spans="1:19" ht="12.75" customHeight="1">
      <c r="A199" s="561"/>
      <c r="B199" s="561" t="s">
        <v>323</v>
      </c>
      <c r="C199" s="1501" t="s">
        <v>1209</v>
      </c>
      <c r="D199" s="1501"/>
      <c r="E199" s="1501"/>
      <c r="F199" s="1501"/>
      <c r="G199" s="1501"/>
      <c r="H199" s="1501"/>
      <c r="I199" s="1501"/>
      <c r="J199" s="1501"/>
      <c r="K199" s="1501"/>
      <c r="L199" s="1501"/>
      <c r="M199" s="1501"/>
      <c r="N199" s="1501"/>
      <c r="O199" s="1501"/>
      <c r="P199" s="1501"/>
      <c r="Q199" s="1501"/>
    </row>
    <row r="200" spans="1:19">
      <c r="A200" s="561"/>
      <c r="B200" s="561"/>
      <c r="C200" s="1501"/>
      <c r="D200" s="1501"/>
      <c r="E200" s="1501"/>
      <c r="F200" s="1501"/>
      <c r="G200" s="1501"/>
      <c r="H200" s="1501"/>
      <c r="I200" s="1501"/>
      <c r="J200" s="1501"/>
      <c r="K200" s="1501"/>
      <c r="L200" s="1501"/>
      <c r="M200" s="1501"/>
      <c r="N200" s="1501"/>
      <c r="O200" s="1501"/>
      <c r="P200" s="1501"/>
      <c r="Q200" s="1501"/>
    </row>
    <row r="201" spans="1:19">
      <c r="A201" s="561"/>
      <c r="B201" s="561"/>
      <c r="C201" s="1501"/>
      <c r="D201" s="1501"/>
      <c r="E201" s="1501"/>
      <c r="F201" s="1501"/>
      <c r="G201" s="1501"/>
      <c r="H201" s="1501"/>
      <c r="I201" s="1501"/>
      <c r="J201" s="1501"/>
      <c r="K201" s="1501"/>
      <c r="L201" s="1501"/>
      <c r="M201" s="1501"/>
      <c r="N201" s="1501"/>
      <c r="O201" s="1501"/>
      <c r="P201" s="1501"/>
      <c r="Q201" s="1501"/>
    </row>
    <row r="202" spans="1:19">
      <c r="E202" s="997"/>
      <c r="F202" s="997"/>
      <c r="G202" s="997"/>
      <c r="H202" s="997"/>
      <c r="I202" s="997"/>
      <c r="J202" s="997"/>
      <c r="K202" s="997"/>
      <c r="L202" s="997"/>
      <c r="M202" s="997"/>
      <c r="N202" s="997"/>
      <c r="O202" s="997"/>
      <c r="P202" s="997"/>
      <c r="Q202" s="997"/>
    </row>
    <row r="203" spans="1:19" ht="15.5">
      <c r="A203" s="92" t="s">
        <v>963</v>
      </c>
      <c r="B203" s="92"/>
      <c r="C203" s="92"/>
      <c r="D203" s="92"/>
      <c r="E203" s="91"/>
      <c r="F203" s="77"/>
      <c r="G203" s="76"/>
      <c r="H203" s="811"/>
      <c r="I203" s="76"/>
      <c r="J203" s="76"/>
      <c r="K203" s="77"/>
      <c r="L203" s="77"/>
      <c r="M203" s="77"/>
      <c r="N203" s="77"/>
      <c r="O203" s="77"/>
      <c r="P203" s="77"/>
      <c r="Q203" s="77"/>
      <c r="R203" s="77"/>
      <c r="S203" s="77"/>
    </row>
  </sheetData>
  <mergeCells count="54">
    <mergeCell ref="G47:G48"/>
    <mergeCell ref="I47:I48"/>
    <mergeCell ref="O47:O48"/>
    <mergeCell ref="A1:S1"/>
    <mergeCell ref="A2:S2"/>
    <mergeCell ref="A3:S3"/>
    <mergeCell ref="G11:G12"/>
    <mergeCell ref="I11:I12"/>
    <mergeCell ref="O11:O12"/>
    <mergeCell ref="C192:Q198"/>
    <mergeCell ref="C199:Q201"/>
    <mergeCell ref="G152:I153"/>
    <mergeCell ref="G83:I84"/>
    <mergeCell ref="G98:G99"/>
    <mergeCell ref="I98:I99"/>
    <mergeCell ref="O98:O99"/>
    <mergeCell ref="G134:G135"/>
    <mergeCell ref="I134:I135"/>
    <mergeCell ref="O134:O135"/>
    <mergeCell ref="C93:Q93"/>
    <mergeCell ref="C95:Q95"/>
    <mergeCell ref="B187:Q188"/>
    <mergeCell ref="G166:I167"/>
    <mergeCell ref="B178:Q180"/>
    <mergeCell ref="B181:Q183"/>
    <mergeCell ref="B184:Q186"/>
    <mergeCell ref="C98:C99"/>
    <mergeCell ref="E98:E99"/>
    <mergeCell ref="C134:C135"/>
    <mergeCell ref="E134:E135"/>
    <mergeCell ref="C166:C167"/>
    <mergeCell ref="E166:E167"/>
    <mergeCell ref="C152:C153"/>
    <mergeCell ref="E152:E153"/>
    <mergeCell ref="C131:Q131"/>
    <mergeCell ref="C149:Q149"/>
    <mergeCell ref="C163:Q163"/>
    <mergeCell ref="C161:Q161"/>
    <mergeCell ref="C83:C84"/>
    <mergeCell ref="E83:E84"/>
    <mergeCell ref="C6:Q6"/>
    <mergeCell ref="C8:Q8"/>
    <mergeCell ref="C44:Q44"/>
    <mergeCell ref="C62:Q62"/>
    <mergeCell ref="C80:Q80"/>
    <mergeCell ref="C11:C12"/>
    <mergeCell ref="E11:E12"/>
    <mergeCell ref="C47:C48"/>
    <mergeCell ref="E47:E48"/>
    <mergeCell ref="C65:C66"/>
    <mergeCell ref="E65:E66"/>
    <mergeCell ref="G65:G66"/>
    <mergeCell ref="I65:I66"/>
    <mergeCell ref="O65:O66"/>
  </mergeCells>
  <pageMargins left="0.7" right="0.7" top="0.75" bottom="0.75" header="0.3" footer="0.3"/>
  <pageSetup scale="59" fitToHeight="0" orientation="landscape" r:id="rId1"/>
  <headerFooter>
    <oddFooter>&amp;C&amp;A&amp;RPage &amp;P of &amp;N</oddFooter>
  </headerFooter>
  <rowBreaks count="4" manualBreakCount="4">
    <brk id="61" max="16" man="1"/>
    <brk id="90" max="16383" man="1"/>
    <brk id="129" max="16" man="1"/>
    <brk id="175"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4C6D9-38FE-4192-BFDB-A3E3583AFAED}">
  <sheetPr>
    <pageSetUpPr fitToPage="1"/>
  </sheetPr>
  <dimension ref="A1:AJ323"/>
  <sheetViews>
    <sheetView topLeftCell="I1" zoomScale="70" zoomScaleNormal="70" workbookViewId="0">
      <selection activeCell="B58" sqref="B58"/>
    </sheetView>
  </sheetViews>
  <sheetFormatPr defaultColWidth="9.1796875" defaultRowHeight="12.5"/>
  <cols>
    <col min="1" max="1" width="5.7265625" style="998" customWidth="1"/>
    <col min="2" max="2" width="9.453125" style="999" customWidth="1"/>
    <col min="3" max="3" width="75.26953125" style="999" customWidth="1"/>
    <col min="4" max="4" width="43.26953125" style="999" customWidth="1"/>
    <col min="5" max="5" width="25.81640625" style="999" bestFit="1" customWidth="1"/>
    <col min="6" max="10" width="21.54296875" style="998" customWidth="1"/>
    <col min="11" max="11" width="5.453125" style="998" customWidth="1"/>
    <col min="12" max="16" width="21.54296875" style="998" customWidth="1"/>
    <col min="17" max="17" width="2.7265625" style="998" customWidth="1"/>
    <col min="18" max="18" width="21.54296875" style="998" customWidth="1"/>
    <col min="19" max="19" width="2.7265625" style="998" customWidth="1"/>
    <col min="20" max="20" width="21.54296875" style="998" customWidth="1"/>
    <col min="21" max="21" width="2.7265625" style="998" customWidth="1"/>
    <col min="22" max="22" width="21.54296875" style="998" customWidth="1"/>
    <col min="23" max="23" width="2.7265625" style="998" customWidth="1"/>
    <col min="24" max="24" width="21.54296875" style="998" customWidth="1"/>
    <col min="25" max="25" width="2.7265625" style="998" customWidth="1"/>
    <col min="26" max="26" width="22.7265625" style="999" customWidth="1"/>
    <col min="27" max="27" width="2.7265625" style="998" customWidth="1"/>
    <col min="28" max="28" width="16.453125" style="999" customWidth="1"/>
    <col min="29" max="29" width="2.7265625" style="998" customWidth="1"/>
    <col min="30" max="30" width="14.54296875" style="998" customWidth="1"/>
    <col min="31" max="31" width="2.54296875" style="998" customWidth="1"/>
    <col min="32" max="32" width="20" style="998" customWidth="1"/>
    <col min="33" max="33" width="2.54296875" style="998" customWidth="1"/>
    <col min="34" max="34" width="20" style="998" customWidth="1"/>
    <col min="35" max="35" width="2.7265625" style="999" customWidth="1"/>
    <col min="36" max="16384" width="9.1796875" style="998"/>
  </cols>
  <sheetData>
    <row r="1" spans="1:36" s="1025" customFormat="1" ht="15.5">
      <c r="A1" s="1297" t="s">
        <v>64</v>
      </c>
      <c r="B1" s="1008"/>
      <c r="C1" s="1023"/>
      <c r="D1" s="1023"/>
      <c r="E1" s="1024"/>
      <c r="AH1" s="1026"/>
    </row>
    <row r="2" spans="1:36" s="1025" customFormat="1" ht="15.5">
      <c r="A2" s="1297" t="s">
        <v>1051</v>
      </c>
      <c r="B2" s="1008"/>
      <c r="C2" s="1023"/>
      <c r="D2" s="1023"/>
      <c r="E2" s="1024"/>
      <c r="AH2" s="1026"/>
    </row>
    <row r="3" spans="1:36" s="1025" customFormat="1" ht="15.5">
      <c r="A3" s="1297" t="s">
        <v>1207</v>
      </c>
      <c r="B3" s="1008"/>
      <c r="C3" s="1023"/>
      <c r="D3" s="1023"/>
      <c r="E3" s="1024"/>
      <c r="AH3" s="1026"/>
    </row>
    <row r="4" spans="1:36" s="1025" customFormat="1" ht="13">
      <c r="B4" s="1027"/>
      <c r="C4" s="1023"/>
      <c r="D4" s="1023"/>
      <c r="E4" s="1024"/>
      <c r="AH4" s="1026"/>
    </row>
    <row r="5" spans="1:36" s="1028" customFormat="1" ht="19">
      <c r="B5" s="1507" t="s">
        <v>1052</v>
      </c>
      <c r="C5" s="1508"/>
      <c r="D5" s="1508"/>
      <c r="E5" s="1508"/>
      <c r="F5" s="1508"/>
      <c r="G5" s="1508"/>
      <c r="H5" s="1508"/>
      <c r="I5" s="1508"/>
      <c r="J5" s="1508"/>
      <c r="K5" s="1508"/>
      <c r="L5" s="1508"/>
      <c r="M5" s="1508"/>
      <c r="N5" s="1508"/>
      <c r="O5" s="1508"/>
      <c r="P5" s="1508"/>
      <c r="Q5" s="1508"/>
      <c r="R5" s="1508"/>
      <c r="S5" s="1508"/>
      <c r="T5" s="1508"/>
      <c r="U5" s="1508"/>
      <c r="V5" s="1508"/>
      <c r="W5" s="1508"/>
      <c r="X5" s="1508"/>
      <c r="Y5" s="1508"/>
      <c r="Z5" s="1508"/>
      <c r="AA5" s="1508"/>
      <c r="AB5" s="1508"/>
      <c r="AC5" s="1508"/>
      <c r="AD5" s="1508"/>
      <c r="AE5" s="1508"/>
      <c r="AF5" s="1508"/>
      <c r="AG5" s="1508"/>
      <c r="AH5" s="1509"/>
      <c r="AI5" s="1029"/>
    </row>
    <row r="6" spans="1:36" s="1028" customFormat="1" ht="13">
      <c r="B6" s="1008"/>
      <c r="C6" s="1030"/>
      <c r="D6" s="1030"/>
      <c r="E6" s="1031"/>
      <c r="Z6" s="1030"/>
      <c r="AB6" s="1030"/>
      <c r="AH6" s="1029"/>
      <c r="AI6" s="1029"/>
    </row>
    <row r="7" spans="1:36" s="1292" customFormat="1" ht="15.5">
      <c r="B7" s="1293"/>
      <c r="C7" s="1293"/>
      <c r="D7" s="1293"/>
      <c r="E7" s="1294"/>
      <c r="F7" s="1510" t="s">
        <v>1053</v>
      </c>
      <c r="G7" s="1511"/>
      <c r="H7" s="1511"/>
      <c r="I7" s="1511"/>
      <c r="J7" s="1512"/>
      <c r="L7" s="1510" t="s">
        <v>1054</v>
      </c>
      <c r="M7" s="1511"/>
      <c r="N7" s="1511"/>
      <c r="O7" s="1511"/>
      <c r="P7" s="1512"/>
      <c r="R7" s="1510" t="s">
        <v>1055</v>
      </c>
      <c r="S7" s="1511"/>
      <c r="T7" s="1511"/>
      <c r="U7" s="1511"/>
      <c r="V7" s="1511"/>
      <c r="W7" s="1511"/>
      <c r="X7" s="1511"/>
      <c r="Y7" s="1511"/>
      <c r="Z7" s="1511"/>
      <c r="AA7" s="1511"/>
      <c r="AB7" s="1511"/>
      <c r="AC7" s="1511"/>
      <c r="AD7" s="1511"/>
      <c r="AE7" s="1511"/>
      <c r="AF7" s="1512"/>
      <c r="AG7" s="1295"/>
      <c r="AH7" s="1296"/>
      <c r="AI7" s="1296"/>
    </row>
    <row r="8" spans="1:36" s="1033" customFormat="1" ht="61.5" customHeight="1">
      <c r="B8" s="1009" t="s">
        <v>964</v>
      </c>
      <c r="C8" s="1010" t="s">
        <v>965</v>
      </c>
      <c r="D8" s="1010" t="s">
        <v>737</v>
      </c>
      <c r="E8" s="1034" t="s">
        <v>966</v>
      </c>
      <c r="F8" s="1009" t="s">
        <v>969</v>
      </c>
      <c r="G8" s="1009" t="s">
        <v>967</v>
      </c>
      <c r="H8" s="1009" t="s">
        <v>971</v>
      </c>
      <c r="I8" s="1009" t="s">
        <v>968</v>
      </c>
      <c r="J8" s="1009" t="s">
        <v>1056</v>
      </c>
      <c r="K8" s="1009"/>
      <c r="L8" s="1009" t="s">
        <v>969</v>
      </c>
      <c r="M8" s="1009" t="s">
        <v>970</v>
      </c>
      <c r="N8" s="1009" t="s">
        <v>971</v>
      </c>
      <c r="O8" s="1009" t="s">
        <v>968</v>
      </c>
      <c r="P8" s="1009" t="s">
        <v>1056</v>
      </c>
      <c r="Q8" s="1009"/>
      <c r="R8" s="1009" t="s">
        <v>1057</v>
      </c>
      <c r="S8" s="1009"/>
      <c r="T8" s="1009" t="s">
        <v>972</v>
      </c>
      <c r="U8" s="1009"/>
      <c r="V8" s="1327" t="s">
        <v>1211</v>
      </c>
      <c r="W8" s="1009"/>
      <c r="X8" s="1009" t="s">
        <v>1058</v>
      </c>
      <c r="Y8" s="1009"/>
      <c r="Z8" s="1009" t="s">
        <v>1059</v>
      </c>
      <c r="AA8" s="1009"/>
      <c r="AB8" s="1009" t="s">
        <v>973</v>
      </c>
      <c r="AC8" s="1009"/>
      <c r="AD8" s="1009" t="s">
        <v>1060</v>
      </c>
      <c r="AE8" s="1009"/>
      <c r="AF8" s="1009" t="s">
        <v>974</v>
      </c>
      <c r="AG8" s="1009"/>
      <c r="AH8" s="1009" t="s">
        <v>975</v>
      </c>
      <c r="AI8" s="1028"/>
      <c r="AJ8" s="1028"/>
    </row>
    <row r="9" spans="1:36" s="1035" customFormat="1" ht="13">
      <c r="B9" s="1036"/>
      <c r="C9" s="1011" t="s">
        <v>922</v>
      </c>
      <c r="D9" s="1012" t="s">
        <v>923</v>
      </c>
      <c r="E9" s="1037" t="s">
        <v>924</v>
      </c>
      <c r="F9" s="1012" t="s">
        <v>925</v>
      </c>
      <c r="G9" s="1012" t="s">
        <v>1061</v>
      </c>
      <c r="H9" s="1012" t="s">
        <v>927</v>
      </c>
      <c r="I9" s="1012" t="s">
        <v>1062</v>
      </c>
      <c r="J9" s="1012" t="s">
        <v>1063</v>
      </c>
      <c r="K9" s="1038"/>
      <c r="L9" s="1012" t="s">
        <v>1064</v>
      </c>
      <c r="M9" s="1012" t="s">
        <v>1065</v>
      </c>
      <c r="N9" s="1012" t="s">
        <v>1066</v>
      </c>
      <c r="O9" s="1012" t="s">
        <v>1067</v>
      </c>
      <c r="P9" s="1012" t="s">
        <v>1068</v>
      </c>
      <c r="Q9" s="1032"/>
      <c r="R9" s="1012" t="s">
        <v>1069</v>
      </c>
      <c r="S9" s="1012"/>
      <c r="T9" s="1012" t="s">
        <v>1070</v>
      </c>
      <c r="U9" s="1012"/>
      <c r="V9" s="1012" t="s">
        <v>976</v>
      </c>
      <c r="W9" s="1012"/>
      <c r="X9" s="1012" t="s">
        <v>1071</v>
      </c>
      <c r="Y9" s="1012"/>
      <c r="Z9" s="1012" t="s">
        <v>1072</v>
      </c>
      <c r="AA9" s="1012"/>
      <c r="AB9" s="1012" t="s">
        <v>977</v>
      </c>
      <c r="AC9" s="1012"/>
      <c r="AD9" s="1012" t="s">
        <v>978</v>
      </c>
      <c r="AE9" s="1012"/>
      <c r="AF9" s="1012" t="s">
        <v>1073</v>
      </c>
      <c r="AG9" s="1012"/>
      <c r="AH9" s="1012" t="s">
        <v>1074</v>
      </c>
    </row>
    <row r="10" spans="1:36" s="1035" customFormat="1" ht="13">
      <c r="B10" s="1012"/>
      <c r="C10" s="1013"/>
      <c r="D10" s="1013"/>
      <c r="E10" s="1037"/>
      <c r="F10" s="1012"/>
      <c r="G10" s="1012"/>
      <c r="H10" s="1012"/>
      <c r="I10" s="1012"/>
      <c r="J10" s="1012"/>
      <c r="K10" s="1012"/>
      <c r="L10" s="1012"/>
      <c r="M10" s="1012"/>
      <c r="N10" s="1012"/>
      <c r="O10" s="1012"/>
      <c r="P10" s="1012"/>
      <c r="Q10" s="1012"/>
      <c r="R10" s="1012"/>
      <c r="S10" s="1012"/>
      <c r="T10" s="1012"/>
      <c r="U10" s="1012"/>
      <c r="V10" s="1012"/>
      <c r="W10" s="1012"/>
      <c r="X10" s="1012"/>
      <c r="Y10" s="1012"/>
      <c r="Z10" s="1012"/>
      <c r="AA10" s="1012"/>
      <c r="AB10" s="1012"/>
      <c r="AC10" s="1012"/>
      <c r="AD10" s="1012"/>
      <c r="AE10" s="1012"/>
      <c r="AF10" s="1012"/>
      <c r="AH10" s="1012"/>
    </row>
    <row r="11" spans="1:36" s="1035" customFormat="1" ht="13">
      <c r="B11" s="1012"/>
      <c r="C11" s="1039" t="s">
        <v>1075</v>
      </c>
      <c r="D11" s="1013"/>
      <c r="E11" s="1037"/>
      <c r="F11" s="1012"/>
      <c r="G11" s="1012"/>
      <c r="H11" s="1012"/>
      <c r="I11" s="1012"/>
      <c r="J11" s="1012"/>
      <c r="K11" s="1012"/>
      <c r="L11" s="1012"/>
      <c r="M11" s="1012"/>
      <c r="N11" s="1012"/>
      <c r="O11" s="1012"/>
      <c r="P11" s="1012"/>
      <c r="Q11" s="1012"/>
      <c r="R11" s="1012"/>
      <c r="S11" s="1012"/>
      <c r="T11" s="1012"/>
      <c r="U11" s="1012"/>
      <c r="V11" s="1012"/>
      <c r="W11" s="1012"/>
      <c r="X11" s="1012"/>
      <c r="Y11" s="1012"/>
      <c r="Z11" s="1012"/>
      <c r="AA11" s="1012"/>
      <c r="AB11" s="1012"/>
      <c r="AC11" s="1012"/>
      <c r="AD11" s="1012"/>
      <c r="AE11" s="1012"/>
      <c r="AF11" s="1012"/>
      <c r="AH11" s="1012"/>
    </row>
    <row r="12" spans="1:36">
      <c r="B12" s="1014">
        <v>1</v>
      </c>
      <c r="C12" s="1042" t="s">
        <v>802</v>
      </c>
      <c r="D12" s="1043" t="s">
        <v>802</v>
      </c>
      <c r="E12" s="1042" t="s">
        <v>979</v>
      </c>
      <c r="F12" s="1044">
        <v>43732575</v>
      </c>
      <c r="G12" s="1015">
        <f t="shared" ref="G12:G35" si="0">F12*0.35</f>
        <v>15306401.249999998</v>
      </c>
      <c r="H12" s="1044">
        <v>3607937.4375</v>
      </c>
      <c r="I12" s="1015">
        <f t="shared" ref="I12:I35" si="1">-H12*0.35</f>
        <v>-1262778.1031249999</v>
      </c>
      <c r="J12" s="1015">
        <f>G12+I12+H12</f>
        <v>17651560.584374998</v>
      </c>
      <c r="K12" s="1005"/>
      <c r="L12" s="1044">
        <f t="shared" ref="L12:L33" si="2">F12</f>
        <v>43732575</v>
      </c>
      <c r="M12" s="1015">
        <f t="shared" ref="M12:M35" si="3">L12*0.21</f>
        <v>9183840.75</v>
      </c>
      <c r="N12" s="1044">
        <v>3607937.4375</v>
      </c>
      <c r="O12" s="1015">
        <f t="shared" ref="O12:O35" si="4">-N12*0.21</f>
        <v>-757666.86187499994</v>
      </c>
      <c r="P12" s="1015">
        <f t="shared" ref="P12:P35" si="5">M12+O12+N12</f>
        <v>12034111.325625001</v>
      </c>
      <c r="R12" s="1015">
        <f t="shared" ref="R12:R35" si="6">J12-P12</f>
        <v>5617449.2587499972</v>
      </c>
      <c r="S12" s="1005"/>
      <c r="T12" s="1044">
        <v>5617449.258750001</v>
      </c>
      <c r="U12" s="1005"/>
      <c r="V12" s="1044">
        <v>0</v>
      </c>
      <c r="W12" s="1005"/>
      <c r="X12" s="1015">
        <f t="shared" ref="X12:X35" si="7">R12-T12-V12</f>
        <v>-3.7252902984619141E-9</v>
      </c>
      <c r="Y12" s="1005"/>
      <c r="Z12" s="972" t="s">
        <v>980</v>
      </c>
      <c r="AA12" s="1006"/>
      <c r="AB12" s="972" t="s">
        <v>428</v>
      </c>
      <c r="AC12" s="1006"/>
      <c r="AD12" s="1007">
        <v>0</v>
      </c>
      <c r="AE12" s="1006"/>
      <c r="AF12" s="1015">
        <f t="shared" ref="AF12:AF35" si="8">X12*AD12</f>
        <v>0</v>
      </c>
      <c r="AG12" s="1006"/>
      <c r="AH12" s="1016">
        <v>190</v>
      </c>
      <c r="AI12" s="972"/>
    </row>
    <row r="13" spans="1:36">
      <c r="B13" s="1014">
        <v>2</v>
      </c>
      <c r="C13" s="1042" t="s">
        <v>982</v>
      </c>
      <c r="D13" s="1043" t="s">
        <v>983</v>
      </c>
      <c r="E13" s="1042" t="s">
        <v>979</v>
      </c>
      <c r="F13" s="1045">
        <v>2781937</v>
      </c>
      <c r="G13" s="1022">
        <f t="shared" si="0"/>
        <v>973677.95</v>
      </c>
      <c r="H13" s="1045">
        <v>229509.80250000002</v>
      </c>
      <c r="I13" s="1022">
        <f t="shared" si="1"/>
        <v>-80328.430875000005</v>
      </c>
      <c r="J13" s="1022">
        <f t="shared" ref="J13:J35" si="9">G13+I13+H13</f>
        <v>1122859.3216250001</v>
      </c>
      <c r="K13" s="1040"/>
      <c r="L13" s="1045">
        <f t="shared" si="2"/>
        <v>2781937</v>
      </c>
      <c r="M13" s="1022">
        <f t="shared" si="3"/>
        <v>584206.77</v>
      </c>
      <c r="N13" s="1045">
        <v>229509.80250000002</v>
      </c>
      <c r="O13" s="1022">
        <f t="shared" si="4"/>
        <v>-48197.058525</v>
      </c>
      <c r="P13" s="1022">
        <f t="shared" si="5"/>
        <v>765519.51397500001</v>
      </c>
      <c r="Q13" s="1041"/>
      <c r="R13" s="1022">
        <f t="shared" si="6"/>
        <v>357339.80765000009</v>
      </c>
      <c r="S13" s="1040"/>
      <c r="T13" s="1045">
        <v>357339.80764999986</v>
      </c>
      <c r="U13" s="1040"/>
      <c r="V13" s="1045">
        <v>0</v>
      </c>
      <c r="W13" s="1040"/>
      <c r="X13" s="1022">
        <f t="shared" si="7"/>
        <v>2.3283064365386963E-10</v>
      </c>
      <c r="Y13" s="1005"/>
      <c r="Z13" s="972" t="s">
        <v>980</v>
      </c>
      <c r="AA13" s="1006"/>
      <c r="AB13" s="972" t="s">
        <v>428</v>
      </c>
      <c r="AC13" s="1006"/>
      <c r="AD13" s="1007">
        <v>0</v>
      </c>
      <c r="AE13" s="1006"/>
      <c r="AF13" s="1022">
        <f t="shared" si="8"/>
        <v>0</v>
      </c>
      <c r="AG13" s="1006"/>
      <c r="AH13" s="1016">
        <v>190</v>
      </c>
      <c r="AI13" s="964"/>
    </row>
    <row r="14" spans="1:36">
      <c r="B14" s="1014">
        <v>3</v>
      </c>
      <c r="C14" s="1042" t="s">
        <v>984</v>
      </c>
      <c r="D14" s="1043" t="s">
        <v>984</v>
      </c>
      <c r="E14" s="1042" t="s">
        <v>979</v>
      </c>
      <c r="F14" s="1045">
        <v>24049917</v>
      </c>
      <c r="G14" s="1022">
        <f t="shared" si="0"/>
        <v>8417470.9499999993</v>
      </c>
      <c r="H14" s="1045">
        <v>1984118.1525000001</v>
      </c>
      <c r="I14" s="1022">
        <f t="shared" si="1"/>
        <v>-694441.35337499995</v>
      </c>
      <c r="J14" s="1022">
        <f t="shared" si="9"/>
        <v>9707147.7491250001</v>
      </c>
      <c r="K14" s="1040"/>
      <c r="L14" s="1045">
        <f t="shared" si="2"/>
        <v>24049917</v>
      </c>
      <c r="M14" s="1022">
        <f t="shared" si="3"/>
        <v>5050482.5699999994</v>
      </c>
      <c r="N14" s="1045">
        <v>1984118.1525000001</v>
      </c>
      <c r="O14" s="1022">
        <f t="shared" si="4"/>
        <v>-416664.81202499999</v>
      </c>
      <c r="P14" s="1022">
        <f t="shared" si="5"/>
        <v>6617935.9104749989</v>
      </c>
      <c r="Q14" s="1041"/>
      <c r="R14" s="1022">
        <f t="shared" si="6"/>
        <v>3089211.8386500012</v>
      </c>
      <c r="S14" s="1040"/>
      <c r="T14" s="1045">
        <v>3089211.8386500012</v>
      </c>
      <c r="U14" s="1040"/>
      <c r="V14" s="1045">
        <v>0</v>
      </c>
      <c r="W14" s="1040"/>
      <c r="X14" s="1022">
        <f t="shared" si="7"/>
        <v>0</v>
      </c>
      <c r="Y14" s="1005"/>
      <c r="Z14" s="972" t="s">
        <v>980</v>
      </c>
      <c r="AA14" s="1006"/>
      <c r="AB14" s="972" t="s">
        <v>428</v>
      </c>
      <c r="AC14" s="1006"/>
      <c r="AD14" s="1007">
        <v>0</v>
      </c>
      <c r="AE14" s="1006"/>
      <c r="AF14" s="1022">
        <f t="shared" si="8"/>
        <v>0</v>
      </c>
      <c r="AG14" s="1006"/>
      <c r="AH14" s="1016">
        <v>190</v>
      </c>
      <c r="AI14" s="972"/>
    </row>
    <row r="15" spans="1:36">
      <c r="B15" s="1014">
        <v>4</v>
      </c>
      <c r="C15" s="1042" t="s">
        <v>985</v>
      </c>
      <c r="D15" s="1043" t="s">
        <v>985</v>
      </c>
      <c r="E15" s="1042" t="s">
        <v>979</v>
      </c>
      <c r="F15" s="1045">
        <v>17129443</v>
      </c>
      <c r="G15" s="1022">
        <f t="shared" si="0"/>
        <v>5995305.0499999998</v>
      </c>
      <c r="H15" s="1045">
        <v>1413179.0475000001</v>
      </c>
      <c r="I15" s="1022">
        <f t="shared" si="1"/>
        <v>-494612.66662500001</v>
      </c>
      <c r="J15" s="1022">
        <f t="shared" si="9"/>
        <v>6913871.4308750005</v>
      </c>
      <c r="K15" s="1040"/>
      <c r="L15" s="1045">
        <f t="shared" si="2"/>
        <v>17129443</v>
      </c>
      <c r="M15" s="1022">
        <f t="shared" si="3"/>
        <v>3597183.03</v>
      </c>
      <c r="N15" s="1045">
        <v>1413179.0475000001</v>
      </c>
      <c r="O15" s="1022">
        <f t="shared" si="4"/>
        <v>-296767.59997500002</v>
      </c>
      <c r="P15" s="1022">
        <f t="shared" si="5"/>
        <v>4713594.4775249995</v>
      </c>
      <c r="Q15" s="1041"/>
      <c r="R15" s="1022">
        <f t="shared" si="6"/>
        <v>2200276.953350001</v>
      </c>
      <c r="S15" s="1040"/>
      <c r="T15" s="1045">
        <v>2200276.953350001</v>
      </c>
      <c r="U15" s="1040"/>
      <c r="V15" s="1045">
        <v>0</v>
      </c>
      <c r="W15" s="1040"/>
      <c r="X15" s="1022">
        <f t="shared" si="7"/>
        <v>0</v>
      </c>
      <c r="Y15" s="1005"/>
      <c r="Z15" s="972" t="s">
        <v>980</v>
      </c>
      <c r="AA15" s="1006"/>
      <c r="AB15" s="972" t="s">
        <v>428</v>
      </c>
      <c r="AC15" s="1006"/>
      <c r="AD15" s="1007">
        <v>0</v>
      </c>
      <c r="AE15" s="1006"/>
      <c r="AF15" s="1022">
        <f t="shared" si="8"/>
        <v>0</v>
      </c>
      <c r="AG15" s="1006"/>
      <c r="AH15" s="1016">
        <v>190</v>
      </c>
      <c r="AI15" s="972"/>
    </row>
    <row r="16" spans="1:36">
      <c r="B16" s="1014">
        <v>5</v>
      </c>
      <c r="C16" s="1042" t="s">
        <v>986</v>
      </c>
      <c r="D16" s="1043" t="s">
        <v>985</v>
      </c>
      <c r="E16" s="1042" t="s">
        <v>979</v>
      </c>
      <c r="F16" s="1045">
        <v>9581194</v>
      </c>
      <c r="G16" s="1022">
        <f t="shared" si="0"/>
        <v>3353417.9</v>
      </c>
      <c r="H16" s="1045">
        <v>0</v>
      </c>
      <c r="I16" s="1022">
        <f t="shared" si="1"/>
        <v>0</v>
      </c>
      <c r="J16" s="1022">
        <f t="shared" si="9"/>
        <v>3353417.9</v>
      </c>
      <c r="K16" s="1040"/>
      <c r="L16" s="1045">
        <f t="shared" si="2"/>
        <v>9581194</v>
      </c>
      <c r="M16" s="1022">
        <f t="shared" si="3"/>
        <v>2012050.74</v>
      </c>
      <c r="N16" s="1045">
        <v>0</v>
      </c>
      <c r="O16" s="1022">
        <f t="shared" si="4"/>
        <v>0</v>
      </c>
      <c r="P16" s="1022">
        <f t="shared" si="5"/>
        <v>2012050.74</v>
      </c>
      <c r="Q16" s="1041"/>
      <c r="R16" s="1022">
        <f t="shared" si="6"/>
        <v>1341367.1599999999</v>
      </c>
      <c r="S16" s="1040"/>
      <c r="T16" s="1045">
        <v>1341367.1599999999</v>
      </c>
      <c r="U16" s="1040"/>
      <c r="V16" s="1045">
        <v>0</v>
      </c>
      <c r="W16" s="1040"/>
      <c r="X16" s="1022">
        <f t="shared" si="7"/>
        <v>0</v>
      </c>
      <c r="Y16" s="1005"/>
      <c r="Z16" s="972" t="s">
        <v>980</v>
      </c>
      <c r="AA16" s="1006"/>
      <c r="AB16" s="972" t="s">
        <v>428</v>
      </c>
      <c r="AC16" s="1006"/>
      <c r="AD16" s="1007">
        <v>0</v>
      </c>
      <c r="AE16" s="1006"/>
      <c r="AF16" s="1022">
        <f t="shared" si="8"/>
        <v>0</v>
      </c>
      <c r="AG16" s="1006"/>
      <c r="AH16" s="1016">
        <v>190</v>
      </c>
      <c r="AI16" s="972"/>
    </row>
    <row r="17" spans="2:35">
      <c r="B17" s="1014">
        <v>6</v>
      </c>
      <c r="C17" s="1042" t="s">
        <v>987</v>
      </c>
      <c r="D17" s="1043" t="s">
        <v>988</v>
      </c>
      <c r="E17" s="1042" t="s">
        <v>979</v>
      </c>
      <c r="F17" s="1045">
        <v>1094070</v>
      </c>
      <c r="G17" s="1022">
        <f t="shared" si="0"/>
        <v>382924.5</v>
      </c>
      <c r="H17" s="1045">
        <v>90260.775000000009</v>
      </c>
      <c r="I17" s="1022">
        <f t="shared" si="1"/>
        <v>-31591.271250000002</v>
      </c>
      <c r="J17" s="1022">
        <f t="shared" si="9"/>
        <v>441594.00375000003</v>
      </c>
      <c r="K17" s="1040"/>
      <c r="L17" s="1045">
        <f t="shared" si="2"/>
        <v>1094070</v>
      </c>
      <c r="M17" s="1022">
        <f t="shared" si="3"/>
        <v>229754.69999999998</v>
      </c>
      <c r="N17" s="1045">
        <v>90260.775000000009</v>
      </c>
      <c r="O17" s="1022">
        <f t="shared" si="4"/>
        <v>-18954.762750000002</v>
      </c>
      <c r="P17" s="1022">
        <f t="shared" si="5"/>
        <v>301060.71224999998</v>
      </c>
      <c r="Q17" s="1041"/>
      <c r="R17" s="1022">
        <f t="shared" si="6"/>
        <v>140533.29150000005</v>
      </c>
      <c r="S17" s="1040"/>
      <c r="T17" s="1045">
        <v>0</v>
      </c>
      <c r="U17" s="1040"/>
      <c r="V17" s="1045">
        <f>+R17</f>
        <v>140533.29150000005</v>
      </c>
      <c r="W17" s="1040"/>
      <c r="X17" s="1022">
        <f t="shared" si="7"/>
        <v>0</v>
      </c>
      <c r="Y17" s="1005"/>
      <c r="Z17" s="972" t="s">
        <v>980</v>
      </c>
      <c r="AA17" s="1006"/>
      <c r="AB17" s="972" t="s">
        <v>428</v>
      </c>
      <c r="AC17" s="1006"/>
      <c r="AD17" s="1007">
        <v>0</v>
      </c>
      <c r="AE17" s="1006"/>
      <c r="AF17" s="1022">
        <f t="shared" si="8"/>
        <v>0</v>
      </c>
      <c r="AG17" s="1006"/>
      <c r="AH17" s="1016">
        <v>190</v>
      </c>
      <c r="AI17" s="972"/>
    </row>
    <row r="18" spans="2:35">
      <c r="B18" s="1014">
        <v>7</v>
      </c>
      <c r="C18" s="1042" t="s">
        <v>987</v>
      </c>
      <c r="D18" s="1043" t="s">
        <v>988</v>
      </c>
      <c r="E18" s="1042" t="s">
        <v>979</v>
      </c>
      <c r="F18" s="1045">
        <v>2907464</v>
      </c>
      <c r="G18" s="1022">
        <f t="shared" si="0"/>
        <v>1017612.3999999999</v>
      </c>
      <c r="H18" s="1045">
        <v>0</v>
      </c>
      <c r="I18" s="1022">
        <f t="shared" si="1"/>
        <v>0</v>
      </c>
      <c r="J18" s="1022">
        <f t="shared" si="9"/>
        <v>1017612.3999999999</v>
      </c>
      <c r="K18" s="1040"/>
      <c r="L18" s="1045">
        <f t="shared" si="2"/>
        <v>2907464</v>
      </c>
      <c r="M18" s="1022">
        <f t="shared" si="3"/>
        <v>610567.43999999994</v>
      </c>
      <c r="N18" s="1045">
        <v>0</v>
      </c>
      <c r="O18" s="1022">
        <f t="shared" si="4"/>
        <v>0</v>
      </c>
      <c r="P18" s="1022">
        <f t="shared" si="5"/>
        <v>610567.43999999994</v>
      </c>
      <c r="Q18" s="1041"/>
      <c r="R18" s="1022">
        <f t="shared" si="6"/>
        <v>407044.95999999996</v>
      </c>
      <c r="S18" s="1040"/>
      <c r="T18" s="1045">
        <v>0</v>
      </c>
      <c r="U18" s="1040"/>
      <c r="V18" s="1045">
        <f>+R18</f>
        <v>407044.95999999996</v>
      </c>
      <c r="W18" s="1040"/>
      <c r="X18" s="1022">
        <f t="shared" si="7"/>
        <v>0</v>
      </c>
      <c r="Y18" s="1005"/>
      <c r="Z18" s="972" t="s">
        <v>980</v>
      </c>
      <c r="AA18" s="1006"/>
      <c r="AB18" s="972" t="s">
        <v>428</v>
      </c>
      <c r="AC18" s="1006"/>
      <c r="AD18" s="1007">
        <v>0</v>
      </c>
      <c r="AE18" s="1006"/>
      <c r="AF18" s="1022">
        <f t="shared" si="8"/>
        <v>0</v>
      </c>
      <c r="AG18" s="1006"/>
      <c r="AH18" s="1016">
        <v>190</v>
      </c>
      <c r="AI18" s="972"/>
    </row>
    <row r="19" spans="2:35">
      <c r="B19" s="1014">
        <v>8</v>
      </c>
      <c r="C19" s="1042" t="s">
        <v>989</v>
      </c>
      <c r="D19" s="1043" t="s">
        <v>990</v>
      </c>
      <c r="E19" s="1042" t="s">
        <v>979</v>
      </c>
      <c r="F19" s="1045">
        <v>218601378.19</v>
      </c>
      <c r="G19" s="1022">
        <f t="shared" si="0"/>
        <v>76510482.36649999</v>
      </c>
      <c r="H19" s="1045">
        <v>18034613.700675</v>
      </c>
      <c r="I19" s="1022">
        <f t="shared" si="1"/>
        <v>-6312114.7952362495</v>
      </c>
      <c r="J19" s="1022">
        <f t="shared" si="9"/>
        <v>88232981.271938741</v>
      </c>
      <c r="K19" s="1040"/>
      <c r="L19" s="1045">
        <f t="shared" si="2"/>
        <v>218601378.19</v>
      </c>
      <c r="M19" s="1022">
        <f t="shared" si="3"/>
        <v>45906289.4199</v>
      </c>
      <c r="N19" s="1045">
        <v>18034613.700675</v>
      </c>
      <c r="O19" s="1022">
        <f t="shared" si="4"/>
        <v>-3787268.87714175</v>
      </c>
      <c r="P19" s="1022">
        <f t="shared" si="5"/>
        <v>60153634.243433252</v>
      </c>
      <c r="Q19" s="1041"/>
      <c r="R19" s="1022">
        <f t="shared" si="6"/>
        <v>28079347.028505489</v>
      </c>
      <c r="S19" s="1040"/>
      <c r="T19" s="1045">
        <v>0</v>
      </c>
      <c r="U19" s="1040"/>
      <c r="V19" s="1045">
        <v>0</v>
      </c>
      <c r="W19" s="1040"/>
      <c r="X19" s="1022">
        <f t="shared" si="7"/>
        <v>28079347.028505489</v>
      </c>
      <c r="Y19" s="1005"/>
      <c r="Z19" s="972" t="s">
        <v>980</v>
      </c>
      <c r="AA19" s="1006"/>
      <c r="AB19" s="972" t="s">
        <v>429</v>
      </c>
      <c r="AC19" s="1006"/>
      <c r="AD19" s="1007">
        <v>0</v>
      </c>
      <c r="AE19" s="1006"/>
      <c r="AF19" s="1022">
        <f t="shared" si="8"/>
        <v>0</v>
      </c>
      <c r="AG19" s="1006"/>
      <c r="AH19" s="1016">
        <v>190</v>
      </c>
      <c r="AI19" s="964"/>
    </row>
    <row r="20" spans="2:35">
      <c r="B20" s="1014">
        <v>9</v>
      </c>
      <c r="C20" s="1042" t="s">
        <v>991</v>
      </c>
      <c r="D20" s="1043" t="s">
        <v>384</v>
      </c>
      <c r="E20" s="1042" t="s">
        <v>979</v>
      </c>
      <c r="F20" s="1045">
        <v>450672</v>
      </c>
      <c r="G20" s="1022">
        <f t="shared" si="0"/>
        <v>157735.19999999998</v>
      </c>
      <c r="H20" s="1045">
        <v>37180.44</v>
      </c>
      <c r="I20" s="1022">
        <f t="shared" si="1"/>
        <v>-13013.154</v>
      </c>
      <c r="J20" s="1022">
        <f t="shared" si="9"/>
        <v>181902.48599999998</v>
      </c>
      <c r="K20" s="1040"/>
      <c r="L20" s="1045">
        <f t="shared" si="2"/>
        <v>450672</v>
      </c>
      <c r="M20" s="1022">
        <f t="shared" si="3"/>
        <v>94641.12</v>
      </c>
      <c r="N20" s="1045">
        <v>37180.44</v>
      </c>
      <c r="O20" s="1022">
        <f t="shared" si="4"/>
        <v>-7807.8924000000006</v>
      </c>
      <c r="P20" s="1022">
        <f t="shared" si="5"/>
        <v>124013.6676</v>
      </c>
      <c r="Q20" s="1041"/>
      <c r="R20" s="1022">
        <f t="shared" si="6"/>
        <v>57888.818399999975</v>
      </c>
      <c r="S20" s="1040"/>
      <c r="T20" s="1045">
        <v>0</v>
      </c>
      <c r="U20" s="1040"/>
      <c r="V20" s="1045">
        <v>0</v>
      </c>
      <c r="W20" s="1040"/>
      <c r="X20" s="1022">
        <f t="shared" si="7"/>
        <v>57888.818399999975</v>
      </c>
      <c r="Y20" s="1005"/>
      <c r="Z20" s="972" t="s">
        <v>993</v>
      </c>
      <c r="AA20" s="1006"/>
      <c r="AB20" s="972" t="s">
        <v>429</v>
      </c>
      <c r="AC20" s="1006"/>
      <c r="AD20" s="1007">
        <v>0.11985</v>
      </c>
      <c r="AE20" s="1006"/>
      <c r="AF20" s="1022">
        <f t="shared" si="8"/>
        <v>6937.9748852399971</v>
      </c>
      <c r="AG20" s="1006"/>
      <c r="AH20" s="1016">
        <v>190</v>
      </c>
      <c r="AI20" s="964"/>
    </row>
    <row r="21" spans="2:35">
      <c r="B21" s="1014">
        <v>10</v>
      </c>
      <c r="C21" s="1042" t="s">
        <v>994</v>
      </c>
      <c r="D21" s="1043" t="s">
        <v>995</v>
      </c>
      <c r="E21" s="1042" t="s">
        <v>979</v>
      </c>
      <c r="F21" s="1045">
        <v>2817764</v>
      </c>
      <c r="G21" s="1022">
        <f t="shared" si="0"/>
        <v>986217.39999999991</v>
      </c>
      <c r="H21" s="1045">
        <v>232465.53</v>
      </c>
      <c r="I21" s="1022">
        <f t="shared" si="1"/>
        <v>-81362.935499999992</v>
      </c>
      <c r="J21" s="1022">
        <f t="shared" si="9"/>
        <v>1137319.9944999998</v>
      </c>
      <c r="K21" s="1040"/>
      <c r="L21" s="1045">
        <f t="shared" si="2"/>
        <v>2817764</v>
      </c>
      <c r="M21" s="1022">
        <f t="shared" si="3"/>
        <v>591730.43999999994</v>
      </c>
      <c r="N21" s="1045">
        <v>232465.53</v>
      </c>
      <c r="O21" s="1022">
        <f t="shared" si="4"/>
        <v>-48817.761299999998</v>
      </c>
      <c r="P21" s="1022">
        <f t="shared" si="5"/>
        <v>775378.20869999996</v>
      </c>
      <c r="Q21" s="1041"/>
      <c r="R21" s="1022">
        <f t="shared" si="6"/>
        <v>361941.78579999984</v>
      </c>
      <c r="S21" s="1040"/>
      <c r="T21" s="1045"/>
      <c r="U21" s="1040"/>
      <c r="V21" s="1045">
        <v>0</v>
      </c>
      <c r="W21" s="1040"/>
      <c r="X21" s="1022">
        <f t="shared" si="7"/>
        <v>361941.78579999984</v>
      </c>
      <c r="Y21" s="1005"/>
      <c r="Z21" s="972" t="s">
        <v>980</v>
      </c>
      <c r="AA21" s="1006"/>
      <c r="AB21" s="972" t="s">
        <v>429</v>
      </c>
      <c r="AC21" s="1006"/>
      <c r="AD21" s="1007">
        <v>0</v>
      </c>
      <c r="AE21" s="1006"/>
      <c r="AF21" s="1022">
        <f t="shared" si="8"/>
        <v>0</v>
      </c>
      <c r="AG21" s="1006"/>
      <c r="AH21" s="1016">
        <v>190</v>
      </c>
      <c r="AI21" s="964"/>
    </row>
    <row r="22" spans="2:35">
      <c r="B22" s="1014">
        <v>11</v>
      </c>
      <c r="C22" s="1042" t="s">
        <v>996</v>
      </c>
      <c r="D22" s="1043" t="s">
        <v>996</v>
      </c>
      <c r="E22" s="1042" t="s">
        <v>979</v>
      </c>
      <c r="F22" s="1045">
        <v>6295799</v>
      </c>
      <c r="G22" s="1022">
        <f t="shared" si="0"/>
        <v>2203529.65</v>
      </c>
      <c r="H22" s="1045">
        <v>519403.41750000004</v>
      </c>
      <c r="I22" s="1022">
        <f t="shared" si="1"/>
        <v>-181791.19612500002</v>
      </c>
      <c r="J22" s="1022">
        <f t="shared" si="9"/>
        <v>2541141.8713750001</v>
      </c>
      <c r="K22" s="1040"/>
      <c r="L22" s="1045">
        <f t="shared" si="2"/>
        <v>6295799</v>
      </c>
      <c r="M22" s="1022">
        <f t="shared" si="3"/>
        <v>1322117.79</v>
      </c>
      <c r="N22" s="1045">
        <v>519403.41750000004</v>
      </c>
      <c r="O22" s="1022">
        <f t="shared" si="4"/>
        <v>-109074.71767500001</v>
      </c>
      <c r="P22" s="1022">
        <f t="shared" si="5"/>
        <v>1732446.4898250001</v>
      </c>
      <c r="Q22" s="1041"/>
      <c r="R22" s="1022">
        <f t="shared" si="6"/>
        <v>808695.38155000005</v>
      </c>
      <c r="S22" s="1040"/>
      <c r="T22" s="1045">
        <v>808695</v>
      </c>
      <c r="U22" s="1040"/>
      <c r="V22" s="1045">
        <v>0</v>
      </c>
      <c r="W22" s="1040"/>
      <c r="X22" s="1022">
        <f t="shared" si="7"/>
        <v>0.38155000004917383</v>
      </c>
      <c r="Y22" s="1005"/>
      <c r="Z22" s="972" t="s">
        <v>980</v>
      </c>
      <c r="AA22" s="1006"/>
      <c r="AB22" s="972" t="s">
        <v>428</v>
      </c>
      <c r="AC22" s="1006"/>
      <c r="AD22" s="1007">
        <v>0</v>
      </c>
      <c r="AE22" s="1006"/>
      <c r="AF22" s="1022">
        <f t="shared" si="8"/>
        <v>0</v>
      </c>
      <c r="AG22" s="1006"/>
      <c r="AH22" s="1016">
        <v>190</v>
      </c>
      <c r="AI22" s="972"/>
    </row>
    <row r="23" spans="2:35">
      <c r="B23" s="1014">
        <v>12</v>
      </c>
      <c r="C23" s="1042" t="s">
        <v>997</v>
      </c>
      <c r="D23" s="1043" t="s">
        <v>997</v>
      </c>
      <c r="E23" s="1042" t="s">
        <v>979</v>
      </c>
      <c r="F23" s="1045">
        <v>-94660</v>
      </c>
      <c r="G23" s="1022">
        <f t="shared" si="0"/>
        <v>-33131</v>
      </c>
      <c r="H23" s="1045">
        <v>-7809.4500000000007</v>
      </c>
      <c r="I23" s="1022">
        <f t="shared" si="1"/>
        <v>2733.3074999999999</v>
      </c>
      <c r="J23" s="1022">
        <f t="shared" si="9"/>
        <v>-38207.142500000002</v>
      </c>
      <c r="K23" s="1040"/>
      <c r="L23" s="1045">
        <f t="shared" si="2"/>
        <v>-94660</v>
      </c>
      <c r="M23" s="1022">
        <f t="shared" si="3"/>
        <v>-19878.599999999999</v>
      </c>
      <c r="N23" s="1045">
        <v>-7809.4500000000007</v>
      </c>
      <c r="O23" s="1022">
        <f t="shared" si="4"/>
        <v>1639.9845</v>
      </c>
      <c r="P23" s="1022">
        <f t="shared" si="5"/>
        <v>-26048.065500000001</v>
      </c>
      <c r="Q23" s="1041"/>
      <c r="R23" s="1022">
        <f t="shared" si="6"/>
        <v>-12159.077000000001</v>
      </c>
      <c r="S23" s="1040"/>
      <c r="T23" s="1045">
        <v>-12159</v>
      </c>
      <c r="U23" s="1040"/>
      <c r="V23" s="1045">
        <v>0</v>
      </c>
      <c r="W23" s="1040"/>
      <c r="X23" s="1022">
        <f t="shared" si="7"/>
        <v>-7.7000000001135049E-2</v>
      </c>
      <c r="Y23" s="1005"/>
      <c r="Z23" s="972" t="s">
        <v>980</v>
      </c>
      <c r="AA23" s="1006"/>
      <c r="AB23" s="972" t="s">
        <v>428</v>
      </c>
      <c r="AC23" s="1006"/>
      <c r="AD23" s="1007">
        <v>0</v>
      </c>
      <c r="AE23" s="1006"/>
      <c r="AF23" s="1022">
        <f t="shared" si="8"/>
        <v>0</v>
      </c>
      <c r="AG23" s="1006"/>
      <c r="AH23" s="1016">
        <v>190</v>
      </c>
      <c r="AI23" s="972"/>
    </row>
    <row r="24" spans="2:35">
      <c r="B24" s="1014">
        <v>13</v>
      </c>
      <c r="C24" s="1042" t="s">
        <v>998</v>
      </c>
      <c r="D24" s="1043" t="s">
        <v>384</v>
      </c>
      <c r="E24" s="1042" t="s">
        <v>979</v>
      </c>
      <c r="F24" s="1045">
        <v>5445487</v>
      </c>
      <c r="G24" s="1022">
        <f t="shared" si="0"/>
        <v>1905920.45</v>
      </c>
      <c r="H24" s="1045">
        <v>449252.67750000005</v>
      </c>
      <c r="I24" s="1022">
        <f t="shared" si="1"/>
        <v>-157238.437125</v>
      </c>
      <c r="J24" s="1022">
        <f t="shared" si="9"/>
        <v>2197934.6903750002</v>
      </c>
      <c r="K24" s="1040"/>
      <c r="L24" s="1045">
        <f t="shared" si="2"/>
        <v>5445487</v>
      </c>
      <c r="M24" s="1022">
        <f t="shared" si="3"/>
        <v>1143552.27</v>
      </c>
      <c r="N24" s="1045">
        <v>449252.67750000005</v>
      </c>
      <c r="O24" s="1022">
        <f t="shared" si="4"/>
        <v>-94343.062275000004</v>
      </c>
      <c r="P24" s="1022">
        <f t="shared" si="5"/>
        <v>1498461.8852250001</v>
      </c>
      <c r="Q24" s="1041"/>
      <c r="R24" s="1022">
        <f t="shared" si="6"/>
        <v>699472.80515000015</v>
      </c>
      <c r="S24" s="1040"/>
      <c r="T24" s="1045">
        <v>699473</v>
      </c>
      <c r="U24" s="1040"/>
      <c r="V24" s="1045">
        <v>0</v>
      </c>
      <c r="W24" s="1040"/>
      <c r="X24" s="1022">
        <f t="shared" si="7"/>
        <v>-0.19484999985434115</v>
      </c>
      <c r="Y24" s="1005"/>
      <c r="Z24" s="972" t="s">
        <v>980</v>
      </c>
      <c r="AA24" s="1006"/>
      <c r="AB24" s="972" t="s">
        <v>428</v>
      </c>
      <c r="AC24" s="1006"/>
      <c r="AD24" s="1007">
        <v>0</v>
      </c>
      <c r="AE24" s="1006"/>
      <c r="AF24" s="1022">
        <f t="shared" si="8"/>
        <v>0</v>
      </c>
      <c r="AG24" s="1006"/>
      <c r="AH24" s="1016">
        <v>190</v>
      </c>
      <c r="AI24" s="964"/>
    </row>
    <row r="25" spans="2:35">
      <c r="B25" s="1014">
        <v>14</v>
      </c>
      <c r="C25" s="1042" t="s">
        <v>999</v>
      </c>
      <c r="D25" s="1043" t="s">
        <v>384</v>
      </c>
      <c r="E25" s="1042" t="s">
        <v>979</v>
      </c>
      <c r="F25" s="1045">
        <v>2800967</v>
      </c>
      <c r="G25" s="1022">
        <f t="shared" si="0"/>
        <v>980338.45</v>
      </c>
      <c r="H25" s="1045">
        <v>231079.7775</v>
      </c>
      <c r="I25" s="1022">
        <f t="shared" si="1"/>
        <v>-80877.922124999997</v>
      </c>
      <c r="J25" s="1022">
        <f t="shared" si="9"/>
        <v>1130540.305375</v>
      </c>
      <c r="K25" s="1040"/>
      <c r="L25" s="1045">
        <f t="shared" si="2"/>
        <v>2800967</v>
      </c>
      <c r="M25" s="1022">
        <f t="shared" si="3"/>
        <v>588203.06999999995</v>
      </c>
      <c r="N25" s="1045">
        <v>231079.7775</v>
      </c>
      <c r="O25" s="1022">
        <f t="shared" si="4"/>
        <v>-48526.753274999995</v>
      </c>
      <c r="P25" s="1022">
        <f t="shared" si="5"/>
        <v>770756.09422499989</v>
      </c>
      <c r="Q25" s="1041"/>
      <c r="R25" s="1022">
        <f t="shared" si="6"/>
        <v>359784.2111500001</v>
      </c>
      <c r="S25" s="1040"/>
      <c r="T25" s="1045">
        <v>359784</v>
      </c>
      <c r="U25" s="1040"/>
      <c r="V25" s="1045">
        <v>0</v>
      </c>
      <c r="W25" s="1040"/>
      <c r="X25" s="1022">
        <f t="shared" si="7"/>
        <v>0.21115000010468066</v>
      </c>
      <c r="Y25" s="1005"/>
      <c r="Z25" s="972" t="s">
        <v>980</v>
      </c>
      <c r="AA25" s="1006"/>
      <c r="AB25" s="972" t="s">
        <v>428</v>
      </c>
      <c r="AC25" s="1006"/>
      <c r="AD25" s="1007">
        <v>0</v>
      </c>
      <c r="AE25" s="1006"/>
      <c r="AF25" s="1022">
        <f t="shared" si="8"/>
        <v>0</v>
      </c>
      <c r="AG25" s="1006"/>
      <c r="AH25" s="1016">
        <v>190</v>
      </c>
      <c r="AI25" s="964"/>
    </row>
    <row r="26" spans="2:35">
      <c r="B26" s="1014">
        <v>15</v>
      </c>
      <c r="C26" s="1042" t="s">
        <v>1000</v>
      </c>
      <c r="D26" s="1043" t="s">
        <v>384</v>
      </c>
      <c r="E26" s="1042" t="s">
        <v>979</v>
      </c>
      <c r="F26" s="1045">
        <v>1883262</v>
      </c>
      <c r="G26" s="1022">
        <f t="shared" si="0"/>
        <v>659141.69999999995</v>
      </c>
      <c r="H26" s="1045">
        <v>155369.11500000002</v>
      </c>
      <c r="I26" s="1022">
        <f t="shared" si="1"/>
        <v>-54379.190250000007</v>
      </c>
      <c r="J26" s="1022">
        <f t="shared" si="9"/>
        <v>760131.62474999996</v>
      </c>
      <c r="K26" s="1040"/>
      <c r="L26" s="1045">
        <f t="shared" si="2"/>
        <v>1883262</v>
      </c>
      <c r="M26" s="1022">
        <f t="shared" si="3"/>
        <v>395485.01999999996</v>
      </c>
      <c r="N26" s="1045">
        <v>155369.11500000002</v>
      </c>
      <c r="O26" s="1022">
        <f t="shared" si="4"/>
        <v>-32627.514150000003</v>
      </c>
      <c r="P26" s="1022">
        <f t="shared" si="5"/>
        <v>518226.62084999995</v>
      </c>
      <c r="Q26" s="1041"/>
      <c r="R26" s="1022">
        <f t="shared" si="6"/>
        <v>241905.00390000001</v>
      </c>
      <c r="S26" s="1040"/>
      <c r="T26" s="1045">
        <v>241905</v>
      </c>
      <c r="U26" s="1040"/>
      <c r="V26" s="1045">
        <v>0</v>
      </c>
      <c r="W26" s="1040"/>
      <c r="X26" s="1022">
        <f t="shared" si="7"/>
        <v>3.9000000106170774E-3</v>
      </c>
      <c r="Y26" s="1005"/>
      <c r="Z26" s="972" t="s">
        <v>980</v>
      </c>
      <c r="AA26" s="1006"/>
      <c r="AB26" s="972" t="s">
        <v>428</v>
      </c>
      <c r="AC26" s="1006"/>
      <c r="AD26" s="1007">
        <v>0</v>
      </c>
      <c r="AE26" s="1006"/>
      <c r="AF26" s="1022">
        <f t="shared" si="8"/>
        <v>0</v>
      </c>
      <c r="AG26" s="1006"/>
      <c r="AH26" s="1016">
        <v>190</v>
      </c>
      <c r="AI26" s="964"/>
    </row>
    <row r="27" spans="2:35">
      <c r="B27" s="1014">
        <v>16</v>
      </c>
      <c r="C27" s="1042" t="s">
        <v>992</v>
      </c>
      <c r="D27" s="1043" t="s">
        <v>384</v>
      </c>
      <c r="E27" s="1042" t="s">
        <v>979</v>
      </c>
      <c r="F27" s="1045">
        <v>506414</v>
      </c>
      <c r="G27" s="1022">
        <f t="shared" si="0"/>
        <v>177244.9</v>
      </c>
      <c r="H27" s="1045">
        <v>41779.154999999999</v>
      </c>
      <c r="I27" s="1022">
        <f t="shared" si="1"/>
        <v>-14622.704249999999</v>
      </c>
      <c r="J27" s="1022">
        <f t="shared" si="9"/>
        <v>204401.35074999998</v>
      </c>
      <c r="K27" s="1040"/>
      <c r="L27" s="1045">
        <f t="shared" si="2"/>
        <v>506414</v>
      </c>
      <c r="M27" s="1022">
        <f t="shared" si="3"/>
        <v>106346.94</v>
      </c>
      <c r="N27" s="1045">
        <v>41779.154999999999</v>
      </c>
      <c r="O27" s="1022">
        <f t="shared" si="4"/>
        <v>-8773.62255</v>
      </c>
      <c r="P27" s="1022">
        <f t="shared" si="5"/>
        <v>139352.47245</v>
      </c>
      <c r="Q27" s="1041"/>
      <c r="R27" s="1022">
        <f t="shared" si="6"/>
        <v>65048.878299999982</v>
      </c>
      <c r="S27" s="1040"/>
      <c r="T27" s="1045">
        <v>65049</v>
      </c>
      <c r="U27" s="1040"/>
      <c r="V27" s="1045">
        <v>0</v>
      </c>
      <c r="W27" s="1040"/>
      <c r="X27" s="1022">
        <f t="shared" si="7"/>
        <v>-0.12170000001788139</v>
      </c>
      <c r="Y27" s="1005"/>
      <c r="Z27" s="972" t="s">
        <v>980</v>
      </c>
      <c r="AA27" s="1006"/>
      <c r="AB27" s="972" t="s">
        <v>428</v>
      </c>
      <c r="AC27" s="1006"/>
      <c r="AD27" s="1007">
        <v>0</v>
      </c>
      <c r="AE27" s="1006"/>
      <c r="AF27" s="1022">
        <f t="shared" si="8"/>
        <v>0</v>
      </c>
      <c r="AG27" s="1006"/>
      <c r="AH27" s="1016">
        <v>190</v>
      </c>
      <c r="AI27" s="964"/>
    </row>
    <row r="28" spans="2:35">
      <c r="B28" s="1014">
        <v>17</v>
      </c>
      <c r="C28" s="1042" t="s">
        <v>1001</v>
      </c>
      <c r="D28" s="1043" t="s">
        <v>804</v>
      </c>
      <c r="E28" s="1042" t="s">
        <v>979</v>
      </c>
      <c r="F28" s="1045">
        <v>5607201</v>
      </c>
      <c r="G28" s="1022">
        <f t="shared" si="0"/>
        <v>1962520.3499999999</v>
      </c>
      <c r="H28" s="1045">
        <v>462594.08250000002</v>
      </c>
      <c r="I28" s="1022">
        <f t="shared" si="1"/>
        <v>-161907.92887499998</v>
      </c>
      <c r="J28" s="1022">
        <f t="shared" si="9"/>
        <v>2263206.5036249999</v>
      </c>
      <c r="K28" s="1040"/>
      <c r="L28" s="1045">
        <f t="shared" si="2"/>
        <v>5607201</v>
      </c>
      <c r="M28" s="1022">
        <f t="shared" si="3"/>
        <v>1177512.21</v>
      </c>
      <c r="N28" s="1045">
        <v>462594.08250000002</v>
      </c>
      <c r="O28" s="1022">
        <f t="shared" si="4"/>
        <v>-97144.757324999999</v>
      </c>
      <c r="P28" s="1022">
        <f t="shared" si="5"/>
        <v>1542961.5351750001</v>
      </c>
      <c r="Q28" s="1041"/>
      <c r="R28" s="1022">
        <f t="shared" si="6"/>
        <v>720244.96844999981</v>
      </c>
      <c r="S28" s="1040"/>
      <c r="T28" s="1045">
        <v>720245</v>
      </c>
      <c r="U28" s="1040"/>
      <c r="V28" s="1045">
        <v>0</v>
      </c>
      <c r="W28" s="1040"/>
      <c r="X28" s="1022">
        <f t="shared" si="7"/>
        <v>-3.1550000188872218E-2</v>
      </c>
      <c r="Y28" s="1005"/>
      <c r="Z28" s="972" t="s">
        <v>980</v>
      </c>
      <c r="AA28" s="1006"/>
      <c r="AB28" s="972" t="s">
        <v>428</v>
      </c>
      <c r="AC28" s="1006"/>
      <c r="AD28" s="1007">
        <v>0</v>
      </c>
      <c r="AE28" s="1006"/>
      <c r="AF28" s="1022">
        <f t="shared" si="8"/>
        <v>0</v>
      </c>
      <c r="AG28" s="1006"/>
      <c r="AH28" s="1016">
        <v>190</v>
      </c>
      <c r="AI28" s="964"/>
    </row>
    <row r="29" spans="2:35">
      <c r="B29" s="1014">
        <v>18</v>
      </c>
      <c r="C29" s="1042" t="s">
        <v>1002</v>
      </c>
      <c r="D29" s="1043" t="s">
        <v>884</v>
      </c>
      <c r="E29" s="1042" t="s">
        <v>979</v>
      </c>
      <c r="F29" s="1045">
        <v>4098883</v>
      </c>
      <c r="G29" s="1022">
        <f t="shared" si="0"/>
        <v>1434609.0499999998</v>
      </c>
      <c r="H29" s="1045">
        <v>338157.84750000003</v>
      </c>
      <c r="I29" s="1022">
        <f t="shared" si="1"/>
        <v>-118355.246625</v>
      </c>
      <c r="J29" s="1022">
        <f t="shared" si="9"/>
        <v>1654411.6508749998</v>
      </c>
      <c r="K29" s="1040"/>
      <c r="L29" s="1045">
        <f t="shared" si="2"/>
        <v>4098883</v>
      </c>
      <c r="M29" s="1022">
        <f t="shared" si="3"/>
        <v>860765.42999999993</v>
      </c>
      <c r="N29" s="1045">
        <v>338157.84750000003</v>
      </c>
      <c r="O29" s="1022">
        <f t="shared" si="4"/>
        <v>-71013.147975</v>
      </c>
      <c r="P29" s="1022">
        <f t="shared" si="5"/>
        <v>1127910.129525</v>
      </c>
      <c r="Q29" s="1041"/>
      <c r="R29" s="1022">
        <f t="shared" si="6"/>
        <v>526501.52134999982</v>
      </c>
      <c r="S29" s="1040"/>
      <c r="T29" s="1045">
        <v>526502</v>
      </c>
      <c r="U29" s="1040"/>
      <c r="V29" s="1045">
        <v>0</v>
      </c>
      <c r="W29" s="1040"/>
      <c r="X29" s="1022">
        <f t="shared" si="7"/>
        <v>-0.47865000017918646</v>
      </c>
      <c r="Y29" s="1005"/>
      <c r="Z29" s="972" t="s">
        <v>980</v>
      </c>
      <c r="AA29" s="1006"/>
      <c r="AB29" s="972" t="s">
        <v>428</v>
      </c>
      <c r="AC29" s="1006"/>
      <c r="AD29" s="1007">
        <v>0</v>
      </c>
      <c r="AE29" s="1006"/>
      <c r="AF29" s="1022">
        <f t="shared" si="8"/>
        <v>0</v>
      </c>
      <c r="AG29" s="1006"/>
      <c r="AH29" s="1016">
        <v>190</v>
      </c>
      <c r="AI29" s="964"/>
    </row>
    <row r="30" spans="2:35">
      <c r="B30" s="1014">
        <v>19</v>
      </c>
      <c r="C30" s="1042" t="s">
        <v>1003</v>
      </c>
      <c r="D30" s="1043" t="s">
        <v>1003</v>
      </c>
      <c r="E30" s="1042" t="s">
        <v>979</v>
      </c>
      <c r="F30" s="1045">
        <v>-324361711.55000001</v>
      </c>
      <c r="G30" s="1022">
        <f t="shared" si="0"/>
        <v>-113526599.0425</v>
      </c>
      <c r="H30" s="1045">
        <v>-26776425.352875002</v>
      </c>
      <c r="I30" s="1022">
        <f t="shared" si="1"/>
        <v>9371748.8735062499</v>
      </c>
      <c r="J30" s="1022">
        <f t="shared" si="9"/>
        <v>-130931275.52186877</v>
      </c>
      <c r="K30" s="1040"/>
      <c r="L30" s="1045">
        <f t="shared" si="2"/>
        <v>-324361711.55000001</v>
      </c>
      <c r="M30" s="1022">
        <f t="shared" si="3"/>
        <v>-68115959.425500005</v>
      </c>
      <c r="N30" s="1045">
        <v>-26773486.389583863</v>
      </c>
      <c r="O30" s="1022">
        <f t="shared" si="4"/>
        <v>5622432.1418126114</v>
      </c>
      <c r="P30" s="1022">
        <f t="shared" si="5"/>
        <v>-89267013.673271269</v>
      </c>
      <c r="Q30" s="1041"/>
      <c r="R30" s="1022">
        <f t="shared" si="6"/>
        <v>-41664261.848597497</v>
      </c>
      <c r="S30" s="1040"/>
      <c r="T30" s="1045">
        <v>0</v>
      </c>
      <c r="U30" s="1040"/>
      <c r="V30" s="1045">
        <v>0</v>
      </c>
      <c r="W30" s="1040"/>
      <c r="X30" s="1022">
        <f t="shared" si="7"/>
        <v>-41664261.848597497</v>
      </c>
      <c r="Y30" s="1005"/>
      <c r="Z30" s="972" t="s">
        <v>993</v>
      </c>
      <c r="AA30" s="1006"/>
      <c r="AB30" s="972" t="s">
        <v>429</v>
      </c>
      <c r="AC30" s="1006"/>
      <c r="AD30" s="1007">
        <v>0.11985</v>
      </c>
      <c r="AE30" s="1006"/>
      <c r="AF30" s="1022">
        <f t="shared" si="8"/>
        <v>-4993461.7825544095</v>
      </c>
      <c r="AG30" s="1006"/>
      <c r="AH30" s="1016">
        <v>190</v>
      </c>
      <c r="AI30" s="972"/>
    </row>
    <row r="31" spans="2:35">
      <c r="B31" s="1014">
        <v>20</v>
      </c>
      <c r="C31" s="1042" t="s">
        <v>1004</v>
      </c>
      <c r="D31" s="1043" t="s">
        <v>1005</v>
      </c>
      <c r="E31" s="1042" t="s">
        <v>979</v>
      </c>
      <c r="F31" s="1045">
        <v>56091265</v>
      </c>
      <c r="G31" s="1022">
        <f t="shared" si="0"/>
        <v>19631942.75</v>
      </c>
      <c r="H31" s="1045">
        <v>4627529.3624999998</v>
      </c>
      <c r="I31" s="1022">
        <f t="shared" si="1"/>
        <v>-1619635.2768749997</v>
      </c>
      <c r="J31" s="1022">
        <f t="shared" si="9"/>
        <v>22639836.835625</v>
      </c>
      <c r="K31" s="1040"/>
      <c r="L31" s="1045">
        <f t="shared" si="2"/>
        <v>56091265</v>
      </c>
      <c r="M31" s="1022">
        <f t="shared" si="3"/>
        <v>11779165.65</v>
      </c>
      <c r="N31" s="1045">
        <v>4627529.3624999998</v>
      </c>
      <c r="O31" s="1022">
        <f t="shared" si="4"/>
        <v>-971781.16612499987</v>
      </c>
      <c r="P31" s="1022">
        <f t="shared" si="5"/>
        <v>15434913.846375</v>
      </c>
      <c r="Q31" s="1041"/>
      <c r="R31" s="1022">
        <f t="shared" si="6"/>
        <v>7204922.9892500006</v>
      </c>
      <c r="S31" s="1040"/>
      <c r="T31" s="1045">
        <v>7204922.9892500006</v>
      </c>
      <c r="U31" s="1040"/>
      <c r="V31" s="1045">
        <v>0</v>
      </c>
      <c r="W31" s="1040"/>
      <c r="X31" s="1022">
        <f t="shared" si="7"/>
        <v>0</v>
      </c>
      <c r="Y31" s="1005"/>
      <c r="Z31" s="972" t="s">
        <v>980</v>
      </c>
      <c r="AA31" s="1006"/>
      <c r="AB31" s="972" t="s">
        <v>428</v>
      </c>
      <c r="AC31" s="1006"/>
      <c r="AD31" s="1007">
        <v>0</v>
      </c>
      <c r="AE31" s="1006"/>
      <c r="AF31" s="1022">
        <f t="shared" si="8"/>
        <v>0</v>
      </c>
      <c r="AG31" s="1006"/>
      <c r="AH31" s="1016">
        <v>190</v>
      </c>
      <c r="AI31" s="972"/>
    </row>
    <row r="32" spans="2:35">
      <c r="B32" s="1014">
        <v>21</v>
      </c>
      <c r="C32" s="1042" t="s">
        <v>1006</v>
      </c>
      <c r="D32" s="1043" t="s">
        <v>806</v>
      </c>
      <c r="E32" s="1042" t="s">
        <v>979</v>
      </c>
      <c r="F32" s="1045">
        <v>0</v>
      </c>
      <c r="G32" s="1022">
        <f t="shared" si="0"/>
        <v>0</v>
      </c>
      <c r="H32" s="1045">
        <v>16027430.6775</v>
      </c>
      <c r="I32" s="1022">
        <f t="shared" si="1"/>
        <v>-5609600.737125</v>
      </c>
      <c r="J32" s="1022">
        <f t="shared" si="9"/>
        <v>10417829.940375</v>
      </c>
      <c r="K32" s="1040"/>
      <c r="L32" s="1045">
        <f t="shared" si="2"/>
        <v>0</v>
      </c>
      <c r="M32" s="1022">
        <f t="shared" si="3"/>
        <v>0</v>
      </c>
      <c r="N32" s="1045">
        <v>16027430.6775</v>
      </c>
      <c r="O32" s="1022">
        <f t="shared" si="4"/>
        <v>-3365760.4422749998</v>
      </c>
      <c r="P32" s="1022">
        <f t="shared" si="5"/>
        <v>12661670.235224999</v>
      </c>
      <c r="Q32" s="1041"/>
      <c r="R32" s="1022">
        <f t="shared" si="6"/>
        <v>-2243840.2948499992</v>
      </c>
      <c r="S32" s="1040"/>
      <c r="T32" s="1045">
        <v>-293020</v>
      </c>
      <c r="U32" s="1040"/>
      <c r="V32" s="1045">
        <v>0</v>
      </c>
      <c r="W32" s="1040"/>
      <c r="X32" s="1022">
        <f t="shared" si="7"/>
        <v>-1950820.2948499992</v>
      </c>
      <c r="Y32" s="1005"/>
      <c r="Z32" s="972" t="s">
        <v>993</v>
      </c>
      <c r="AA32" s="1006"/>
      <c r="AB32" s="972" t="s">
        <v>429</v>
      </c>
      <c r="AC32" s="1006"/>
      <c r="AD32" s="1007">
        <v>0.11985</v>
      </c>
      <c r="AE32" s="1006"/>
      <c r="AF32" s="1022">
        <f t="shared" si="8"/>
        <v>-233805.8123377724</v>
      </c>
      <c r="AG32" s="1006"/>
      <c r="AH32" s="1016">
        <v>190</v>
      </c>
      <c r="AI32" s="972"/>
    </row>
    <row r="33" spans="2:35">
      <c r="B33" s="1014">
        <v>22</v>
      </c>
      <c r="C33" s="1042" t="s">
        <v>1007</v>
      </c>
      <c r="D33" s="1043" t="s">
        <v>988</v>
      </c>
      <c r="E33" s="1042" t="s">
        <v>979</v>
      </c>
      <c r="F33" s="1045">
        <v>0</v>
      </c>
      <c r="G33" s="1022">
        <f t="shared" si="0"/>
        <v>0</v>
      </c>
      <c r="H33" s="1045"/>
      <c r="I33" s="1022">
        <f t="shared" si="1"/>
        <v>0</v>
      </c>
      <c r="J33" s="1022">
        <v>768438</v>
      </c>
      <c r="K33" s="1040"/>
      <c r="L33" s="1045">
        <f t="shared" si="2"/>
        <v>0</v>
      </c>
      <c r="M33" s="1022">
        <f t="shared" si="3"/>
        <v>0</v>
      </c>
      <c r="N33" s="1045">
        <v>0</v>
      </c>
      <c r="O33" s="1022">
        <f t="shared" si="4"/>
        <v>0</v>
      </c>
      <c r="P33" s="1022">
        <f>+J33</f>
        <v>768438</v>
      </c>
      <c r="Q33" s="1041"/>
      <c r="R33" s="1022">
        <f t="shared" si="6"/>
        <v>0</v>
      </c>
      <c r="S33" s="1040"/>
      <c r="T33" s="1045">
        <v>0</v>
      </c>
      <c r="U33" s="1040"/>
      <c r="V33" s="1045">
        <v>0</v>
      </c>
      <c r="W33" s="1040"/>
      <c r="X33" s="1022">
        <f t="shared" si="7"/>
        <v>0</v>
      </c>
      <c r="Y33" s="1005"/>
      <c r="Z33" s="972" t="s">
        <v>980</v>
      </c>
      <c r="AA33" s="1006"/>
      <c r="AB33" s="972" t="s">
        <v>428</v>
      </c>
      <c r="AC33" s="1006"/>
      <c r="AD33" s="1007">
        <v>0</v>
      </c>
      <c r="AE33" s="1006"/>
      <c r="AF33" s="1022">
        <f t="shared" si="8"/>
        <v>0</v>
      </c>
      <c r="AG33" s="1006"/>
      <c r="AH33" s="1016">
        <v>190</v>
      </c>
      <c r="AI33" s="972"/>
    </row>
    <row r="34" spans="2:35">
      <c r="B34" s="1014">
        <v>23</v>
      </c>
      <c r="C34" s="1042" t="s">
        <v>1008</v>
      </c>
      <c r="D34" s="1043" t="s">
        <v>988</v>
      </c>
      <c r="E34" s="1042" t="s">
        <v>979</v>
      </c>
      <c r="F34" s="1045">
        <v>0</v>
      </c>
      <c r="G34" s="1022">
        <f t="shared" si="0"/>
        <v>0</v>
      </c>
      <c r="H34" s="1045"/>
      <c r="I34" s="1022">
        <f t="shared" si="1"/>
        <v>0</v>
      </c>
      <c r="J34" s="1022">
        <v>1246927</v>
      </c>
      <c r="K34" s="1040"/>
      <c r="L34" s="1045">
        <v>876796.16234582651</v>
      </c>
      <c r="M34" s="1022">
        <f t="shared" si="3"/>
        <v>184127.19409262357</v>
      </c>
      <c r="N34" s="1045">
        <v>72335.683393530693</v>
      </c>
      <c r="O34" s="1022">
        <f t="shared" si="4"/>
        <v>-15190.493512641446</v>
      </c>
      <c r="P34" s="1022">
        <f t="shared" si="5"/>
        <v>241272.38397351283</v>
      </c>
      <c r="Q34" s="1041"/>
      <c r="R34" s="1022">
        <f t="shared" si="6"/>
        <v>1005654.6160264872</v>
      </c>
      <c r="S34" s="1040"/>
      <c r="T34" s="1045">
        <v>0</v>
      </c>
      <c r="U34" s="1040"/>
      <c r="V34" s="1045">
        <f>+R34</f>
        <v>1005654.6160264872</v>
      </c>
      <c r="W34" s="1040"/>
      <c r="X34" s="1022">
        <f t="shared" si="7"/>
        <v>0</v>
      </c>
      <c r="Y34" s="1005"/>
      <c r="Z34" s="972" t="s">
        <v>981</v>
      </c>
      <c r="AA34" s="1006"/>
      <c r="AB34" s="972" t="s">
        <v>428</v>
      </c>
      <c r="AC34" s="1006"/>
      <c r="AD34" s="1007">
        <v>0</v>
      </c>
      <c r="AE34" s="1006"/>
      <c r="AF34" s="1022">
        <f t="shared" si="8"/>
        <v>0</v>
      </c>
      <c r="AG34" s="1006"/>
      <c r="AH34" s="1016">
        <v>190</v>
      </c>
      <c r="AI34" s="972"/>
    </row>
    <row r="35" spans="2:35">
      <c r="B35" s="1014">
        <v>24</v>
      </c>
      <c r="C35" s="1042" t="s">
        <v>1009</v>
      </c>
      <c r="D35" s="1043" t="s">
        <v>1005</v>
      </c>
      <c r="E35" s="1042" t="s">
        <v>979</v>
      </c>
      <c r="F35" s="1045">
        <v>0</v>
      </c>
      <c r="G35" s="1022">
        <f t="shared" si="0"/>
        <v>0</v>
      </c>
      <c r="H35" s="1045">
        <v>0</v>
      </c>
      <c r="I35" s="1022">
        <f t="shared" si="1"/>
        <v>0</v>
      </c>
      <c r="J35" s="1022">
        <f t="shared" si="9"/>
        <v>0</v>
      </c>
      <c r="K35" s="1040"/>
      <c r="L35" s="1045">
        <v>113764341.72600223</v>
      </c>
      <c r="M35" s="1022">
        <f t="shared" si="3"/>
        <v>23890511.762460466</v>
      </c>
      <c r="N35" s="1045">
        <v>9385558.1923951842</v>
      </c>
      <c r="O35" s="1022">
        <f t="shared" si="4"/>
        <v>-1970967.2204029886</v>
      </c>
      <c r="P35" s="1022">
        <f t="shared" si="5"/>
        <v>31305102.734452661</v>
      </c>
      <c r="Q35" s="1041"/>
      <c r="R35" s="1022">
        <f t="shared" si="6"/>
        <v>-31305102.734452661</v>
      </c>
      <c r="S35" s="1040"/>
      <c r="T35" s="1045">
        <v>0</v>
      </c>
      <c r="U35" s="1040"/>
      <c r="V35" s="1045">
        <f>R35</f>
        <v>-31305102.734452661</v>
      </c>
      <c r="W35" s="1040"/>
      <c r="X35" s="1022">
        <f t="shared" si="7"/>
        <v>0</v>
      </c>
      <c r="Y35" s="1005"/>
      <c r="Z35" s="972" t="s">
        <v>981</v>
      </c>
      <c r="AA35" s="1006"/>
      <c r="AB35" s="972" t="s">
        <v>428</v>
      </c>
      <c r="AC35" s="1006"/>
      <c r="AD35" s="1007">
        <v>0</v>
      </c>
      <c r="AE35" s="1006"/>
      <c r="AF35" s="1022">
        <f t="shared" si="8"/>
        <v>0</v>
      </c>
      <c r="AG35" s="1006"/>
      <c r="AH35" s="1016">
        <v>190</v>
      </c>
      <c r="AI35" s="972"/>
    </row>
    <row r="36" spans="2:35" ht="13">
      <c r="B36" s="1014">
        <f>+B35+1</f>
        <v>25</v>
      </c>
      <c r="C36" s="1017" t="s">
        <v>1010</v>
      </c>
      <c r="D36" s="972"/>
      <c r="E36" s="972"/>
      <c r="F36" s="1018">
        <f>SUM(F12:F35)</f>
        <v>81419320.639999986</v>
      </c>
      <c r="G36" s="1018">
        <f>SUM(G12:G35)</f>
        <v>28496762.224000007</v>
      </c>
      <c r="H36" s="1018">
        <f>SUM(H12:H35)</f>
        <v>21697626.195299998</v>
      </c>
      <c r="I36" s="1018">
        <f>SUM(I12:I35)</f>
        <v>-7594169.1683550002</v>
      </c>
      <c r="J36" s="1018">
        <f>SUM(J12:J35)</f>
        <v>44615584.250944979</v>
      </c>
      <c r="K36" s="1005"/>
      <c r="L36" s="1018">
        <f>SUM(L12:L35)</f>
        <v>196060458.52834803</v>
      </c>
      <c r="M36" s="1018">
        <f>SUM(M12:M35)</f>
        <v>41172696.290953085</v>
      </c>
      <c r="N36" s="1018">
        <f>SUM(N12:N35)</f>
        <v>31158459.034379851</v>
      </c>
      <c r="O36" s="1018">
        <f>SUM(O12:O35)</f>
        <v>-6543276.3972197687</v>
      </c>
      <c r="P36" s="1018">
        <f>SUM(P12:P35)</f>
        <v>66556316.928113148</v>
      </c>
      <c r="R36" s="1018">
        <f>SUM(R12:R35)</f>
        <v>-21940732.677168179</v>
      </c>
      <c r="S36" s="1005"/>
      <c r="T36" s="1018">
        <f>SUM(T12:T35)</f>
        <v>22927042.007650003</v>
      </c>
      <c r="U36" s="1005"/>
      <c r="V36" s="1018">
        <f>SUM(V12:V35)</f>
        <v>-29751869.866926175</v>
      </c>
      <c r="W36" s="1005"/>
      <c r="X36" s="1018">
        <f>SUM(X12:X35)</f>
        <v>-15115904.817892015</v>
      </c>
      <c r="Y36" s="1005"/>
      <c r="Z36" s="972"/>
      <c r="AA36" s="1006"/>
      <c r="AB36" s="972"/>
      <c r="AC36" s="1006"/>
      <c r="AD36" s="1007"/>
      <c r="AE36" s="1006"/>
      <c r="AF36" s="1018">
        <f>SUM(AF12:AF35)</f>
        <v>-5220329.6200069413</v>
      </c>
      <c r="AG36" s="1006"/>
      <c r="AI36" s="972"/>
    </row>
    <row r="37" spans="2:35">
      <c r="B37" s="972"/>
      <c r="C37" s="972"/>
      <c r="D37" s="972"/>
      <c r="E37" s="972"/>
      <c r="F37" s="1015"/>
      <c r="G37" s="1015"/>
      <c r="H37" s="1015"/>
      <c r="I37" s="1015"/>
      <c r="J37" s="1015"/>
      <c r="K37" s="1005"/>
      <c r="L37" s="1015"/>
      <c r="M37" s="1015"/>
      <c r="N37" s="1015"/>
      <c r="O37" s="1015"/>
      <c r="P37" s="1015"/>
      <c r="R37" s="1015"/>
      <c r="S37" s="1005"/>
      <c r="T37" s="1015"/>
      <c r="U37" s="1005"/>
      <c r="V37" s="1015"/>
      <c r="W37" s="1005"/>
      <c r="X37" s="1015"/>
      <c r="Y37" s="1005"/>
      <c r="Z37" s="972"/>
      <c r="AA37" s="1006"/>
      <c r="AB37" s="972"/>
      <c r="AC37" s="1006"/>
      <c r="AD37" s="1007"/>
      <c r="AE37" s="1006"/>
      <c r="AF37" s="1015"/>
      <c r="AG37" s="1006"/>
      <c r="AI37" s="972"/>
    </row>
    <row r="38" spans="2:35">
      <c r="B38" s="972"/>
      <c r="C38" s="972"/>
      <c r="D38" s="972"/>
      <c r="E38" s="972"/>
      <c r="F38" s="1015"/>
      <c r="G38" s="1015"/>
      <c r="H38" s="1015"/>
      <c r="I38" s="1015"/>
      <c r="J38" s="1015"/>
      <c r="K38" s="1005"/>
      <c r="L38" s="1015"/>
      <c r="M38" s="1015"/>
      <c r="N38" s="1015"/>
      <c r="O38" s="1015"/>
      <c r="P38" s="1015"/>
      <c r="R38" s="1015"/>
      <c r="S38" s="1005"/>
      <c r="T38" s="1015"/>
      <c r="U38" s="1005"/>
      <c r="V38" s="1015"/>
      <c r="W38" s="1005"/>
      <c r="X38" s="1015"/>
      <c r="Y38" s="1005"/>
      <c r="Z38" s="972"/>
      <c r="AA38" s="1006"/>
      <c r="AB38" s="972"/>
      <c r="AC38" s="1006"/>
      <c r="AD38" s="1007"/>
      <c r="AE38" s="1006"/>
      <c r="AF38" s="1015"/>
      <c r="AG38" s="1006"/>
      <c r="AI38" s="972"/>
    </row>
    <row r="39" spans="2:35" ht="14">
      <c r="B39" s="972"/>
      <c r="C39" s="1046" t="s">
        <v>1076</v>
      </c>
      <c r="D39" s="972"/>
      <c r="E39" s="972"/>
      <c r="F39" s="1015"/>
      <c r="G39" s="1015"/>
      <c r="H39" s="1015"/>
      <c r="I39" s="1015"/>
      <c r="J39" s="1015"/>
      <c r="K39" s="1005"/>
      <c r="L39" s="1015"/>
      <c r="M39" s="1015"/>
      <c r="N39" s="1015"/>
      <c r="O39" s="1015"/>
      <c r="P39" s="1015"/>
      <c r="R39" s="1015"/>
      <c r="S39" s="1005"/>
      <c r="T39" s="1015"/>
      <c r="U39" s="1005"/>
      <c r="V39" s="1015"/>
      <c r="W39" s="1005"/>
      <c r="X39" s="1015"/>
      <c r="Y39" s="1005"/>
      <c r="Z39" s="972"/>
      <c r="AA39" s="1006"/>
      <c r="AB39" s="972"/>
      <c r="AC39" s="1006"/>
      <c r="AD39" s="1007"/>
      <c r="AE39" s="1006"/>
      <c r="AF39" s="1015"/>
      <c r="AG39" s="1006"/>
      <c r="AI39" s="972"/>
    </row>
    <row r="40" spans="2:35">
      <c r="B40" s="1014">
        <f>B36+1</f>
        <v>26</v>
      </c>
      <c r="C40" s="1042" t="s">
        <v>1011</v>
      </c>
      <c r="D40" s="1043" t="s">
        <v>1013</v>
      </c>
      <c r="E40" s="1042" t="s">
        <v>944</v>
      </c>
      <c r="F40" s="1044">
        <v>-3318517374.9899998</v>
      </c>
      <c r="G40" s="1015">
        <f t="shared" ref="G40:G46" si="10">F40*0.35</f>
        <v>-1161481081.2464998</v>
      </c>
      <c r="H40" s="1044">
        <v>0</v>
      </c>
      <c r="I40" s="1015">
        <f t="shared" ref="I40:I46" si="11">-H40*0.35</f>
        <v>0</v>
      </c>
      <c r="J40" s="1015">
        <f t="shared" ref="J40:J46" si="12">G40+I40+H40</f>
        <v>-1161481081.2464998</v>
      </c>
      <c r="K40" s="1005"/>
      <c r="L40" s="1044">
        <f t="shared" ref="L40:L46" si="13">F40</f>
        <v>-3318517374.9899998</v>
      </c>
      <c r="M40" s="1015">
        <f t="shared" ref="M40:M46" si="14">L40*0.21</f>
        <v>-696888648.74789989</v>
      </c>
      <c r="N40" s="1044">
        <v>0</v>
      </c>
      <c r="O40" s="1015">
        <f t="shared" ref="O40:O46" si="15">-N40*0.21</f>
        <v>0</v>
      </c>
      <c r="P40" s="1015">
        <f t="shared" ref="P40:P46" si="16">M40+O40+N40</f>
        <v>-696888648.74789989</v>
      </c>
      <c r="R40" s="1015">
        <f t="shared" ref="R40:R46" si="17">J40-P40</f>
        <v>-464592432.49859989</v>
      </c>
      <c r="S40" s="1005"/>
      <c r="T40" s="1044">
        <v>0</v>
      </c>
      <c r="U40" s="1005"/>
      <c r="V40" s="1044">
        <v>0</v>
      </c>
      <c r="W40" s="1005"/>
      <c r="X40" s="1015">
        <f t="shared" ref="X40:X46" si="18">R40-T40-V40</f>
        <v>-464592432.49859989</v>
      </c>
      <c r="Y40" s="1005"/>
      <c r="Z40" s="972" t="s">
        <v>1012</v>
      </c>
      <c r="AA40" s="1006"/>
      <c r="AB40" s="972" t="s">
        <v>429</v>
      </c>
      <c r="AC40" s="1006"/>
      <c r="AD40" s="1007">
        <v>0.15215723</v>
      </c>
      <c r="AE40" s="1006"/>
      <c r="AF40" s="1015">
        <f t="shared" ref="AF40:AF46" si="19">X40*AD40</f>
        <v>-70691097.607948944</v>
      </c>
      <c r="AG40" s="1006"/>
      <c r="AH40" s="1016">
        <v>282</v>
      </c>
      <c r="AI40" s="964"/>
    </row>
    <row r="41" spans="2:35">
      <c r="B41" s="1014">
        <f>+B40+1</f>
        <v>27</v>
      </c>
      <c r="C41" s="1042" t="s">
        <v>1014</v>
      </c>
      <c r="D41" s="1043" t="s">
        <v>1013</v>
      </c>
      <c r="E41" s="1042" t="s">
        <v>942</v>
      </c>
      <c r="F41" s="1045">
        <v>-2205059321.6900005</v>
      </c>
      <c r="G41" s="1022">
        <f t="shared" si="10"/>
        <v>-771770762.59150016</v>
      </c>
      <c r="H41" s="1045">
        <v>-291630163.13999999</v>
      </c>
      <c r="I41" s="1022">
        <f t="shared" si="11"/>
        <v>102070557.09899999</v>
      </c>
      <c r="J41" s="1022">
        <f t="shared" si="12"/>
        <v>-961330368.63250017</v>
      </c>
      <c r="K41" s="1040"/>
      <c r="L41" s="1045">
        <f t="shared" si="13"/>
        <v>-2205059321.6900005</v>
      </c>
      <c r="M41" s="1022">
        <f t="shared" si="14"/>
        <v>-463062457.55490011</v>
      </c>
      <c r="N41" s="1045">
        <v>-291630163.12897503</v>
      </c>
      <c r="O41" s="1022">
        <f t="shared" si="15"/>
        <v>61242334.257084757</v>
      </c>
      <c r="P41" s="1022">
        <f t="shared" si="16"/>
        <v>-693450286.42679036</v>
      </c>
      <c r="Q41" s="1041"/>
      <c r="R41" s="1022">
        <f t="shared" si="17"/>
        <v>-267880082.20570982</v>
      </c>
      <c r="S41" s="1040"/>
      <c r="T41" s="1045">
        <v>0</v>
      </c>
      <c r="U41" s="1040"/>
      <c r="V41" s="1045">
        <v>-19999521</v>
      </c>
      <c r="W41" s="1005"/>
      <c r="X41" s="1022">
        <f t="shared" si="18"/>
        <v>-247880561.20570982</v>
      </c>
      <c r="Y41" s="1005"/>
      <c r="Z41" s="972" t="s">
        <v>1012</v>
      </c>
      <c r="AA41" s="1006"/>
      <c r="AB41" s="972" t="s">
        <v>429</v>
      </c>
      <c r="AC41" s="1006"/>
      <c r="AD41" s="1007">
        <v>0.15215723</v>
      </c>
      <c r="AE41" s="1006"/>
      <c r="AF41" s="1022">
        <f t="shared" si="19"/>
        <v>-37716819.563906267</v>
      </c>
      <c r="AG41" s="1006"/>
      <c r="AH41" s="1016">
        <v>282</v>
      </c>
      <c r="AI41" s="964"/>
    </row>
    <row r="42" spans="2:35">
      <c r="B42" s="1014">
        <f t="shared" ref="B42:B47" si="20">+B41+1</f>
        <v>28</v>
      </c>
      <c r="C42" s="1042" t="s">
        <v>1009</v>
      </c>
      <c r="D42" s="1043" t="s">
        <v>1013</v>
      </c>
      <c r="E42" s="1042" t="s">
        <v>942</v>
      </c>
      <c r="F42" s="1045">
        <v>0</v>
      </c>
      <c r="G42" s="1022">
        <f t="shared" si="10"/>
        <v>0</v>
      </c>
      <c r="H42" s="1045">
        <v>0</v>
      </c>
      <c r="I42" s="1022">
        <f t="shared" si="11"/>
        <v>0</v>
      </c>
      <c r="J42" s="1022">
        <f t="shared" si="12"/>
        <v>0</v>
      </c>
      <c r="K42" s="1040"/>
      <c r="L42" s="1045">
        <v>1027045944.4193709</v>
      </c>
      <c r="M42" s="1022">
        <f t="shared" si="14"/>
        <v>215679648.32806787</v>
      </c>
      <c r="N42" s="1045">
        <v>84731290.414598107</v>
      </c>
      <c r="O42" s="1022">
        <f t="shared" si="15"/>
        <v>-17793570.987065602</v>
      </c>
      <c r="P42" s="1022">
        <f t="shared" si="16"/>
        <v>282617367.75560033</v>
      </c>
      <c r="Q42" s="1041"/>
      <c r="R42" s="1022">
        <f t="shared" si="17"/>
        <v>-282617367.75560033</v>
      </c>
      <c r="S42" s="1040"/>
      <c r="T42" s="1045">
        <v>0</v>
      </c>
      <c r="U42" s="1040"/>
      <c r="V42" s="1045">
        <v>-282617367.75560039</v>
      </c>
      <c r="W42" s="1005"/>
      <c r="X42" s="1022">
        <f t="shared" si="18"/>
        <v>0</v>
      </c>
      <c r="Y42" s="1005"/>
      <c r="Z42" s="972" t="s">
        <v>1012</v>
      </c>
      <c r="AA42" s="1006"/>
      <c r="AB42" s="972" t="s">
        <v>428</v>
      </c>
      <c r="AC42" s="1006"/>
      <c r="AD42" s="1007">
        <v>0</v>
      </c>
      <c r="AE42" s="1006"/>
      <c r="AF42" s="1022">
        <f t="shared" si="19"/>
        <v>0</v>
      </c>
      <c r="AG42" s="1006"/>
      <c r="AH42" s="1016">
        <v>282</v>
      </c>
      <c r="AI42" s="964"/>
    </row>
    <row r="43" spans="2:35">
      <c r="B43" s="1014">
        <f t="shared" si="20"/>
        <v>29</v>
      </c>
      <c r="C43" s="1042" t="s">
        <v>1008</v>
      </c>
      <c r="D43" s="1043" t="s">
        <v>1013</v>
      </c>
      <c r="E43" s="1042" t="s">
        <v>942</v>
      </c>
      <c r="F43" s="1045">
        <v>-93079501.739677429</v>
      </c>
      <c r="G43" s="1022">
        <f t="shared" si="10"/>
        <v>-32577825.608887099</v>
      </c>
      <c r="H43" s="1045">
        <v>-7679058.8935233885</v>
      </c>
      <c r="I43" s="1022">
        <f t="shared" si="11"/>
        <v>2687670.6127331858</v>
      </c>
      <c r="J43" s="1022">
        <f t="shared" si="12"/>
        <v>-37569213.889677301</v>
      </c>
      <c r="K43" s="1040"/>
      <c r="L43" s="1045">
        <f t="shared" si="13"/>
        <v>-93079501.739677429</v>
      </c>
      <c r="M43" s="1022">
        <f t="shared" si="14"/>
        <v>-19546695.365332261</v>
      </c>
      <c r="N43" s="1045">
        <v>-7679058.8935233885</v>
      </c>
      <c r="O43" s="1022">
        <f t="shared" si="15"/>
        <v>1612602.3676399116</v>
      </c>
      <c r="P43" s="1022">
        <f t="shared" si="16"/>
        <v>-25613151.891215738</v>
      </c>
      <c r="Q43" s="1041"/>
      <c r="R43" s="1022">
        <f t="shared" si="17"/>
        <v>-11956061.998461563</v>
      </c>
      <c r="S43" s="1040"/>
      <c r="T43" s="1045">
        <v>0</v>
      </c>
      <c r="U43" s="1040"/>
      <c r="V43" s="1045">
        <v>-11956061.998461563</v>
      </c>
      <c r="W43" s="1005"/>
      <c r="X43" s="1022">
        <f t="shared" si="18"/>
        <v>0</v>
      </c>
      <c r="Y43" s="1005"/>
      <c r="Z43" s="972" t="s">
        <v>1012</v>
      </c>
      <c r="AA43" s="1006"/>
      <c r="AB43" s="972" t="s">
        <v>428</v>
      </c>
      <c r="AC43" s="1006"/>
      <c r="AD43" s="1007">
        <v>0</v>
      </c>
      <c r="AE43" s="1006"/>
      <c r="AF43" s="1022">
        <f t="shared" si="19"/>
        <v>0</v>
      </c>
      <c r="AG43" s="1006"/>
      <c r="AH43" s="1016">
        <v>282</v>
      </c>
      <c r="AI43" s="964"/>
    </row>
    <row r="44" spans="2:35">
      <c r="B44" s="1014">
        <f t="shared" si="20"/>
        <v>30</v>
      </c>
      <c r="C44" s="1042" t="s">
        <v>1015</v>
      </c>
      <c r="D44" s="1043" t="s">
        <v>1015</v>
      </c>
      <c r="E44" s="1042" t="s">
        <v>942</v>
      </c>
      <c r="F44" s="1045">
        <v>10913811</v>
      </c>
      <c r="G44" s="1022">
        <f t="shared" si="10"/>
        <v>3819833.8499999996</v>
      </c>
      <c r="H44" s="1045">
        <v>900389.40750000009</v>
      </c>
      <c r="I44" s="1022">
        <f t="shared" si="11"/>
        <v>-315136.292625</v>
      </c>
      <c r="J44" s="1022">
        <f t="shared" si="12"/>
        <v>4405086.9648749996</v>
      </c>
      <c r="K44" s="1040"/>
      <c r="L44" s="1045">
        <f t="shared" si="13"/>
        <v>10913811</v>
      </c>
      <c r="M44" s="1022">
        <f t="shared" si="14"/>
        <v>2291900.31</v>
      </c>
      <c r="N44" s="1045">
        <v>900389.40750000009</v>
      </c>
      <c r="O44" s="1022">
        <f t="shared" si="15"/>
        <v>-189081.77557500001</v>
      </c>
      <c r="P44" s="1022">
        <f t="shared" si="16"/>
        <v>3003207.9419250004</v>
      </c>
      <c r="Q44" s="1041"/>
      <c r="R44" s="1022">
        <f t="shared" si="17"/>
        <v>1401879.0229499992</v>
      </c>
      <c r="S44" s="1040"/>
      <c r="T44" s="1045">
        <v>1401879</v>
      </c>
      <c r="U44" s="1040"/>
      <c r="V44" s="1045">
        <v>0</v>
      </c>
      <c r="W44" s="1005"/>
      <c r="X44" s="1022">
        <f t="shared" si="18"/>
        <v>2.2949999198317528E-2</v>
      </c>
      <c r="Y44" s="1005"/>
      <c r="Z44" s="972" t="s">
        <v>1012</v>
      </c>
      <c r="AA44" s="1006"/>
      <c r="AB44" s="972" t="s">
        <v>428</v>
      </c>
      <c r="AC44" s="1006"/>
      <c r="AD44" s="1007">
        <v>0</v>
      </c>
      <c r="AE44" s="1006"/>
      <c r="AF44" s="1022">
        <f t="shared" si="19"/>
        <v>0</v>
      </c>
      <c r="AG44" s="1006"/>
      <c r="AH44" s="1016">
        <v>282</v>
      </c>
      <c r="AI44" s="972"/>
    </row>
    <row r="45" spans="2:35">
      <c r="B45" s="1014">
        <f t="shared" si="20"/>
        <v>31</v>
      </c>
      <c r="C45" s="1042" t="s">
        <v>1016</v>
      </c>
      <c r="D45" s="1043" t="s">
        <v>1013</v>
      </c>
      <c r="E45" s="1042" t="s">
        <v>942</v>
      </c>
      <c r="F45" s="1045">
        <v>-2022331</v>
      </c>
      <c r="G45" s="1022">
        <f t="shared" si="10"/>
        <v>-707815.85</v>
      </c>
      <c r="H45" s="1045">
        <v>-166842.3075</v>
      </c>
      <c r="I45" s="1022">
        <f t="shared" si="11"/>
        <v>58394.807624999994</v>
      </c>
      <c r="J45" s="1022">
        <f t="shared" si="12"/>
        <v>-816263.34987499996</v>
      </c>
      <c r="K45" s="1040"/>
      <c r="L45" s="1045">
        <f t="shared" si="13"/>
        <v>-2022331</v>
      </c>
      <c r="M45" s="1022">
        <f t="shared" si="14"/>
        <v>-424689.51</v>
      </c>
      <c r="N45" s="1045">
        <v>-166842.3075</v>
      </c>
      <c r="O45" s="1022">
        <f t="shared" si="15"/>
        <v>35036.884574999996</v>
      </c>
      <c r="P45" s="1022">
        <f t="shared" si="16"/>
        <v>-556494.93292500009</v>
      </c>
      <c r="Q45" s="1041"/>
      <c r="R45" s="1022">
        <f t="shared" si="17"/>
        <v>-259768.41694999987</v>
      </c>
      <c r="S45" s="1040"/>
      <c r="T45" s="1045">
        <v>0</v>
      </c>
      <c r="U45" s="1040"/>
      <c r="V45" s="1045">
        <v>0</v>
      </c>
      <c r="W45" s="1005"/>
      <c r="X45" s="1022">
        <f t="shared" si="18"/>
        <v>-259768.41694999987</v>
      </c>
      <c r="Y45" s="1005"/>
      <c r="Z45" s="972" t="s">
        <v>1017</v>
      </c>
      <c r="AA45" s="1006"/>
      <c r="AB45" s="972" t="s">
        <v>428</v>
      </c>
      <c r="AC45" s="1006"/>
      <c r="AD45" s="1007">
        <v>0</v>
      </c>
      <c r="AE45" s="1006"/>
      <c r="AF45" s="1022">
        <f t="shared" si="19"/>
        <v>0</v>
      </c>
      <c r="AG45" s="1006"/>
      <c r="AH45" s="1016">
        <v>282</v>
      </c>
      <c r="AI45" s="964"/>
    </row>
    <row r="46" spans="2:35">
      <c r="B46" s="1014">
        <f t="shared" si="20"/>
        <v>32</v>
      </c>
      <c r="C46" s="1042" t="s">
        <v>1016</v>
      </c>
      <c r="D46" s="1043" t="s">
        <v>1013</v>
      </c>
      <c r="E46" s="1042" t="s">
        <v>942</v>
      </c>
      <c r="F46" s="1045">
        <v>-563990</v>
      </c>
      <c r="G46" s="1022">
        <f t="shared" si="10"/>
        <v>-197396.5</v>
      </c>
      <c r="H46" s="1045">
        <v>-46529.175000000003</v>
      </c>
      <c r="I46" s="1022">
        <f t="shared" si="11"/>
        <v>16285.21125</v>
      </c>
      <c r="J46" s="1022">
        <f t="shared" si="12"/>
        <v>-227640.46375</v>
      </c>
      <c r="K46" s="1040"/>
      <c r="L46" s="1045">
        <f t="shared" si="13"/>
        <v>-563990</v>
      </c>
      <c r="M46" s="1022">
        <f t="shared" si="14"/>
        <v>-118437.9</v>
      </c>
      <c r="N46" s="1045">
        <v>-46529.175000000003</v>
      </c>
      <c r="O46" s="1022">
        <f t="shared" si="15"/>
        <v>9771.1267499999994</v>
      </c>
      <c r="P46" s="1022">
        <f t="shared" si="16"/>
        <v>-155195.94825000002</v>
      </c>
      <c r="Q46" s="1041"/>
      <c r="R46" s="1022">
        <f t="shared" si="17"/>
        <v>-72444.51549999998</v>
      </c>
      <c r="S46" s="1040"/>
      <c r="T46" s="1045">
        <v>507279</v>
      </c>
      <c r="U46" s="1040"/>
      <c r="V46" s="1045">
        <v>-336228</v>
      </c>
      <c r="W46" s="1005"/>
      <c r="X46" s="1022">
        <f t="shared" si="18"/>
        <v>-243495.51549999998</v>
      </c>
      <c r="Y46" s="1005"/>
      <c r="Z46" s="972" t="s">
        <v>1017</v>
      </c>
      <c r="AA46" s="1006"/>
      <c r="AB46" s="972" t="s">
        <v>428</v>
      </c>
      <c r="AC46" s="1006"/>
      <c r="AD46" s="1007">
        <v>0</v>
      </c>
      <c r="AE46" s="1006"/>
      <c r="AF46" s="1022">
        <f t="shared" si="19"/>
        <v>0</v>
      </c>
      <c r="AG46" s="1006"/>
      <c r="AH46" s="1016">
        <v>282</v>
      </c>
      <c r="AI46" s="964"/>
    </row>
    <row r="47" spans="2:35" ht="13">
      <c r="B47" s="1014">
        <f t="shared" si="20"/>
        <v>33</v>
      </c>
      <c r="C47" s="1017" t="s">
        <v>1018</v>
      </c>
      <c r="D47" s="972"/>
      <c r="E47" s="972"/>
      <c r="F47" s="1018">
        <f>SUM(F40:F46)</f>
        <v>-5608328708.4196777</v>
      </c>
      <c r="G47" s="1018">
        <f>SUM(G40:G46)</f>
        <v>-1962915047.946887</v>
      </c>
      <c r="H47" s="1018">
        <f>SUM(H40:H46)</f>
        <v>-298622204.10852337</v>
      </c>
      <c r="I47" s="1018">
        <f>SUM(I40:I46)</f>
        <v>104517771.43798319</v>
      </c>
      <c r="J47" s="1018">
        <f>SUM(J40:J46)</f>
        <v>-2157019480.6174269</v>
      </c>
      <c r="K47" s="1005"/>
      <c r="L47" s="1018">
        <f>SUM(L40:L46)</f>
        <v>-4581282764.0003071</v>
      </c>
      <c r="M47" s="1018">
        <f>SUM(M40:M46)</f>
        <v>-962069380.44006431</v>
      </c>
      <c r="N47" s="1018">
        <f>SUM(N40:N46)</f>
        <v>-213890913.68290034</v>
      </c>
      <c r="O47" s="1018">
        <f>SUM(O40:O46)</f>
        <v>44917091.873409078</v>
      </c>
      <c r="P47" s="1018">
        <f>SUM(P40:P46)</f>
        <v>-1131043202.2495556</v>
      </c>
      <c r="R47" s="1018">
        <f>SUM(R40:R46)</f>
        <v>-1025976278.3678715</v>
      </c>
      <c r="S47" s="1005"/>
      <c r="T47" s="1018">
        <f>SUM(T40:T46)</f>
        <v>1909158</v>
      </c>
      <c r="U47" s="1005"/>
      <c r="V47" s="1018">
        <f>SUM(V40:V46)</f>
        <v>-314909178.75406194</v>
      </c>
      <c r="W47" s="1005"/>
      <c r="X47" s="1018">
        <f>SUM(X40:X46)</f>
        <v>-712976257.61380959</v>
      </c>
      <c r="Y47" s="1005"/>
      <c r="Z47" s="972"/>
      <c r="AA47" s="1006"/>
      <c r="AB47" s="972"/>
      <c r="AC47" s="1006"/>
      <c r="AD47" s="1007"/>
      <c r="AE47" s="1006"/>
      <c r="AF47" s="1018">
        <f>SUM(AF40:AF46)</f>
        <v>-108407917.17185521</v>
      </c>
      <c r="AG47" s="1006"/>
      <c r="AI47" s="972"/>
    </row>
    <row r="48" spans="2:35">
      <c r="B48" s="1014"/>
      <c r="C48" s="972"/>
      <c r="D48" s="972"/>
      <c r="E48" s="972"/>
      <c r="F48" s="1015"/>
      <c r="G48" s="1015"/>
      <c r="H48" s="1015"/>
      <c r="I48" s="1015"/>
      <c r="J48" s="1015"/>
      <c r="K48" s="1005"/>
      <c r="L48" s="1015"/>
      <c r="M48" s="1015"/>
      <c r="N48" s="1015"/>
      <c r="O48" s="1015"/>
      <c r="P48" s="1015"/>
      <c r="R48" s="1015"/>
      <c r="S48" s="1005"/>
      <c r="T48" s="1015"/>
      <c r="U48" s="1005"/>
      <c r="V48" s="1015"/>
      <c r="W48" s="1005"/>
      <c r="X48" s="1015"/>
      <c r="Y48" s="1005"/>
      <c r="Z48" s="972"/>
      <c r="AA48" s="1006"/>
      <c r="AB48" s="972"/>
      <c r="AC48" s="1006"/>
      <c r="AD48" s="1007"/>
      <c r="AE48" s="1006"/>
      <c r="AF48" s="1015"/>
      <c r="AG48" s="1006"/>
      <c r="AI48" s="972"/>
    </row>
    <row r="49" spans="2:35" ht="14">
      <c r="B49" s="1014"/>
      <c r="C49" s="1046" t="s">
        <v>1077</v>
      </c>
      <c r="D49" s="972"/>
      <c r="E49" s="972"/>
      <c r="F49" s="1015"/>
      <c r="G49" s="1015"/>
      <c r="H49" s="1015"/>
      <c r="I49" s="1015"/>
      <c r="J49" s="1015"/>
      <c r="K49" s="1005"/>
      <c r="L49" s="1015"/>
      <c r="M49" s="1015"/>
      <c r="N49" s="1015"/>
      <c r="O49" s="1015"/>
      <c r="P49" s="1015"/>
      <c r="R49" s="1015"/>
      <c r="S49" s="1005"/>
      <c r="T49" s="1015"/>
      <c r="U49" s="1005"/>
      <c r="V49" s="1015"/>
      <c r="W49" s="1005"/>
      <c r="X49" s="1015"/>
      <c r="Y49" s="1005"/>
      <c r="Z49" s="972"/>
      <c r="AA49" s="1006"/>
      <c r="AB49" s="972"/>
      <c r="AC49" s="1006"/>
      <c r="AD49" s="1007"/>
      <c r="AE49" s="1006"/>
      <c r="AF49" s="1015"/>
      <c r="AG49" s="1006"/>
      <c r="AI49" s="972"/>
    </row>
    <row r="50" spans="2:35">
      <c r="B50" s="1014">
        <f>+B47+1</f>
        <v>34</v>
      </c>
      <c r="C50" s="1042" t="s">
        <v>1019</v>
      </c>
      <c r="D50" s="1043" t="s">
        <v>1020</v>
      </c>
      <c r="E50" s="1042" t="s">
        <v>979</v>
      </c>
      <c r="F50" s="1044">
        <v>-217101044.59</v>
      </c>
      <c r="G50" s="1015">
        <f t="shared" ref="G50:G70" si="21">F50*0.35</f>
        <v>-75985365.6065</v>
      </c>
      <c r="H50" s="1044">
        <v>-17910836.178675</v>
      </c>
      <c r="I50" s="1015">
        <f t="shared" ref="I50:I70" si="22">-H50*0.35</f>
        <v>6268792.6625362495</v>
      </c>
      <c r="J50" s="1015">
        <f t="shared" ref="J50:J70" si="23">G50+I50+H50</f>
        <v>-87627409.122638747</v>
      </c>
      <c r="K50" s="1005"/>
      <c r="L50" s="1044">
        <f t="shared" ref="L50:L70" si="24">F50</f>
        <v>-217101044.59</v>
      </c>
      <c r="M50" s="1015">
        <f t="shared" ref="M50:M70" si="25">L50*0.21</f>
        <v>-45591219.363899998</v>
      </c>
      <c r="N50" s="1044">
        <v>-17910836.178675</v>
      </c>
      <c r="O50" s="1015">
        <f t="shared" ref="O50:O70" si="26">-N50*0.21</f>
        <v>3761275.5975217498</v>
      </c>
      <c r="P50" s="1015">
        <f t="shared" ref="P50:P70" si="27">M50+O50+N50</f>
        <v>-59740779.94505325</v>
      </c>
      <c r="R50" s="1015">
        <f t="shared" ref="R50:R70" si="28">J50-P50</f>
        <v>-27886629.177585497</v>
      </c>
      <c r="S50" s="1005"/>
      <c r="T50" s="1044">
        <v>0</v>
      </c>
      <c r="U50" s="1005"/>
      <c r="V50" s="1044">
        <v>0</v>
      </c>
      <c r="W50" s="1005"/>
      <c r="X50" s="1015">
        <f t="shared" ref="X50:X70" si="29">R50-T50-V50</f>
        <v>-27886629.177585497</v>
      </c>
      <c r="Y50" s="1005"/>
      <c r="Z50" s="972" t="s">
        <v>980</v>
      </c>
      <c r="AA50" s="1006"/>
      <c r="AB50" s="972" t="s">
        <v>428</v>
      </c>
      <c r="AC50" s="1006"/>
      <c r="AD50" s="1007">
        <v>0</v>
      </c>
      <c r="AE50" s="1006"/>
      <c r="AF50" s="1015">
        <f>X50*AD50</f>
        <v>0</v>
      </c>
      <c r="AG50" s="1006"/>
      <c r="AH50" s="1016">
        <v>283</v>
      </c>
      <c r="AI50" s="964"/>
    </row>
    <row r="51" spans="2:35">
      <c r="B51" s="1014">
        <f>+B50+1</f>
        <v>35</v>
      </c>
      <c r="C51" s="1042" t="s">
        <v>1021</v>
      </c>
      <c r="D51" s="1043" t="s">
        <v>1021</v>
      </c>
      <c r="E51" s="1042" t="s">
        <v>979</v>
      </c>
      <c r="F51" s="1045">
        <v>-14436234</v>
      </c>
      <c r="G51" s="1022">
        <f t="shared" si="21"/>
        <v>-5052681.8999999994</v>
      </c>
      <c r="H51" s="1045">
        <v>-1190989.3050000002</v>
      </c>
      <c r="I51" s="1022">
        <f t="shared" si="22"/>
        <v>416846.25675000006</v>
      </c>
      <c r="J51" s="1022">
        <f t="shared" si="23"/>
        <v>-5826824.9482499994</v>
      </c>
      <c r="K51" s="1040"/>
      <c r="L51" s="1045">
        <f t="shared" si="24"/>
        <v>-14436234</v>
      </c>
      <c r="M51" s="1022">
        <f t="shared" si="25"/>
        <v>-3031609.1399999997</v>
      </c>
      <c r="N51" s="1045">
        <v>-1190989.3050000002</v>
      </c>
      <c r="O51" s="1022">
        <f t="shared" si="26"/>
        <v>250107.75405000002</v>
      </c>
      <c r="P51" s="1022">
        <f t="shared" si="27"/>
        <v>-3972490.6909499997</v>
      </c>
      <c r="Q51" s="1041"/>
      <c r="R51" s="1022">
        <f t="shared" si="28"/>
        <v>-1854334.2572999997</v>
      </c>
      <c r="S51" s="1040"/>
      <c r="T51" s="1045">
        <v>-1854334.2573000002</v>
      </c>
      <c r="U51" s="1040"/>
      <c r="V51" s="1045">
        <v>0</v>
      </c>
      <c r="W51" s="1040"/>
      <c r="X51" s="1022">
        <f t="shared" si="29"/>
        <v>4.6566128730773926E-10</v>
      </c>
      <c r="Y51" s="1005"/>
      <c r="Z51" s="972" t="s">
        <v>981</v>
      </c>
      <c r="AA51" s="1006"/>
      <c r="AB51" s="972" t="s">
        <v>428</v>
      </c>
      <c r="AC51" s="1006"/>
      <c r="AD51" s="1007">
        <v>0</v>
      </c>
      <c r="AE51" s="1006"/>
      <c r="AF51" s="1015">
        <f t="shared" ref="AF51:AF70" si="30">X51*AD51</f>
        <v>0</v>
      </c>
      <c r="AG51" s="1006"/>
      <c r="AH51" s="1016">
        <v>283</v>
      </c>
      <c r="AI51" s="964"/>
    </row>
    <row r="52" spans="2:35">
      <c r="B52" s="1014">
        <f t="shared" ref="B52:B71" si="31">+B51+1</f>
        <v>36</v>
      </c>
      <c r="C52" s="1042" t="s">
        <v>1022</v>
      </c>
      <c r="D52" s="1043" t="s">
        <v>1022</v>
      </c>
      <c r="E52" s="1042" t="s">
        <v>979</v>
      </c>
      <c r="F52" s="1045">
        <v>-5678490</v>
      </c>
      <c r="G52" s="1022">
        <f t="shared" si="21"/>
        <v>-1987471.4999999998</v>
      </c>
      <c r="H52" s="1045">
        <v>-468475.42500000005</v>
      </c>
      <c r="I52" s="1022">
        <f t="shared" si="22"/>
        <v>163966.39874999999</v>
      </c>
      <c r="J52" s="1022">
        <f t="shared" si="23"/>
        <v>-2291980.5262500001</v>
      </c>
      <c r="K52" s="1040"/>
      <c r="L52" s="1045">
        <f t="shared" si="24"/>
        <v>-5678490</v>
      </c>
      <c r="M52" s="1022">
        <f t="shared" si="25"/>
        <v>-1192482.8999999999</v>
      </c>
      <c r="N52" s="1045">
        <v>-468475.42500000005</v>
      </c>
      <c r="O52" s="1022">
        <f t="shared" si="26"/>
        <v>98379.839250000005</v>
      </c>
      <c r="P52" s="1022">
        <f t="shared" si="27"/>
        <v>-1562578.48575</v>
      </c>
      <c r="Q52" s="1041"/>
      <c r="R52" s="1022">
        <f t="shared" si="28"/>
        <v>-729402.04050000012</v>
      </c>
      <c r="S52" s="1040"/>
      <c r="T52" s="1045">
        <v>-4.0499999653548002E-2</v>
      </c>
      <c r="U52" s="1040"/>
      <c r="V52" s="1045">
        <v>0</v>
      </c>
      <c r="W52" s="1040"/>
      <c r="X52" s="1022">
        <f t="shared" si="29"/>
        <v>-729402.00000000047</v>
      </c>
      <c r="Y52" s="1005"/>
      <c r="Z52" s="972" t="s">
        <v>980</v>
      </c>
      <c r="AA52" s="1006"/>
      <c r="AB52" s="972" t="s">
        <v>428</v>
      </c>
      <c r="AC52" s="1006"/>
      <c r="AD52" s="1007">
        <v>0</v>
      </c>
      <c r="AE52" s="1006"/>
      <c r="AF52" s="1015">
        <f t="shared" si="30"/>
        <v>0</v>
      </c>
      <c r="AG52" s="1006"/>
      <c r="AH52" s="1016">
        <v>283</v>
      </c>
      <c r="AI52" s="964"/>
    </row>
    <row r="53" spans="2:35">
      <c r="B53" s="1014">
        <f t="shared" si="31"/>
        <v>37</v>
      </c>
      <c r="C53" s="1042" t="s">
        <v>1023</v>
      </c>
      <c r="D53" s="1043" t="s">
        <v>1024</v>
      </c>
      <c r="E53" s="1042" t="s">
        <v>979</v>
      </c>
      <c r="F53" s="1045">
        <v>-285547709.00999993</v>
      </c>
      <c r="G53" s="1022">
        <f t="shared" si="21"/>
        <v>-99941698.153499976</v>
      </c>
      <c r="H53" s="1045">
        <v>-23557685.993324995</v>
      </c>
      <c r="I53" s="1022">
        <f t="shared" si="22"/>
        <v>8245190.0976637481</v>
      </c>
      <c r="J53" s="1022">
        <f t="shared" si="23"/>
        <v>-115254194.04916123</v>
      </c>
      <c r="K53" s="1040"/>
      <c r="L53" s="1045">
        <f t="shared" si="24"/>
        <v>-285547709.00999993</v>
      </c>
      <c r="M53" s="1022">
        <f t="shared" si="25"/>
        <v>-59965018.892099984</v>
      </c>
      <c r="N53" s="1045">
        <v>-23557685.993324995</v>
      </c>
      <c r="O53" s="1022">
        <f t="shared" si="26"/>
        <v>4947114.0585982492</v>
      </c>
      <c r="P53" s="1022">
        <f t="shared" si="27"/>
        <v>-78575590.826826721</v>
      </c>
      <c r="Q53" s="1041"/>
      <c r="R53" s="1022">
        <f t="shared" si="28"/>
        <v>-36678603.222334504</v>
      </c>
      <c r="S53" s="1040"/>
      <c r="T53" s="1045">
        <v>0</v>
      </c>
      <c r="U53" s="1040"/>
      <c r="V53" s="1045">
        <v>0</v>
      </c>
      <c r="W53" s="1040"/>
      <c r="X53" s="1022">
        <f t="shared" si="29"/>
        <v>-36678603.222334504</v>
      </c>
      <c r="Y53" s="1005"/>
      <c r="Z53" s="972" t="s">
        <v>980</v>
      </c>
      <c r="AA53" s="1006"/>
      <c r="AB53" s="972" t="s">
        <v>428</v>
      </c>
      <c r="AC53" s="1006"/>
      <c r="AD53" s="1007">
        <v>0</v>
      </c>
      <c r="AE53" s="1006"/>
      <c r="AF53" s="1015">
        <f t="shared" si="30"/>
        <v>0</v>
      </c>
      <c r="AG53" s="1006"/>
      <c r="AH53" s="1016">
        <v>283</v>
      </c>
      <c r="AI53" s="964"/>
    </row>
    <row r="54" spans="2:35">
      <c r="B54" s="1014">
        <f t="shared" si="31"/>
        <v>38</v>
      </c>
      <c r="C54" s="1042" t="s">
        <v>1025</v>
      </c>
      <c r="D54" s="1043" t="s">
        <v>1025</v>
      </c>
      <c r="E54" s="1042" t="s">
        <v>979</v>
      </c>
      <c r="F54" s="1045">
        <v>-11428328.68</v>
      </c>
      <c r="G54" s="1022">
        <f t="shared" si="21"/>
        <v>-3999915.0379999997</v>
      </c>
      <c r="H54" s="1045">
        <v>-942837.11609999998</v>
      </c>
      <c r="I54" s="1022">
        <f t="shared" si="22"/>
        <v>329992.99063499999</v>
      </c>
      <c r="J54" s="1022">
        <f t="shared" si="23"/>
        <v>-4612759.1634649998</v>
      </c>
      <c r="K54" s="1040"/>
      <c r="L54" s="1045">
        <f t="shared" si="24"/>
        <v>-11428328.68</v>
      </c>
      <c r="M54" s="1022">
        <f t="shared" si="25"/>
        <v>-2399949.0227999999</v>
      </c>
      <c r="N54" s="1045">
        <v>-942837.11609999998</v>
      </c>
      <c r="O54" s="1022">
        <f t="shared" si="26"/>
        <v>197995.79438099999</v>
      </c>
      <c r="P54" s="1022">
        <f t="shared" si="27"/>
        <v>-3144790.3445189996</v>
      </c>
      <c r="Q54" s="1041"/>
      <c r="R54" s="1022">
        <f t="shared" si="28"/>
        <v>-1467968.8189460002</v>
      </c>
      <c r="S54" s="1040"/>
      <c r="T54" s="1045">
        <v>-1292032.8189460002</v>
      </c>
      <c r="U54" s="1040"/>
      <c r="V54" s="1045">
        <v>0</v>
      </c>
      <c r="W54" s="1040"/>
      <c r="X54" s="1022">
        <f t="shared" si="29"/>
        <v>-175936</v>
      </c>
      <c r="Y54" s="1005"/>
      <c r="Z54" s="972" t="s">
        <v>993</v>
      </c>
      <c r="AA54" s="1006"/>
      <c r="AB54" s="972" t="s">
        <v>429</v>
      </c>
      <c r="AC54" s="1006"/>
      <c r="AD54" s="1007">
        <v>1</v>
      </c>
      <c r="AE54" s="1006"/>
      <c r="AF54" s="1015">
        <f t="shared" si="30"/>
        <v>-175936</v>
      </c>
      <c r="AG54" s="1006"/>
      <c r="AH54" s="1016">
        <v>283</v>
      </c>
      <c r="AI54" s="964"/>
    </row>
    <row r="55" spans="2:35">
      <c r="B55" s="1014">
        <f t="shared" si="31"/>
        <v>39</v>
      </c>
      <c r="C55" s="1042" t="s">
        <v>1026</v>
      </c>
      <c r="D55" s="1043" t="s">
        <v>1027</v>
      </c>
      <c r="E55" s="1042" t="s">
        <v>979</v>
      </c>
      <c r="F55" s="1045">
        <v>-4791542.4199999981</v>
      </c>
      <c r="G55" s="1022">
        <f t="shared" si="21"/>
        <v>-1677039.8469999991</v>
      </c>
      <c r="H55" s="1045">
        <v>-378718.09964999981</v>
      </c>
      <c r="I55" s="1022">
        <f t="shared" si="22"/>
        <v>132551.33487749993</v>
      </c>
      <c r="J55" s="1022">
        <f t="shared" si="23"/>
        <v>-1923206.611772499</v>
      </c>
      <c r="K55" s="1040"/>
      <c r="L55" s="1045">
        <f t="shared" si="24"/>
        <v>-4791542.4199999981</v>
      </c>
      <c r="M55" s="1022">
        <f t="shared" si="25"/>
        <v>-1006223.9081999996</v>
      </c>
      <c r="N55" s="1045">
        <v>-381657.0629411391</v>
      </c>
      <c r="O55" s="1022">
        <f t="shared" si="26"/>
        <v>80147.983217639208</v>
      </c>
      <c r="P55" s="1022">
        <f t="shared" si="27"/>
        <v>-1307732.9879234994</v>
      </c>
      <c r="Q55" s="1041"/>
      <c r="R55" s="1022">
        <f t="shared" si="28"/>
        <v>-615473.62384899962</v>
      </c>
      <c r="S55" s="1040"/>
      <c r="T55" s="1045">
        <v>-615473.62384899962</v>
      </c>
      <c r="U55" s="1040"/>
      <c r="V55" s="1045">
        <v>0</v>
      </c>
      <c r="W55" s="1040"/>
      <c r="X55" s="1022">
        <f t="shared" si="29"/>
        <v>0</v>
      </c>
      <c r="Y55" s="1005"/>
      <c r="Z55" s="972" t="s">
        <v>981</v>
      </c>
      <c r="AA55" s="1006"/>
      <c r="AB55" s="972" t="s">
        <v>428</v>
      </c>
      <c r="AC55" s="1006"/>
      <c r="AD55" s="1007">
        <v>0</v>
      </c>
      <c r="AE55" s="1006"/>
      <c r="AF55" s="1015">
        <f t="shared" si="30"/>
        <v>0</v>
      </c>
      <c r="AG55" s="1006"/>
      <c r="AH55" s="1016">
        <v>283</v>
      </c>
      <c r="AI55" s="964"/>
    </row>
    <row r="56" spans="2:35">
      <c r="B56" s="1014">
        <f t="shared" si="31"/>
        <v>40</v>
      </c>
      <c r="C56" s="1042" t="s">
        <v>810</v>
      </c>
      <c r="D56" s="1043" t="s">
        <v>810</v>
      </c>
      <c r="E56" s="1042" t="s">
        <v>979</v>
      </c>
      <c r="F56" s="1045">
        <v>-68766241.480000004</v>
      </c>
      <c r="G56" s="1022">
        <f t="shared" si="21"/>
        <v>-24068184.517999999</v>
      </c>
      <c r="H56" s="1045">
        <v>-5673214.922100001</v>
      </c>
      <c r="I56" s="1022">
        <f t="shared" si="22"/>
        <v>1985625.2227350003</v>
      </c>
      <c r="J56" s="1022">
        <f t="shared" si="23"/>
        <v>-27755774.217365</v>
      </c>
      <c r="K56" s="1040"/>
      <c r="L56" s="1045">
        <f t="shared" si="24"/>
        <v>-68766241.480000004</v>
      </c>
      <c r="M56" s="1022">
        <f t="shared" si="25"/>
        <v>-14440910.7108</v>
      </c>
      <c r="N56" s="1045">
        <v>-5673214.922100001</v>
      </c>
      <c r="O56" s="1022">
        <f t="shared" si="26"/>
        <v>1191375.1336410001</v>
      </c>
      <c r="P56" s="1022">
        <f t="shared" si="27"/>
        <v>-18922750.499258999</v>
      </c>
      <c r="Q56" s="1041"/>
      <c r="R56" s="1022">
        <f t="shared" si="28"/>
        <v>-8833023.7181060016</v>
      </c>
      <c r="S56" s="1040"/>
      <c r="T56" s="1045">
        <v>-7774385.7181060016</v>
      </c>
      <c r="U56" s="1040"/>
      <c r="V56" s="1045">
        <v>0</v>
      </c>
      <c r="W56" s="1040"/>
      <c r="X56" s="1022">
        <f t="shared" si="29"/>
        <v>-1058638</v>
      </c>
      <c r="Y56" s="1005"/>
      <c r="AA56" s="1006"/>
      <c r="AB56" s="972" t="s">
        <v>429</v>
      </c>
      <c r="AC56" s="1006"/>
      <c r="AD56" s="1007">
        <v>1</v>
      </c>
      <c r="AE56" s="1006"/>
      <c r="AF56" s="1015">
        <f t="shared" si="30"/>
        <v>-1058638</v>
      </c>
      <c r="AG56" s="1006"/>
      <c r="AH56" s="1016">
        <v>283</v>
      </c>
      <c r="AI56" s="964"/>
    </row>
    <row r="57" spans="2:35">
      <c r="B57" s="1014">
        <f t="shared" si="31"/>
        <v>41</v>
      </c>
      <c r="C57" s="1042" t="s">
        <v>1028</v>
      </c>
      <c r="D57" s="1043" t="s">
        <v>889</v>
      </c>
      <c r="E57" s="1042" t="s">
        <v>979</v>
      </c>
      <c r="F57" s="1045">
        <v>-50770189.93</v>
      </c>
      <c r="G57" s="1022">
        <f t="shared" si="21"/>
        <v>-17769566.475499999</v>
      </c>
      <c r="H57" s="1045">
        <v>-4188540.6692250003</v>
      </c>
      <c r="I57" s="1022">
        <f t="shared" si="22"/>
        <v>1465989.23422875</v>
      </c>
      <c r="J57" s="1022">
        <f t="shared" si="23"/>
        <v>-20492117.91049625</v>
      </c>
      <c r="K57" s="1040"/>
      <c r="L57" s="1045">
        <f t="shared" si="24"/>
        <v>-50770189.93</v>
      </c>
      <c r="M57" s="1022">
        <f t="shared" si="25"/>
        <v>-10661739.885299999</v>
      </c>
      <c r="N57" s="1045">
        <v>-4188540.6692250003</v>
      </c>
      <c r="O57" s="1022">
        <f t="shared" si="26"/>
        <v>879593.54053725</v>
      </c>
      <c r="P57" s="1022">
        <f t="shared" si="27"/>
        <v>-13970687.01398775</v>
      </c>
      <c r="Q57" s="1041"/>
      <c r="R57" s="1022">
        <f t="shared" si="28"/>
        <v>-6521430.8965085</v>
      </c>
      <c r="S57" s="1040"/>
      <c r="T57" s="1045">
        <v>-6521430.8965085</v>
      </c>
      <c r="U57" s="1040"/>
      <c r="V57" s="1045">
        <v>0</v>
      </c>
      <c r="W57" s="1040"/>
      <c r="X57" s="1022">
        <f t="shared" si="29"/>
        <v>0</v>
      </c>
      <c r="Y57" s="1005"/>
      <c r="Z57" s="972" t="s">
        <v>981</v>
      </c>
      <c r="AA57" s="1006"/>
      <c r="AB57" s="972" t="s">
        <v>428</v>
      </c>
      <c r="AC57" s="1006"/>
      <c r="AD57" s="1007">
        <v>0</v>
      </c>
      <c r="AE57" s="1006"/>
      <c r="AF57" s="1015">
        <f t="shared" si="30"/>
        <v>0</v>
      </c>
      <c r="AG57" s="1006"/>
      <c r="AH57" s="1016">
        <v>283</v>
      </c>
      <c r="AI57" s="964"/>
    </row>
    <row r="58" spans="2:35">
      <c r="B58" s="1014">
        <f t="shared" si="31"/>
        <v>42</v>
      </c>
      <c r="C58" s="1042" t="s">
        <v>1029</v>
      </c>
      <c r="D58" s="1043" t="s">
        <v>1030</v>
      </c>
      <c r="E58" s="1042" t="s">
        <v>979</v>
      </c>
      <c r="F58" s="1045">
        <v>-13638531.42</v>
      </c>
      <c r="G58" s="1022">
        <f t="shared" si="21"/>
        <v>-4773485.9969999995</v>
      </c>
      <c r="H58" s="1045">
        <v>-1125178.8421500002</v>
      </c>
      <c r="I58" s="1022">
        <f t="shared" si="22"/>
        <v>393812.59475250001</v>
      </c>
      <c r="J58" s="1022">
        <f t="shared" si="23"/>
        <v>-5504852.2443974996</v>
      </c>
      <c r="K58" s="1040"/>
      <c r="L58" s="1045">
        <f t="shared" si="24"/>
        <v>-13638531.42</v>
      </c>
      <c r="M58" s="1022">
        <f t="shared" si="25"/>
        <v>-2864091.5981999999</v>
      </c>
      <c r="N58" s="1045">
        <v>-1125178.8421500002</v>
      </c>
      <c r="O58" s="1022">
        <f t="shared" si="26"/>
        <v>236287.55685150003</v>
      </c>
      <c r="P58" s="1022">
        <f t="shared" si="27"/>
        <v>-3752982.8834985001</v>
      </c>
      <c r="Q58" s="1041"/>
      <c r="R58" s="1022">
        <f t="shared" si="28"/>
        <v>-1751869.3608989995</v>
      </c>
      <c r="S58" s="1040"/>
      <c r="T58" s="1045">
        <v>-1751869.360899</v>
      </c>
      <c r="U58" s="1040"/>
      <c r="V58" s="1045">
        <v>0</v>
      </c>
      <c r="W58" s="1040"/>
      <c r="X58" s="1022">
        <f t="shared" si="29"/>
        <v>4.6566128730773926E-10</v>
      </c>
      <c r="Y58" s="1005"/>
      <c r="Z58" s="972" t="s">
        <v>981</v>
      </c>
      <c r="AA58" s="1006"/>
      <c r="AB58" s="972" t="s">
        <v>428</v>
      </c>
      <c r="AC58" s="1006"/>
      <c r="AD58" s="1007">
        <v>0</v>
      </c>
      <c r="AE58" s="1006"/>
      <c r="AF58" s="1015">
        <f t="shared" si="30"/>
        <v>0</v>
      </c>
      <c r="AG58" s="1006"/>
      <c r="AH58" s="1016">
        <v>283</v>
      </c>
      <c r="AI58" s="964"/>
    </row>
    <row r="59" spans="2:35">
      <c r="B59" s="1014">
        <f t="shared" si="31"/>
        <v>43</v>
      </c>
      <c r="C59" s="1042" t="s">
        <v>1031</v>
      </c>
      <c r="D59" s="1043" t="s">
        <v>1032</v>
      </c>
      <c r="E59" s="1042" t="s">
        <v>979</v>
      </c>
      <c r="F59" s="1045">
        <v>-9924222.6699999999</v>
      </c>
      <c r="G59" s="1022">
        <f t="shared" si="21"/>
        <v>-3473477.9345</v>
      </c>
      <c r="H59" s="1045">
        <v>-818748.37027499999</v>
      </c>
      <c r="I59" s="1022">
        <f t="shared" si="22"/>
        <v>286561.92959625</v>
      </c>
      <c r="J59" s="1022">
        <f t="shared" si="23"/>
        <v>-4005664.3751787501</v>
      </c>
      <c r="K59" s="1040"/>
      <c r="L59" s="1045">
        <f t="shared" si="24"/>
        <v>-9924222.6699999999</v>
      </c>
      <c r="M59" s="1022">
        <f t="shared" si="25"/>
        <v>-2084086.7607</v>
      </c>
      <c r="N59" s="1045">
        <v>-818748.37027499999</v>
      </c>
      <c r="O59" s="1022">
        <f t="shared" si="26"/>
        <v>171937.15775774998</v>
      </c>
      <c r="P59" s="1022">
        <f t="shared" si="27"/>
        <v>-2730897.9732172498</v>
      </c>
      <c r="Q59" s="1041"/>
      <c r="R59" s="1022">
        <f t="shared" si="28"/>
        <v>-1274766.4019615003</v>
      </c>
      <c r="S59" s="1040"/>
      <c r="T59" s="1045">
        <v>-1274766.4019614994</v>
      </c>
      <c r="U59" s="1040"/>
      <c r="V59" s="1045">
        <v>0</v>
      </c>
      <c r="W59" s="1040"/>
      <c r="X59" s="1022">
        <f t="shared" si="29"/>
        <v>-9.3132257461547852E-10</v>
      </c>
      <c r="Y59" s="1005"/>
      <c r="Z59" s="972" t="s">
        <v>981</v>
      </c>
      <c r="AA59" s="1006"/>
      <c r="AB59" s="972" t="s">
        <v>428</v>
      </c>
      <c r="AC59" s="1006"/>
      <c r="AD59" s="1007">
        <v>0</v>
      </c>
      <c r="AE59" s="1006"/>
      <c r="AF59" s="1015">
        <f>X59*AD59</f>
        <v>0</v>
      </c>
      <c r="AG59" s="1006"/>
      <c r="AH59" s="1016">
        <v>283</v>
      </c>
      <c r="AI59" s="964"/>
    </row>
    <row r="60" spans="2:35">
      <c r="B60" s="1014">
        <f t="shared" si="31"/>
        <v>44</v>
      </c>
      <c r="C60" s="1042" t="s">
        <v>1033</v>
      </c>
      <c r="D60" s="1043" t="s">
        <v>1034</v>
      </c>
      <c r="E60" s="1042" t="s">
        <v>979</v>
      </c>
      <c r="F60" s="1045">
        <v>-299295</v>
      </c>
      <c r="G60" s="1022">
        <f t="shared" si="21"/>
        <v>-104753.25</v>
      </c>
      <c r="H60" s="1045">
        <v>-24691.837500000001</v>
      </c>
      <c r="I60" s="1022">
        <f t="shared" si="22"/>
        <v>8642.1431250000005</v>
      </c>
      <c r="J60" s="1022">
        <f t="shared" si="23"/>
        <v>-120802.94437499999</v>
      </c>
      <c r="K60" s="1040"/>
      <c r="L60" s="1045">
        <f t="shared" si="24"/>
        <v>-299295</v>
      </c>
      <c r="M60" s="1022">
        <f t="shared" si="25"/>
        <v>-62851.95</v>
      </c>
      <c r="N60" s="1045">
        <v>-24691.837500000001</v>
      </c>
      <c r="O60" s="1022">
        <f t="shared" si="26"/>
        <v>5185.2858750000005</v>
      </c>
      <c r="P60" s="1022">
        <f t="shared" si="27"/>
        <v>-82358.501625000004</v>
      </c>
      <c r="Q60" s="1041"/>
      <c r="R60" s="1022">
        <f t="shared" si="28"/>
        <v>-38444.442749999987</v>
      </c>
      <c r="S60" s="1040"/>
      <c r="T60" s="1045">
        <v>0</v>
      </c>
      <c r="U60" s="1040"/>
      <c r="V60" s="1045">
        <v>0</v>
      </c>
      <c r="W60" s="1040"/>
      <c r="X60" s="1022">
        <f t="shared" si="29"/>
        <v>-38444.442749999987</v>
      </c>
      <c r="Y60" s="1005"/>
      <c r="Z60" s="972" t="s">
        <v>980</v>
      </c>
      <c r="AA60" s="1006"/>
      <c r="AB60" s="972" t="s">
        <v>428</v>
      </c>
      <c r="AC60" s="1006"/>
      <c r="AD60" s="1007">
        <v>0</v>
      </c>
      <c r="AE60" s="1006"/>
      <c r="AF60" s="1015">
        <f t="shared" si="30"/>
        <v>0</v>
      </c>
      <c r="AG60" s="1006"/>
      <c r="AH60" s="1016">
        <v>283</v>
      </c>
      <c r="AI60" s="964"/>
    </row>
    <row r="61" spans="2:35">
      <c r="B61" s="1014">
        <f t="shared" si="31"/>
        <v>45</v>
      </c>
      <c r="C61" s="1042" t="s">
        <v>1035</v>
      </c>
      <c r="D61" s="1043" t="s">
        <v>813</v>
      </c>
      <c r="E61" s="1042" t="s">
        <v>979</v>
      </c>
      <c r="F61" s="1045">
        <v>-222367</v>
      </c>
      <c r="G61" s="1022">
        <f t="shared" si="21"/>
        <v>-77828.45</v>
      </c>
      <c r="H61" s="1045">
        <v>-18345.2775</v>
      </c>
      <c r="I61" s="1022">
        <f t="shared" si="22"/>
        <v>6420.8471249999993</v>
      </c>
      <c r="J61" s="1022">
        <f t="shared" si="23"/>
        <v>-89752.880374999993</v>
      </c>
      <c r="K61" s="1040"/>
      <c r="L61" s="1045">
        <f t="shared" si="24"/>
        <v>-222367</v>
      </c>
      <c r="M61" s="1022">
        <f t="shared" si="25"/>
        <v>-46697.07</v>
      </c>
      <c r="N61" s="1045">
        <v>-18345.2775</v>
      </c>
      <c r="O61" s="1022">
        <f t="shared" si="26"/>
        <v>3852.5082749999997</v>
      </c>
      <c r="P61" s="1022">
        <f t="shared" si="27"/>
        <v>-61189.839225000003</v>
      </c>
      <c r="Q61" s="1041"/>
      <c r="R61" s="1022">
        <f t="shared" si="28"/>
        <v>-28563.04114999999</v>
      </c>
      <c r="S61" s="1040"/>
      <c r="T61" s="1045">
        <v>0</v>
      </c>
      <c r="U61" s="1040"/>
      <c r="V61" s="1045">
        <v>0</v>
      </c>
      <c r="W61" s="1040"/>
      <c r="X61" s="1022">
        <f t="shared" si="29"/>
        <v>-28563.04114999999</v>
      </c>
      <c r="Y61" s="1005"/>
      <c r="Z61" s="972" t="s">
        <v>980</v>
      </c>
      <c r="AA61" s="1006"/>
      <c r="AB61" s="972" t="s">
        <v>428</v>
      </c>
      <c r="AC61" s="1006"/>
      <c r="AD61" s="1007">
        <v>0</v>
      </c>
      <c r="AE61" s="1006"/>
      <c r="AF61" s="1015">
        <f t="shared" si="30"/>
        <v>0</v>
      </c>
      <c r="AG61" s="1006"/>
      <c r="AH61" s="1016">
        <v>283</v>
      </c>
      <c r="AI61" s="964"/>
    </row>
    <row r="62" spans="2:35">
      <c r="B62" s="1014">
        <f t="shared" si="31"/>
        <v>46</v>
      </c>
      <c r="C62" s="1042" t="s">
        <v>1036</v>
      </c>
      <c r="D62" s="1043" t="s">
        <v>1037</v>
      </c>
      <c r="E62" s="1042" t="s">
        <v>979</v>
      </c>
      <c r="F62" s="1045">
        <v>-660629</v>
      </c>
      <c r="G62" s="1022">
        <f t="shared" si="21"/>
        <v>-231220.15</v>
      </c>
      <c r="H62" s="1045">
        <v>-54501.892500000002</v>
      </c>
      <c r="I62" s="1022">
        <f t="shared" si="22"/>
        <v>19075.662375</v>
      </c>
      <c r="J62" s="1022">
        <f t="shared" si="23"/>
        <v>-266646.38012500003</v>
      </c>
      <c r="K62" s="1040"/>
      <c r="L62" s="1045">
        <f t="shared" si="24"/>
        <v>-660629</v>
      </c>
      <c r="M62" s="1022">
        <f t="shared" si="25"/>
        <v>-138732.09</v>
      </c>
      <c r="N62" s="1045">
        <v>-54501.892500000002</v>
      </c>
      <c r="O62" s="1022">
        <f t="shared" si="26"/>
        <v>11445.397424999999</v>
      </c>
      <c r="P62" s="1022">
        <f t="shared" si="27"/>
        <v>-181788.58507500001</v>
      </c>
      <c r="Q62" s="1041"/>
      <c r="R62" s="1022">
        <f t="shared" si="28"/>
        <v>-84857.795050000015</v>
      </c>
      <c r="S62" s="1040"/>
      <c r="T62" s="1045">
        <v>0</v>
      </c>
      <c r="U62" s="1040"/>
      <c r="V62" s="1045">
        <v>0</v>
      </c>
      <c r="W62" s="1040"/>
      <c r="X62" s="1022">
        <f t="shared" si="29"/>
        <v>-84857.795050000015</v>
      </c>
      <c r="Y62" s="1005"/>
      <c r="Z62" s="972" t="s">
        <v>980</v>
      </c>
      <c r="AA62" s="1006"/>
      <c r="AB62" s="972" t="s">
        <v>428</v>
      </c>
      <c r="AC62" s="1006"/>
      <c r="AD62" s="1007">
        <v>0</v>
      </c>
      <c r="AE62" s="1006"/>
      <c r="AF62" s="1015">
        <f t="shared" si="30"/>
        <v>0</v>
      </c>
      <c r="AG62" s="1006"/>
      <c r="AH62" s="1016">
        <v>283</v>
      </c>
      <c r="AI62" s="964"/>
    </row>
    <row r="63" spans="2:35">
      <c r="B63" s="1014">
        <f t="shared" si="31"/>
        <v>47</v>
      </c>
      <c r="C63" s="1042" t="s">
        <v>1038</v>
      </c>
      <c r="D63" s="1043" t="s">
        <v>1039</v>
      </c>
      <c r="E63" s="1042" t="s">
        <v>979</v>
      </c>
      <c r="F63" s="1045">
        <v>-523652</v>
      </c>
      <c r="G63" s="1022">
        <f t="shared" si="21"/>
        <v>-183278.19999999998</v>
      </c>
      <c r="H63" s="1045">
        <v>-43201.29</v>
      </c>
      <c r="I63" s="1022">
        <f t="shared" si="22"/>
        <v>15120.451499999999</v>
      </c>
      <c r="J63" s="1022">
        <f t="shared" si="23"/>
        <v>-211359.0385</v>
      </c>
      <c r="K63" s="1040"/>
      <c r="L63" s="1045">
        <f t="shared" si="24"/>
        <v>-523652</v>
      </c>
      <c r="M63" s="1022">
        <f t="shared" si="25"/>
        <v>-109966.92</v>
      </c>
      <c r="N63" s="1045">
        <v>-43201.29</v>
      </c>
      <c r="O63" s="1022">
        <f t="shared" si="26"/>
        <v>9072.2708999999995</v>
      </c>
      <c r="P63" s="1022">
        <f t="shared" si="27"/>
        <v>-144095.93909999999</v>
      </c>
      <c r="Q63" s="1041"/>
      <c r="R63" s="1022">
        <f t="shared" si="28"/>
        <v>-67263.099400000006</v>
      </c>
      <c r="S63" s="1040"/>
      <c r="T63" s="1045">
        <v>0</v>
      </c>
      <c r="U63" s="1040"/>
      <c r="V63" s="1045">
        <v>0</v>
      </c>
      <c r="W63" s="1040"/>
      <c r="X63" s="1022">
        <f t="shared" si="29"/>
        <v>-67263.099400000006</v>
      </c>
      <c r="Y63" s="1005"/>
      <c r="Z63" s="972" t="s">
        <v>980</v>
      </c>
      <c r="AA63" s="1006"/>
      <c r="AB63" s="972" t="s">
        <v>428</v>
      </c>
      <c r="AC63" s="1006"/>
      <c r="AD63" s="1007">
        <v>0</v>
      </c>
      <c r="AE63" s="1006"/>
      <c r="AF63" s="1015">
        <f t="shared" si="30"/>
        <v>0</v>
      </c>
      <c r="AG63" s="1006"/>
      <c r="AH63" s="1016">
        <v>283</v>
      </c>
      <c r="AI63" s="964"/>
    </row>
    <row r="64" spans="2:35">
      <c r="B64" s="1014">
        <f t="shared" si="31"/>
        <v>48</v>
      </c>
      <c r="C64" s="1042" t="s">
        <v>1040</v>
      </c>
      <c r="D64" s="1043" t="s">
        <v>1040</v>
      </c>
      <c r="E64" s="1042" t="s">
        <v>979</v>
      </c>
      <c r="F64" s="1045">
        <v>-5733544</v>
      </c>
      <c r="G64" s="1022">
        <f t="shared" si="21"/>
        <v>-2006740.4</v>
      </c>
      <c r="H64" s="1045">
        <v>-473017.38</v>
      </c>
      <c r="I64" s="1022">
        <f t="shared" si="22"/>
        <v>165556.08299999998</v>
      </c>
      <c r="J64" s="1022">
        <f t="shared" si="23"/>
        <v>-2314201.6969999997</v>
      </c>
      <c r="K64" s="1040"/>
      <c r="L64" s="1045">
        <f t="shared" si="24"/>
        <v>-5733544</v>
      </c>
      <c r="M64" s="1022">
        <f t="shared" si="25"/>
        <v>-1204044.24</v>
      </c>
      <c r="N64" s="1045">
        <v>-473017.38</v>
      </c>
      <c r="O64" s="1022">
        <f t="shared" si="26"/>
        <v>99333.649799999999</v>
      </c>
      <c r="P64" s="1022">
        <f t="shared" si="27"/>
        <v>-1577727.9701999999</v>
      </c>
      <c r="Q64" s="1041"/>
      <c r="R64" s="1022">
        <f t="shared" si="28"/>
        <v>-736473.72679999983</v>
      </c>
      <c r="S64" s="1040"/>
      <c r="T64" s="1045">
        <v>0</v>
      </c>
      <c r="U64" s="1040"/>
      <c r="V64" s="1045">
        <v>0</v>
      </c>
      <c r="W64" s="1040"/>
      <c r="X64" s="1022">
        <f t="shared" si="29"/>
        <v>-736473.72679999983</v>
      </c>
      <c r="Y64" s="1005"/>
      <c r="Z64" s="972" t="s">
        <v>980</v>
      </c>
      <c r="AA64" s="1006"/>
      <c r="AB64" s="972" t="s">
        <v>428</v>
      </c>
      <c r="AC64" s="1006"/>
      <c r="AD64" s="1007">
        <v>0</v>
      </c>
      <c r="AE64" s="1006"/>
      <c r="AF64" s="1015">
        <f t="shared" si="30"/>
        <v>0</v>
      </c>
      <c r="AG64" s="1006"/>
      <c r="AH64" s="1016">
        <v>283</v>
      </c>
      <c r="AI64" s="964"/>
    </row>
    <row r="65" spans="2:35">
      <c r="B65" s="1014">
        <f t="shared" si="31"/>
        <v>49</v>
      </c>
      <c r="C65" s="1042" t="s">
        <v>1041</v>
      </c>
      <c r="D65" s="1043" t="s">
        <v>807</v>
      </c>
      <c r="E65" s="1042" t="s">
        <v>979</v>
      </c>
      <c r="F65" s="1045">
        <v>1829706</v>
      </c>
      <c r="G65" s="1022">
        <f t="shared" si="21"/>
        <v>640397.1</v>
      </c>
      <c r="H65" s="1045">
        <v>150950.745</v>
      </c>
      <c r="I65" s="1022">
        <f t="shared" si="22"/>
        <v>-52832.760749999994</v>
      </c>
      <c r="J65" s="1022">
        <f t="shared" si="23"/>
        <v>738515.08424999996</v>
      </c>
      <c r="K65" s="1040"/>
      <c r="L65" s="1045">
        <f t="shared" si="24"/>
        <v>1829706</v>
      </c>
      <c r="M65" s="1022">
        <f t="shared" si="25"/>
        <v>384238.26</v>
      </c>
      <c r="N65" s="1045">
        <v>150950.745</v>
      </c>
      <c r="O65" s="1022">
        <f t="shared" si="26"/>
        <v>-31699.656449999999</v>
      </c>
      <c r="P65" s="1022">
        <f t="shared" si="27"/>
        <v>503489.34855</v>
      </c>
      <c r="Q65" s="1041"/>
      <c r="R65" s="1022">
        <f t="shared" si="28"/>
        <v>235025.73569999996</v>
      </c>
      <c r="S65" s="1040"/>
      <c r="T65" s="1045">
        <v>0</v>
      </c>
      <c r="U65" s="1040"/>
      <c r="V65" s="1045">
        <v>0</v>
      </c>
      <c r="W65" s="1040"/>
      <c r="X65" s="1022">
        <f t="shared" si="29"/>
        <v>235025.73569999996</v>
      </c>
      <c r="Y65" s="1005"/>
      <c r="Z65" s="972" t="s">
        <v>980</v>
      </c>
      <c r="AA65" s="1006"/>
      <c r="AB65" s="972" t="s">
        <v>428</v>
      </c>
      <c r="AC65" s="1006"/>
      <c r="AD65" s="1007">
        <v>0</v>
      </c>
      <c r="AE65" s="1006"/>
      <c r="AF65" s="1015">
        <f t="shared" si="30"/>
        <v>0</v>
      </c>
      <c r="AG65" s="1006"/>
      <c r="AH65" s="1016">
        <v>283</v>
      </c>
      <c r="AI65" s="964"/>
    </row>
    <row r="66" spans="2:35">
      <c r="B66" s="1014">
        <f t="shared" si="31"/>
        <v>50</v>
      </c>
      <c r="C66" s="1042" t="s">
        <v>1042</v>
      </c>
      <c r="D66" s="1043" t="s">
        <v>812</v>
      </c>
      <c r="E66" s="1042" t="s">
        <v>979</v>
      </c>
      <c r="F66" s="1045">
        <v>154375</v>
      </c>
      <c r="G66" s="1022">
        <f t="shared" si="21"/>
        <v>54031.25</v>
      </c>
      <c r="H66" s="1045">
        <v>12735.9375</v>
      </c>
      <c r="I66" s="1022">
        <f t="shared" si="22"/>
        <v>-4457.578125</v>
      </c>
      <c r="J66" s="1022">
        <f t="shared" si="23"/>
        <v>62309.609375</v>
      </c>
      <c r="K66" s="1040"/>
      <c r="L66" s="1045">
        <f t="shared" si="24"/>
        <v>154375</v>
      </c>
      <c r="M66" s="1022">
        <f t="shared" si="25"/>
        <v>32418.75</v>
      </c>
      <c r="N66" s="1045">
        <v>12735.9375</v>
      </c>
      <c r="O66" s="1022">
        <f t="shared" si="26"/>
        <v>-2674.546875</v>
      </c>
      <c r="P66" s="1022">
        <f t="shared" si="27"/>
        <v>42480.140625</v>
      </c>
      <c r="Q66" s="1041"/>
      <c r="R66" s="1022">
        <f t="shared" si="28"/>
        <v>19829.46875</v>
      </c>
      <c r="S66" s="1040"/>
      <c r="T66" s="1045">
        <v>19829</v>
      </c>
      <c r="U66" s="1040"/>
      <c r="V66" s="1045">
        <v>0</v>
      </c>
      <c r="W66" s="1040"/>
      <c r="X66" s="1022">
        <f t="shared" si="29"/>
        <v>0.46875</v>
      </c>
      <c r="Y66" s="1005"/>
      <c r="Z66" s="972" t="s">
        <v>981</v>
      </c>
      <c r="AA66" s="1006"/>
      <c r="AB66" s="972" t="s">
        <v>428</v>
      </c>
      <c r="AC66" s="1006"/>
      <c r="AD66" s="1007">
        <v>0</v>
      </c>
      <c r="AE66" s="1006"/>
      <c r="AF66" s="1015">
        <f t="shared" si="30"/>
        <v>0</v>
      </c>
      <c r="AG66" s="1006"/>
      <c r="AH66" s="1016">
        <v>283</v>
      </c>
      <c r="AI66" s="964"/>
    </row>
    <row r="67" spans="2:35">
      <c r="B67" s="1014">
        <f t="shared" si="31"/>
        <v>51</v>
      </c>
      <c r="C67" s="1042" t="s">
        <v>1043</v>
      </c>
      <c r="D67" s="1043" t="s">
        <v>1044</v>
      </c>
      <c r="E67" s="1042" t="s">
        <v>979</v>
      </c>
      <c r="F67" s="1045">
        <v>154500.64999999979</v>
      </c>
      <c r="G67" s="1022">
        <f t="shared" si="21"/>
        <v>54075.227499999921</v>
      </c>
      <c r="H67" s="1045">
        <v>12746.303624999984</v>
      </c>
      <c r="I67" s="1022">
        <f t="shared" si="22"/>
        <v>-4461.2062687499938</v>
      </c>
      <c r="J67" s="1022">
        <f t="shared" si="23"/>
        <v>62360.324856249914</v>
      </c>
      <c r="K67" s="1040"/>
      <c r="L67" s="1045">
        <f t="shared" si="24"/>
        <v>154500.64999999979</v>
      </c>
      <c r="M67" s="1022">
        <f t="shared" si="25"/>
        <v>32445.136499999953</v>
      </c>
      <c r="N67" s="1045">
        <v>12746.303624999984</v>
      </c>
      <c r="O67" s="1022">
        <f t="shared" si="26"/>
        <v>-2676.7237612499966</v>
      </c>
      <c r="P67" s="1022">
        <f t="shared" si="27"/>
        <v>42514.71636374994</v>
      </c>
      <c r="Q67" s="1041"/>
      <c r="R67" s="1022">
        <f t="shared" si="28"/>
        <v>19845.608492499974</v>
      </c>
      <c r="S67" s="1040"/>
      <c r="T67" s="1045">
        <v>0</v>
      </c>
      <c r="U67" s="1040"/>
      <c r="V67" s="1045">
        <v>0</v>
      </c>
      <c r="W67" s="1040"/>
      <c r="X67" s="1022">
        <f t="shared" si="29"/>
        <v>19845.608492499974</v>
      </c>
      <c r="Y67" s="1005"/>
      <c r="Z67" s="972" t="s">
        <v>980</v>
      </c>
      <c r="AA67" s="1006"/>
      <c r="AB67" s="972" t="s">
        <v>428</v>
      </c>
      <c r="AC67" s="1006"/>
      <c r="AD67" s="1007">
        <v>0</v>
      </c>
      <c r="AE67" s="1006"/>
      <c r="AF67" s="1015">
        <f t="shared" si="30"/>
        <v>0</v>
      </c>
      <c r="AG67" s="1006"/>
      <c r="AH67" s="1016">
        <v>283</v>
      </c>
      <c r="AI67" s="964"/>
    </row>
    <row r="68" spans="2:35">
      <c r="B68" s="1014">
        <f t="shared" si="31"/>
        <v>52</v>
      </c>
      <c r="C68" s="1042" t="s">
        <v>1045</v>
      </c>
      <c r="D68" s="1043" t="s">
        <v>1047</v>
      </c>
      <c r="E68" s="1042" t="s">
        <v>979</v>
      </c>
      <c r="F68" s="1045">
        <v>-1615862</v>
      </c>
      <c r="G68" s="1022">
        <f t="shared" si="21"/>
        <v>-565551.69999999995</v>
      </c>
      <c r="H68" s="1045">
        <v>-133308.61500000002</v>
      </c>
      <c r="I68" s="1022">
        <f t="shared" si="22"/>
        <v>46658.015250000004</v>
      </c>
      <c r="J68" s="1022">
        <f t="shared" si="23"/>
        <v>-652202.29975000001</v>
      </c>
      <c r="K68" s="1040"/>
      <c r="L68" s="1045">
        <f t="shared" si="24"/>
        <v>-1615862</v>
      </c>
      <c r="M68" s="1022">
        <f t="shared" si="25"/>
        <v>-339331.01999999996</v>
      </c>
      <c r="N68" s="1045">
        <v>-133308.61500000002</v>
      </c>
      <c r="O68" s="1022">
        <f t="shared" si="26"/>
        <v>27994.809150000005</v>
      </c>
      <c r="P68" s="1022">
        <f t="shared" si="27"/>
        <v>-444644.82585000002</v>
      </c>
      <c r="Q68" s="1041"/>
      <c r="R68" s="1022">
        <f t="shared" si="28"/>
        <v>-207557.47389999998</v>
      </c>
      <c r="S68" s="1040"/>
      <c r="T68" s="1045">
        <v>-182681</v>
      </c>
      <c r="U68" s="1040"/>
      <c r="V68" s="1045">
        <v>0</v>
      </c>
      <c r="W68" s="1040"/>
      <c r="X68" s="1022">
        <f t="shared" si="29"/>
        <v>-24876.473899999983</v>
      </c>
      <c r="Y68" s="1005"/>
      <c r="Z68" s="972" t="s">
        <v>993</v>
      </c>
      <c r="AA68" s="1006"/>
      <c r="AB68" s="972" t="s">
        <v>429</v>
      </c>
      <c r="AC68" s="1006"/>
      <c r="AD68" s="1007">
        <v>1</v>
      </c>
      <c r="AE68" s="1006"/>
      <c r="AF68" s="1015">
        <f t="shared" si="30"/>
        <v>-24876.473899999983</v>
      </c>
      <c r="AG68" s="1006"/>
      <c r="AH68" s="1016">
        <v>283</v>
      </c>
      <c r="AI68" s="964"/>
    </row>
    <row r="69" spans="2:35">
      <c r="B69" s="1014">
        <f t="shared" si="31"/>
        <v>53</v>
      </c>
      <c r="C69" s="1042" t="s">
        <v>1048</v>
      </c>
      <c r="D69" s="1043" t="s">
        <v>1022</v>
      </c>
      <c r="E69" s="1042" t="s">
        <v>979</v>
      </c>
      <c r="F69" s="1045">
        <v>-510580</v>
      </c>
      <c r="G69" s="1022">
        <f t="shared" si="21"/>
        <v>-178703</v>
      </c>
      <c r="H69" s="1045">
        <v>-42122.85</v>
      </c>
      <c r="I69" s="1022">
        <f t="shared" si="22"/>
        <v>14742.997499999998</v>
      </c>
      <c r="J69" s="1022">
        <f t="shared" si="23"/>
        <v>-206082.85250000001</v>
      </c>
      <c r="K69" s="1040"/>
      <c r="L69" s="1045">
        <f t="shared" si="24"/>
        <v>-510580</v>
      </c>
      <c r="M69" s="1022">
        <f t="shared" si="25"/>
        <v>-107221.8</v>
      </c>
      <c r="N69" s="1045">
        <v>-42122.85</v>
      </c>
      <c r="O69" s="1022">
        <f t="shared" si="26"/>
        <v>8845.798499999999</v>
      </c>
      <c r="P69" s="1022">
        <f t="shared" si="27"/>
        <v>-140498.85149999999</v>
      </c>
      <c r="Q69" s="1041"/>
      <c r="R69" s="1022">
        <f t="shared" si="28"/>
        <v>-65584.001000000018</v>
      </c>
      <c r="S69" s="1040"/>
      <c r="T69" s="1045">
        <v>0</v>
      </c>
      <c r="U69" s="1040"/>
      <c r="V69" s="1045">
        <v>0</v>
      </c>
      <c r="W69" s="1040"/>
      <c r="X69" s="1022">
        <f t="shared" si="29"/>
        <v>-65584.001000000018</v>
      </c>
      <c r="Y69" s="1005"/>
      <c r="Z69" s="972" t="s">
        <v>980</v>
      </c>
      <c r="AA69" s="1006"/>
      <c r="AB69" s="972" t="s">
        <v>428</v>
      </c>
      <c r="AC69" s="1006"/>
      <c r="AD69" s="1007">
        <v>0</v>
      </c>
      <c r="AE69" s="1006"/>
      <c r="AF69" s="1015">
        <f t="shared" si="30"/>
        <v>0</v>
      </c>
      <c r="AG69" s="1006"/>
      <c r="AH69" s="1016">
        <v>283</v>
      </c>
      <c r="AI69" s="972"/>
    </row>
    <row r="70" spans="2:35">
      <c r="B70" s="1014">
        <f t="shared" si="31"/>
        <v>54</v>
      </c>
      <c r="C70" s="1042" t="s">
        <v>1046</v>
      </c>
      <c r="D70" s="1043" t="s">
        <v>850</v>
      </c>
      <c r="E70" s="1042" t="s">
        <v>979</v>
      </c>
      <c r="F70" s="1045">
        <v>3167717</v>
      </c>
      <c r="G70" s="1022">
        <f t="shared" si="21"/>
        <v>1108700.95</v>
      </c>
      <c r="H70" s="1045">
        <v>261336.65250000003</v>
      </c>
      <c r="I70" s="1022">
        <f t="shared" si="22"/>
        <v>-91467.828374999997</v>
      </c>
      <c r="J70" s="1022">
        <f t="shared" si="23"/>
        <v>1278569.774125</v>
      </c>
      <c r="K70" s="1040"/>
      <c r="L70" s="1045">
        <f t="shared" si="24"/>
        <v>3167717</v>
      </c>
      <c r="M70" s="1022">
        <f t="shared" si="25"/>
        <v>665220.56999999995</v>
      </c>
      <c r="N70" s="1045">
        <v>261336.65250000003</v>
      </c>
      <c r="O70" s="1022">
        <f t="shared" si="26"/>
        <v>-54880.697025000001</v>
      </c>
      <c r="P70" s="1022">
        <f t="shared" si="27"/>
        <v>871676.52547500003</v>
      </c>
      <c r="Q70" s="1041"/>
      <c r="R70" s="1022">
        <f t="shared" si="28"/>
        <v>406893.24864999996</v>
      </c>
      <c r="S70" s="1040"/>
      <c r="T70" s="1045">
        <f>583228-176335</f>
        <v>406893</v>
      </c>
      <c r="U70" s="1040"/>
      <c r="V70" s="1045">
        <v>0</v>
      </c>
      <c r="W70" s="1040"/>
      <c r="X70" s="1022">
        <f t="shared" si="29"/>
        <v>0.24864999996498227</v>
      </c>
      <c r="Y70" s="1005"/>
      <c r="Z70" s="972" t="s">
        <v>981</v>
      </c>
      <c r="AA70" s="1006"/>
      <c r="AB70" s="972" t="s">
        <v>428</v>
      </c>
      <c r="AC70" s="1006"/>
      <c r="AD70" s="1007">
        <v>0</v>
      </c>
      <c r="AE70" s="1006"/>
      <c r="AF70" s="1015">
        <f t="shared" si="30"/>
        <v>0</v>
      </c>
      <c r="AG70" s="1006"/>
      <c r="AH70" s="1016">
        <v>283</v>
      </c>
      <c r="AI70" s="964"/>
    </row>
    <row r="71" spans="2:35" ht="13">
      <c r="B71" s="1014">
        <f t="shared" si="31"/>
        <v>55</v>
      </c>
      <c r="C71" s="1017" t="s">
        <v>1049</v>
      </c>
      <c r="D71" s="972"/>
      <c r="E71" s="972"/>
      <c r="F71" s="1018">
        <f>SUM(F50:F70)</f>
        <v>-686342164.54999983</v>
      </c>
      <c r="G71" s="1018">
        <f>SUM(G50:G70)</f>
        <v>-240219757.59249997</v>
      </c>
      <c r="H71" s="1018">
        <f>SUM(H50:H70)</f>
        <v>-56606644.425375</v>
      </c>
      <c r="I71" s="1018">
        <f>SUM(I50:I70)</f>
        <v>19812325.548881248</v>
      </c>
      <c r="J71" s="1018">
        <f>SUM(J50:J70)</f>
        <v>-277014076.46899384</v>
      </c>
      <c r="K71" s="1005"/>
      <c r="L71" s="1018">
        <f>SUM(L50:L70)</f>
        <v>-686342164.54999983</v>
      </c>
      <c r="M71" s="1018">
        <f>SUM(M50:M70)</f>
        <v>-144131854.55549997</v>
      </c>
      <c r="N71" s="1018">
        <f>SUM(N50:N70)</f>
        <v>-56609583.388666138</v>
      </c>
      <c r="O71" s="1018">
        <f>SUM(O50:O70)</f>
        <v>11888012.51161989</v>
      </c>
      <c r="P71" s="1018">
        <f>SUM(P50:P70)</f>
        <v>-188853425.4325462</v>
      </c>
      <c r="R71" s="1018">
        <f>SUM(R50:R70)</f>
        <v>-88160651.03644754</v>
      </c>
      <c r="S71" s="1005"/>
      <c r="T71" s="1018">
        <f>SUM(T50:T70)</f>
        <v>-20840252.118069999</v>
      </c>
      <c r="U71" s="1005"/>
      <c r="V71" s="1018">
        <f>SUM(V50:V70)</f>
        <v>0</v>
      </c>
      <c r="W71" s="1005"/>
      <c r="X71" s="1018">
        <f>SUM(X50:X70)</f>
        <v>-67320398.918377519</v>
      </c>
      <c r="Y71" s="1005"/>
      <c r="Z71" s="972"/>
      <c r="AA71" s="1006"/>
      <c r="AB71" s="972"/>
      <c r="AC71" s="1006"/>
      <c r="AD71" s="1006"/>
      <c r="AE71" s="1006"/>
      <c r="AF71" s="1018">
        <f>SUM(AF50:AF70)</f>
        <v>-1259450.4739000001</v>
      </c>
      <c r="AG71" s="1006"/>
      <c r="AI71" s="972"/>
    </row>
    <row r="72" spans="2:35">
      <c r="B72" s="1014"/>
      <c r="C72" s="1001"/>
      <c r="D72" s="1002"/>
      <c r="E72" s="1001"/>
      <c r="F72" s="1015"/>
      <c r="G72" s="1015"/>
      <c r="H72" s="1015"/>
      <c r="I72" s="1015"/>
      <c r="J72" s="1015"/>
      <c r="K72" s="1006"/>
      <c r="P72" s="1015"/>
      <c r="R72" s="1015"/>
      <c r="S72" s="1006"/>
      <c r="T72" s="1015"/>
      <c r="U72" s="1006"/>
      <c r="V72" s="1015"/>
      <c r="W72" s="1006"/>
      <c r="X72" s="1015"/>
      <c r="Y72" s="1006"/>
      <c r="Z72" s="1001"/>
      <c r="AA72" s="1006"/>
      <c r="AB72" s="1001"/>
      <c r="AC72" s="1006"/>
      <c r="AD72" s="1006"/>
      <c r="AE72" s="1006"/>
      <c r="AF72" s="1015"/>
      <c r="AG72" s="1006"/>
      <c r="AI72" s="1002"/>
    </row>
    <row r="73" spans="2:35" ht="13.5" thickBot="1">
      <c r="B73" s="1014">
        <f>+B71+1</f>
        <v>56</v>
      </c>
      <c r="C73" s="1017" t="s">
        <v>1050</v>
      </c>
      <c r="D73" s="1002"/>
      <c r="E73" s="1003"/>
      <c r="F73" s="1019">
        <f>F36+F47+F71</f>
        <v>-6213251552.3296776</v>
      </c>
      <c r="G73" s="1019">
        <f>G36+G47+G71</f>
        <v>-2174638043.3153868</v>
      </c>
      <c r="H73" s="1019">
        <f>H36+H47+H71</f>
        <v>-333531222.33859837</v>
      </c>
      <c r="I73" s="1019">
        <f>I36+I47+I71</f>
        <v>116735927.81850943</v>
      </c>
      <c r="J73" s="1019">
        <f>J36+J47+J71</f>
        <v>-2389417972.8354754</v>
      </c>
      <c r="K73" s="1006"/>
      <c r="L73" s="1019">
        <f>L36+L47+L71</f>
        <v>-5071564470.0219593</v>
      </c>
      <c r="M73" s="1019">
        <f>M36+M47+M71</f>
        <v>-1065028538.7046113</v>
      </c>
      <c r="N73" s="1019">
        <f>N36+N47+N71</f>
        <v>-239342038.03718662</v>
      </c>
      <c r="O73" s="1019">
        <f>O36+O47+O71</f>
        <v>50261827.987809196</v>
      </c>
      <c r="P73" s="1019">
        <f>P36+P47+P71</f>
        <v>-1253340310.7539887</v>
      </c>
      <c r="R73" s="1019">
        <f>R36+R47+R71</f>
        <v>-1136077662.0814872</v>
      </c>
      <c r="S73" s="1006"/>
      <c r="T73" s="1019">
        <f>T36+T47+T71</f>
        <v>3995947.8895800039</v>
      </c>
      <c r="U73" s="1006"/>
      <c r="V73" s="1019">
        <f>V36+V47+V71</f>
        <v>-344661048.62098813</v>
      </c>
      <c r="W73" s="1006"/>
      <c r="X73" s="1019">
        <f>X36+X47+X71</f>
        <v>-795412561.35007918</v>
      </c>
      <c r="Y73" s="1006"/>
      <c r="Z73" s="1003"/>
      <c r="AA73" s="1006"/>
      <c r="AB73" s="1003"/>
      <c r="AC73" s="1006"/>
      <c r="AD73" s="1006"/>
      <c r="AE73" s="1006"/>
      <c r="AF73" s="1019">
        <f>AF36+AF47+AF71</f>
        <v>-114887697.26576217</v>
      </c>
      <c r="AG73" s="1006"/>
      <c r="AI73" s="1002"/>
    </row>
    <row r="74" spans="2:35" ht="15.75" customHeight="1" thickTop="1">
      <c r="F74" s="1015"/>
      <c r="G74" s="1015"/>
      <c r="H74" s="1015"/>
      <c r="I74" s="1015"/>
    </row>
    <row r="75" spans="2:35" ht="15.75" customHeight="1">
      <c r="F75" s="1015"/>
      <c r="G75" s="1015"/>
      <c r="H75" s="1015"/>
      <c r="I75" s="1015"/>
    </row>
    <row r="76" spans="2:35">
      <c r="F76" s="1015"/>
      <c r="G76" s="1015"/>
      <c r="H76" s="1015"/>
      <c r="I76" s="1015"/>
      <c r="V76" s="1299" t="s">
        <v>944</v>
      </c>
      <c r="X76" s="983">
        <f>SUMIF($E$11:$E$74,V76,$X$11:$X$74)</f>
        <v>-464592432.49859989</v>
      </c>
      <c r="AF76" s="983">
        <f>SUMIF($E:$E,V76,$AF:$AF)</f>
        <v>-70691097.607948944</v>
      </c>
    </row>
    <row r="77" spans="2:35" ht="15.75" customHeight="1">
      <c r="V77" s="1021"/>
      <c r="X77" s="1020"/>
    </row>
    <row r="78" spans="2:35">
      <c r="V78" s="1299" t="s">
        <v>942</v>
      </c>
      <c r="X78" s="1020">
        <f>SUMIF($E$11:$E$74,V78,$X$11:$X$74)</f>
        <v>-248383825.11520982</v>
      </c>
      <c r="AF78" s="1020">
        <f>SUMIF($E:$E,V78,$AF:$AF)</f>
        <v>-37716819.563906267</v>
      </c>
    </row>
    <row r="79" spans="2:35" ht="15.75" customHeight="1">
      <c r="V79" s="1299" t="s">
        <v>979</v>
      </c>
      <c r="X79" s="1020">
        <f>SUMIF($E$11:$E$74,V79,$X$11:$X$74)</f>
        <v>-82436303.736269534</v>
      </c>
      <c r="AF79" s="1020">
        <f>SUMIF($E:$E,V79,$AF:$AF)</f>
        <v>-6479780.0939069409</v>
      </c>
    </row>
    <row r="80" spans="2:35" ht="5.15" customHeight="1">
      <c r="V80" s="1047"/>
      <c r="X80" s="1020"/>
    </row>
    <row r="81" spans="1:35" ht="15.75" customHeight="1">
      <c r="V81" s="1298" t="s">
        <v>1078</v>
      </c>
      <c r="X81" s="1329">
        <f>SUM(X78:X80)</f>
        <v>-330820128.85147935</v>
      </c>
      <c r="AF81" s="1329">
        <f>SUM(AF78:AF80)</f>
        <v>-44196599.657813206</v>
      </c>
    </row>
    <row r="82" spans="1:35">
      <c r="V82" s="1021"/>
      <c r="X82" s="1020"/>
      <c r="AF82" s="1020"/>
    </row>
    <row r="83" spans="1:35" ht="15.75" customHeight="1" thickBot="1">
      <c r="T83" s="1008"/>
      <c r="V83" s="1298" t="s">
        <v>1212</v>
      </c>
      <c r="X83" s="1328">
        <f>X76+X81</f>
        <v>-795412561.3500793</v>
      </c>
      <c r="AF83" s="1328">
        <f>AF76+AF81</f>
        <v>-114887697.26576215</v>
      </c>
    </row>
    <row r="84" spans="1:35" ht="15.75" customHeight="1" thickTop="1">
      <c r="V84" s="1008"/>
      <c r="X84" s="1022"/>
      <c r="AF84" s="1022"/>
    </row>
    <row r="85" spans="1:35" s="1028" customFormat="1" ht="15.75" customHeight="1">
      <c r="A85" s="1325"/>
      <c r="B85" s="1326" t="s">
        <v>1079</v>
      </c>
      <c r="C85" s="1325"/>
      <c r="D85" s="1325"/>
      <c r="E85" s="1325"/>
      <c r="F85" s="1325"/>
      <c r="G85" s="1325"/>
      <c r="H85" s="1325"/>
      <c r="I85" s="1325"/>
      <c r="J85" s="1325"/>
      <c r="K85" s="1325"/>
      <c r="L85" s="1325"/>
      <c r="M85" s="1325"/>
      <c r="N85" s="1325"/>
      <c r="O85" s="1325"/>
      <c r="P85" s="1325"/>
      <c r="Q85" s="1325"/>
      <c r="R85" s="1325"/>
      <c r="S85" s="1325"/>
      <c r="T85" s="1325"/>
      <c r="U85" s="1325"/>
      <c r="V85" s="1325"/>
      <c r="W85" s="1325"/>
      <c r="X85" s="1325"/>
      <c r="Y85" s="1325"/>
      <c r="Z85" s="1325"/>
      <c r="AA85" s="1325"/>
      <c r="AB85" s="1325"/>
      <c r="AC85" s="1325"/>
      <c r="AD85" s="1325"/>
      <c r="AE85" s="1325"/>
      <c r="AF85" s="1325"/>
      <c r="AG85" s="1325"/>
      <c r="AH85" s="1325"/>
      <c r="AI85" s="1325"/>
    </row>
    <row r="86" spans="1:35" ht="15.75" customHeight="1">
      <c r="V86" s="1008"/>
      <c r="X86" s="1022"/>
      <c r="AF86" s="1022"/>
    </row>
    <row r="87" spans="1:35" ht="15.75" customHeight="1">
      <c r="B87" s="1513" t="s">
        <v>1210</v>
      </c>
      <c r="C87" s="1513"/>
      <c r="D87" s="1513"/>
      <c r="V87" s="1008"/>
      <c r="X87" s="1022"/>
      <c r="AF87" s="1022"/>
    </row>
    <row r="88" spans="1:35" ht="15.75" customHeight="1">
      <c r="B88" s="1513"/>
      <c r="C88" s="1513"/>
      <c r="D88" s="1513"/>
      <c r="V88" s="1008"/>
      <c r="X88" s="1022"/>
      <c r="AF88" s="1022"/>
    </row>
    <row r="89" spans="1:35" ht="15.75" customHeight="1">
      <c r="B89" s="1513"/>
      <c r="C89" s="1513"/>
      <c r="D89" s="1513"/>
      <c r="V89" s="1008"/>
      <c r="X89" s="1022"/>
      <c r="AF89" s="1022"/>
    </row>
    <row r="90" spans="1:35" ht="15.75" customHeight="1">
      <c r="B90" s="1513"/>
      <c r="C90" s="1513"/>
      <c r="D90" s="1513"/>
      <c r="V90" s="1008"/>
      <c r="X90" s="1022"/>
      <c r="AF90" s="1022"/>
    </row>
    <row r="91" spans="1:35" ht="15.75" customHeight="1">
      <c r="B91" s="1513"/>
      <c r="C91" s="1513"/>
      <c r="D91" s="1513"/>
      <c r="V91" s="1008"/>
      <c r="X91" s="1022"/>
      <c r="AF91" s="1022"/>
    </row>
    <row r="92" spans="1:35" ht="15.75" customHeight="1">
      <c r="B92" s="1513"/>
      <c r="C92" s="1513"/>
      <c r="D92" s="1513"/>
      <c r="V92" s="1008"/>
      <c r="X92" s="1022"/>
      <c r="AF92" s="1022"/>
    </row>
    <row r="93" spans="1:35" ht="15.75" customHeight="1">
      <c r="B93" s="1513"/>
      <c r="C93" s="1513"/>
      <c r="D93" s="1513"/>
      <c r="V93" s="1008"/>
      <c r="X93" s="1022"/>
      <c r="AF93" s="1022"/>
    </row>
    <row r="94" spans="1:35" ht="15.75" customHeight="1">
      <c r="B94" s="1513"/>
      <c r="C94" s="1513"/>
      <c r="D94" s="1513"/>
      <c r="V94" s="1008"/>
      <c r="X94" s="1022"/>
      <c r="AF94" s="1022"/>
    </row>
    <row r="95" spans="1:35" ht="15.75" customHeight="1">
      <c r="B95" s="1513"/>
      <c r="C95" s="1513"/>
      <c r="D95" s="1513"/>
      <c r="V95" s="1008"/>
      <c r="X95" s="1022"/>
      <c r="AF95" s="1022"/>
    </row>
    <row r="96" spans="1:35" ht="15.75" customHeight="1">
      <c r="B96" s="1513"/>
      <c r="C96" s="1513"/>
      <c r="D96" s="1513"/>
      <c r="V96" s="1008"/>
      <c r="X96" s="1022"/>
      <c r="AF96" s="1022"/>
    </row>
    <row r="97" spans="1:35" ht="15.75" customHeight="1">
      <c r="B97" s="1513"/>
      <c r="C97" s="1513"/>
      <c r="D97" s="1513"/>
      <c r="V97" s="1008"/>
      <c r="X97" s="1022"/>
      <c r="AF97" s="1022"/>
    </row>
    <row r="98" spans="1:35" s="1028" customFormat="1" ht="12.75" customHeight="1">
      <c r="B98" s="1501" t="s">
        <v>1219</v>
      </c>
      <c r="C98" s="1501"/>
      <c r="D98" s="1501"/>
      <c r="E98" s="1049"/>
      <c r="F98" s="1050"/>
      <c r="G98" s="1050"/>
      <c r="H98" s="1050"/>
      <c r="I98" s="1050"/>
      <c r="J98" s="1050"/>
      <c r="K98" s="1050"/>
      <c r="L98" s="1050"/>
      <c r="M98" s="1050"/>
      <c r="N98" s="1050"/>
      <c r="O98" s="1050"/>
    </row>
    <row r="99" spans="1:35" s="1028" customFormat="1">
      <c r="B99" s="1501"/>
      <c r="C99" s="1501"/>
      <c r="D99" s="1501"/>
      <c r="E99" s="1049"/>
      <c r="F99" s="1050"/>
      <c r="G99" s="1050"/>
      <c r="H99" s="1050"/>
      <c r="I99" s="1050"/>
      <c r="J99" s="1050"/>
      <c r="K99" s="1050"/>
      <c r="L99" s="1050"/>
      <c r="M99" s="1050"/>
      <c r="N99" s="1050"/>
      <c r="O99" s="1050"/>
      <c r="Z99" s="1030"/>
      <c r="AB99" s="1030"/>
      <c r="AH99" s="1029"/>
      <c r="AI99" s="1029"/>
    </row>
    <row r="100" spans="1:35" s="1028" customFormat="1">
      <c r="B100" s="1501"/>
      <c r="C100" s="1501"/>
      <c r="D100" s="1501"/>
      <c r="E100" s="1049"/>
      <c r="F100" s="1050"/>
      <c r="G100" s="1050"/>
      <c r="H100" s="1050"/>
      <c r="I100" s="1050"/>
      <c r="J100" s="1050"/>
      <c r="K100" s="1050"/>
      <c r="L100" s="1050"/>
      <c r="M100" s="1050"/>
      <c r="N100" s="1050"/>
      <c r="O100" s="1050"/>
      <c r="Z100" s="1030"/>
      <c r="AB100" s="1030"/>
      <c r="AH100" s="1029"/>
      <c r="AI100" s="1029"/>
    </row>
    <row r="101" spans="1:35" s="1028" customFormat="1" ht="12.75" customHeight="1">
      <c r="B101" s="1501" t="s">
        <v>1157</v>
      </c>
      <c r="C101" s="1501"/>
      <c r="D101" s="1501"/>
      <c r="E101" s="1049"/>
      <c r="F101" s="1050"/>
      <c r="G101" s="1050"/>
      <c r="H101" s="1050"/>
      <c r="I101" s="1050"/>
      <c r="J101" s="1050"/>
      <c r="K101" s="1050"/>
      <c r="L101" s="1050"/>
      <c r="M101" s="1050"/>
      <c r="N101" s="1050"/>
      <c r="O101" s="1050"/>
      <c r="Z101" s="1030"/>
      <c r="AB101" s="1030"/>
      <c r="AH101" s="1029"/>
      <c r="AI101" s="1029"/>
    </row>
    <row r="102" spans="1:35" s="1028" customFormat="1">
      <c r="B102" s="1501"/>
      <c r="C102" s="1501"/>
      <c r="D102" s="1501"/>
      <c r="E102" s="1049"/>
      <c r="F102" s="1050"/>
      <c r="G102" s="1050"/>
      <c r="H102" s="1050"/>
      <c r="I102" s="1050"/>
      <c r="J102" s="1050"/>
      <c r="K102" s="1050"/>
      <c r="L102" s="1050"/>
      <c r="M102" s="1050"/>
      <c r="N102" s="1050"/>
      <c r="O102" s="1050"/>
      <c r="Z102" s="1030"/>
      <c r="AB102" s="1030"/>
      <c r="AH102" s="1029"/>
      <c r="AI102" s="1029"/>
    </row>
    <row r="103" spans="1:35" s="1028" customFormat="1">
      <c r="B103" s="1048"/>
      <c r="C103" s="1048"/>
      <c r="D103" s="1048"/>
      <c r="E103" s="1031"/>
      <c r="Z103" s="1030"/>
      <c r="AB103" s="1030"/>
      <c r="AH103" s="1029"/>
      <c r="AI103" s="1029"/>
    </row>
    <row r="104" spans="1:35" s="1028" customFormat="1" ht="15.75" customHeight="1">
      <c r="A104" s="1325"/>
      <c r="B104" s="1326" t="s">
        <v>962</v>
      </c>
      <c r="C104" s="1325"/>
      <c r="D104" s="1325"/>
      <c r="E104" s="1325"/>
      <c r="F104" s="1325"/>
      <c r="G104" s="1325"/>
      <c r="H104" s="1325"/>
      <c r="I104" s="1325"/>
      <c r="J104" s="1325"/>
      <c r="K104" s="1325"/>
      <c r="L104" s="1325"/>
      <c r="M104" s="1325"/>
      <c r="N104" s="1325"/>
      <c r="O104" s="1325"/>
      <c r="P104" s="1325"/>
      <c r="Q104" s="1325"/>
      <c r="R104" s="1325"/>
      <c r="S104" s="1325"/>
      <c r="T104" s="1325"/>
      <c r="U104" s="1325"/>
      <c r="V104" s="1325"/>
      <c r="W104" s="1325"/>
      <c r="X104" s="1325"/>
      <c r="Y104" s="1325"/>
      <c r="Z104" s="1325"/>
      <c r="AA104" s="1325"/>
      <c r="AB104" s="1325"/>
      <c r="AC104" s="1325"/>
      <c r="AD104" s="1325"/>
      <c r="AE104" s="1325"/>
      <c r="AF104" s="1325"/>
      <c r="AG104" s="1325"/>
      <c r="AH104" s="1325"/>
      <c r="AI104" s="1325"/>
    </row>
    <row r="105" spans="1:35" s="1028" customFormat="1">
      <c r="B105" s="1048"/>
      <c r="C105" s="1048"/>
      <c r="D105" s="1048"/>
      <c r="E105" s="1031"/>
      <c r="Z105" s="1030"/>
      <c r="AB105" s="1030"/>
      <c r="AH105" s="1029"/>
      <c r="AI105" s="1029"/>
    </row>
    <row r="106" spans="1:35" s="1028" customFormat="1" ht="15.75" customHeight="1">
      <c r="B106" s="1052" t="s">
        <v>168</v>
      </c>
      <c r="C106" s="1505" t="s">
        <v>1080</v>
      </c>
      <c r="D106" s="1505"/>
      <c r="E106" s="1031"/>
      <c r="X106" s="1051"/>
      <c r="Z106" s="1030"/>
      <c r="AB106" s="1030"/>
      <c r="AH106" s="1029"/>
      <c r="AI106" s="1029"/>
    </row>
    <row r="107" spans="1:35" s="1028" customFormat="1" ht="15.75" customHeight="1">
      <c r="B107" s="1052"/>
      <c r="C107" s="1505"/>
      <c r="D107" s="1505"/>
      <c r="E107" s="1031"/>
      <c r="X107" s="1051"/>
      <c r="Z107" s="1030"/>
      <c r="AB107" s="1030"/>
      <c r="AH107" s="1029"/>
      <c r="AI107" s="1029"/>
    </row>
    <row r="108" spans="1:35" s="1028" customFormat="1" ht="15.75" customHeight="1">
      <c r="B108" s="1052"/>
      <c r="C108" s="1505"/>
      <c r="D108" s="1505"/>
      <c r="E108" s="1031"/>
      <c r="X108" s="1051"/>
      <c r="Z108" s="1030"/>
      <c r="AB108" s="1030"/>
      <c r="AH108" s="1029"/>
      <c r="AI108" s="1029"/>
    </row>
    <row r="109" spans="1:35" s="1028" customFormat="1">
      <c r="B109" s="1048"/>
      <c r="C109" s="1505"/>
      <c r="D109" s="1505"/>
      <c r="E109" s="1031"/>
      <c r="Z109" s="1030"/>
      <c r="AB109" s="1030"/>
      <c r="AH109" s="1029"/>
      <c r="AI109" s="1029"/>
    </row>
    <row r="110" spans="1:35" s="1028" customFormat="1" ht="15.75" customHeight="1">
      <c r="B110" s="1053" t="s">
        <v>323</v>
      </c>
      <c r="C110" s="1506" t="s">
        <v>1081</v>
      </c>
      <c r="D110" s="1506"/>
      <c r="E110" s="1031"/>
      <c r="Z110" s="1030"/>
      <c r="AB110" s="1030"/>
      <c r="AH110" s="1029"/>
      <c r="AI110" s="1029"/>
    </row>
    <row r="111" spans="1:35" s="1028" customFormat="1">
      <c r="B111" s="1030"/>
      <c r="C111" s="1506"/>
      <c r="D111" s="1506"/>
      <c r="E111" s="1031"/>
      <c r="Z111" s="1030"/>
      <c r="AB111" s="1030"/>
      <c r="AH111" s="1029"/>
      <c r="AI111" s="1029"/>
    </row>
    <row r="112" spans="1:35" s="1028" customFormat="1" ht="15.75" customHeight="1">
      <c r="B112" s="1030"/>
      <c r="C112" s="1030" t="s">
        <v>166</v>
      </c>
      <c r="D112" s="1030"/>
      <c r="E112" s="1031"/>
      <c r="Z112" s="1030"/>
      <c r="AB112" s="1030"/>
      <c r="AH112" s="1029"/>
      <c r="AI112" s="1029"/>
    </row>
    <row r="113" spans="1:35" s="1028" customFormat="1">
      <c r="B113" s="1030"/>
      <c r="C113" s="1030"/>
      <c r="D113" s="1030"/>
      <c r="E113" s="1031"/>
      <c r="Z113" s="1030"/>
      <c r="AB113" s="1030"/>
      <c r="AH113" s="1029"/>
      <c r="AI113" s="1029"/>
    </row>
    <row r="114" spans="1:35" s="1028" customFormat="1" ht="15.75" customHeight="1">
      <c r="A114" s="1054" t="s">
        <v>963</v>
      </c>
      <c r="B114" s="1054"/>
      <c r="C114" s="1055"/>
      <c r="D114" s="1056"/>
      <c r="E114" s="1057"/>
      <c r="F114" s="1058"/>
      <c r="G114" s="1059"/>
      <c r="H114" s="1059"/>
      <c r="I114" s="1056"/>
      <c r="J114" s="1056"/>
      <c r="K114" s="1056"/>
      <c r="L114" s="1056"/>
      <c r="M114" s="1056"/>
      <c r="N114" s="1056"/>
      <c r="O114" s="1056"/>
      <c r="P114" s="1056"/>
      <c r="Q114" s="1056"/>
      <c r="R114" s="1056"/>
      <c r="S114" s="1056"/>
      <c r="T114" s="1056"/>
      <c r="U114" s="1056"/>
      <c r="V114" s="1056"/>
      <c r="W114" s="1056"/>
      <c r="X114" s="1056"/>
      <c r="Y114" s="1056"/>
      <c r="Z114" s="1056"/>
      <c r="AA114" s="1056"/>
      <c r="AB114" s="1056"/>
      <c r="AC114" s="1056"/>
      <c r="AD114" s="1056"/>
      <c r="AE114" s="1056"/>
      <c r="AF114" s="1056"/>
      <c r="AG114" s="1056"/>
      <c r="AH114" s="1056"/>
      <c r="AI114" s="1056"/>
    </row>
    <row r="115" spans="1:35" s="1035" customFormat="1" ht="14">
      <c r="E115" s="1060"/>
      <c r="V115" s="965"/>
      <c r="X115" s="1041"/>
      <c r="AH115" s="1061"/>
    </row>
    <row r="117" spans="1:35" ht="15.75" customHeight="1">
      <c r="X117" s="1004"/>
    </row>
    <row r="119" spans="1:35" ht="15.75" customHeight="1">
      <c r="X119" s="1004"/>
    </row>
    <row r="121" spans="1:35" ht="15.75" customHeight="1"/>
    <row r="123" spans="1:35" ht="15.75" customHeight="1"/>
    <row r="125" spans="1:35" ht="15.75" customHeight="1"/>
    <row r="127" spans="1:35" ht="15.75" customHeight="1"/>
    <row r="129" ht="15.75" customHeight="1"/>
    <row r="131" ht="15.75" customHeight="1"/>
    <row r="133" ht="15.75" customHeight="1"/>
    <row r="135" ht="15.75" customHeight="1"/>
    <row r="137" ht="15.75" customHeight="1"/>
    <row r="139" ht="15.75" customHeight="1"/>
    <row r="141" ht="15.75" customHeight="1"/>
    <row r="143" ht="15.75" customHeight="1"/>
    <row r="145" ht="15.75" customHeight="1"/>
    <row r="147" ht="15.75" customHeight="1"/>
    <row r="149" ht="15.75" customHeight="1"/>
    <row r="151" ht="15.75" customHeight="1"/>
    <row r="153" ht="15.75" customHeight="1"/>
    <row r="155" ht="15.75" customHeight="1"/>
    <row r="157" ht="15.75" customHeight="1"/>
    <row r="159" ht="15.75" customHeight="1"/>
    <row r="161" ht="15.75" customHeight="1"/>
    <row r="163" ht="15.75" customHeight="1"/>
    <row r="165" ht="15.75" customHeight="1"/>
    <row r="167" ht="15.75" customHeight="1"/>
    <row r="169" ht="15.75" customHeight="1"/>
    <row r="171" ht="15.75" customHeight="1"/>
    <row r="173" ht="15.75" customHeight="1"/>
    <row r="175" ht="15.75" customHeight="1"/>
    <row r="177" ht="15.75" customHeight="1"/>
    <row r="179" ht="15.75" customHeight="1"/>
    <row r="181" ht="15.75" customHeight="1"/>
    <row r="183" ht="15.75" customHeight="1"/>
    <row r="185" ht="15.75" customHeight="1"/>
    <row r="187" ht="15.75" customHeight="1"/>
    <row r="189" ht="15.75" customHeight="1"/>
    <row r="191" ht="15.75" customHeight="1"/>
    <row r="193" ht="15.75" customHeight="1"/>
    <row r="195" ht="15.75" customHeight="1"/>
    <row r="197" ht="15.75" customHeight="1"/>
    <row r="199" ht="15.75" customHeight="1"/>
    <row r="201" ht="15.75" customHeight="1"/>
    <row r="203" ht="15.75" customHeight="1"/>
    <row r="205" ht="15.75" customHeight="1"/>
    <row r="207" ht="15.75" customHeight="1"/>
    <row r="209" ht="15.75" customHeight="1"/>
    <row r="211" ht="15.75" customHeight="1"/>
    <row r="213" ht="15.75" customHeight="1"/>
    <row r="215" ht="15.75" customHeight="1"/>
    <row r="217" ht="15.75" customHeight="1"/>
    <row r="219" ht="15.75" customHeight="1"/>
    <row r="221" ht="15.75" customHeight="1"/>
    <row r="223" ht="15.75" customHeight="1"/>
    <row r="225" ht="15.75" customHeight="1"/>
    <row r="227" ht="15.75" customHeight="1"/>
    <row r="229" ht="15.75" customHeight="1"/>
    <row r="231" ht="15.75" customHeight="1"/>
    <row r="233" ht="15.75" customHeight="1"/>
    <row r="235" ht="15.75" customHeight="1"/>
    <row r="237" ht="15.75" customHeight="1"/>
    <row r="239" ht="15.75" customHeight="1"/>
    <row r="241" ht="15.75" customHeight="1"/>
    <row r="243" ht="15.75" customHeight="1"/>
    <row r="245" ht="15.75" customHeight="1"/>
    <row r="247" ht="15.75" customHeight="1"/>
    <row r="249" ht="15.75" customHeight="1"/>
    <row r="251" ht="15.75" customHeight="1"/>
    <row r="253" ht="15.75" customHeight="1"/>
    <row r="255" ht="15.75" customHeight="1"/>
    <row r="257" ht="15.75" customHeight="1"/>
    <row r="259" ht="15.75" customHeight="1"/>
    <row r="261" ht="15.75" customHeight="1"/>
    <row r="263" ht="15.75" customHeight="1"/>
    <row r="265" ht="15.75" customHeight="1"/>
    <row r="267" ht="15.75" customHeight="1"/>
    <row r="269" ht="15.75" customHeight="1"/>
    <row r="271" ht="15.75" customHeight="1"/>
    <row r="273" ht="15.75" customHeight="1"/>
    <row r="275" ht="15.75" customHeight="1"/>
    <row r="277" ht="15.75" customHeight="1"/>
    <row r="279" ht="15.75" customHeight="1"/>
    <row r="281" ht="15.75" customHeight="1"/>
    <row r="283" ht="15.75" customHeight="1"/>
    <row r="285" ht="15.75" customHeight="1"/>
    <row r="287" ht="15.75" customHeight="1"/>
    <row r="289" ht="15.75" customHeight="1"/>
    <row r="291" ht="15.75" customHeight="1"/>
    <row r="293" ht="15.75" customHeight="1"/>
    <row r="295" ht="15.75" customHeight="1"/>
    <row r="297" ht="15.75" customHeight="1"/>
    <row r="299" ht="15.75" customHeight="1"/>
    <row r="301" ht="15.75" customHeight="1"/>
    <row r="303" ht="15.75" customHeight="1"/>
    <row r="305" ht="15.75" customHeight="1"/>
    <row r="307" ht="15.75" customHeight="1"/>
    <row r="309" ht="15.75" customHeight="1"/>
    <row r="311" ht="15.75" customHeight="1"/>
    <row r="313" ht="15.75" customHeight="1"/>
    <row r="315" ht="15.75" customHeight="1"/>
    <row r="317" ht="15.75" customHeight="1"/>
    <row r="319" ht="15.75" customHeight="1"/>
    <row r="321" ht="15.75" customHeight="1"/>
    <row r="323" ht="15.75" customHeight="1"/>
  </sheetData>
  <mergeCells count="9">
    <mergeCell ref="C106:D109"/>
    <mergeCell ref="C110:D111"/>
    <mergeCell ref="B5:AH5"/>
    <mergeCell ref="F7:J7"/>
    <mergeCell ref="L7:P7"/>
    <mergeCell ref="B98:D100"/>
    <mergeCell ref="B101:D102"/>
    <mergeCell ref="B87:D97"/>
    <mergeCell ref="R7:AF7"/>
  </mergeCells>
  <pageMargins left="0.7" right="0.7" top="0.75" bottom="0.75" header="0.3" footer="0.3"/>
  <pageSetup paperSize="17" scale="32" orientation="landscape" r:id="rId1"/>
  <headerFoot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74"/>
  <sheetViews>
    <sheetView topLeftCell="A7" zoomScaleNormal="100" workbookViewId="0">
      <selection activeCell="G44" sqref="G44"/>
    </sheetView>
  </sheetViews>
  <sheetFormatPr defaultColWidth="9.1796875" defaultRowHeight="12.5"/>
  <cols>
    <col min="1" max="2" width="4.7265625" style="561" customWidth="1"/>
    <col min="3" max="3" width="46.81640625" style="561" bestFit="1" customWidth="1"/>
    <col min="4" max="4" width="10.1796875" style="561" bestFit="1" customWidth="1"/>
    <col min="5" max="5" width="15" style="823" bestFit="1" customWidth="1"/>
    <col min="6" max="6" width="15.26953125" style="561" customWidth="1"/>
    <col min="7" max="7" width="12" style="561" bestFit="1" customWidth="1"/>
    <col min="8" max="16384" width="9.1796875" style="561"/>
  </cols>
  <sheetData>
    <row r="1" spans="1:10" ht="18">
      <c r="A1" s="1514" t="str">
        <f>+'ATT H-2A'!A4</f>
        <v>Baltimore Gas and Electric Company</v>
      </c>
      <c r="B1" s="1514"/>
      <c r="C1" s="1514"/>
      <c r="D1" s="1514"/>
      <c r="E1" s="1514"/>
      <c r="F1" s="1514"/>
      <c r="G1" s="1514"/>
      <c r="H1" s="1515"/>
    </row>
    <row r="2" spans="1:10" ht="13">
      <c r="A2" s="148"/>
    </row>
    <row r="3" spans="1:10" ht="15.5">
      <c r="A3" s="1516" t="s">
        <v>46</v>
      </c>
      <c r="B3" s="1517"/>
      <c r="C3" s="1517"/>
      <c r="D3" s="1517"/>
      <c r="E3" s="1517"/>
      <c r="F3" s="1515"/>
      <c r="G3" s="1515"/>
      <c r="H3" s="1515"/>
    </row>
    <row r="5" spans="1:10" ht="13">
      <c r="D5" s="149"/>
    </row>
    <row r="7" spans="1:10" ht="13">
      <c r="D7" s="710"/>
      <c r="E7" s="824" t="s">
        <v>403</v>
      </c>
      <c r="F7" s="710"/>
      <c r="G7" s="710" t="s">
        <v>412</v>
      </c>
      <c r="H7" s="710"/>
    </row>
    <row r="8" spans="1:10" ht="13">
      <c r="A8" s="515" t="s">
        <v>183</v>
      </c>
      <c r="B8" s="515"/>
      <c r="D8" s="710"/>
      <c r="E8" s="824" t="s">
        <v>404</v>
      </c>
      <c r="F8" s="710" t="s">
        <v>343</v>
      </c>
      <c r="G8" s="710" t="s">
        <v>413</v>
      </c>
      <c r="H8" s="710"/>
    </row>
    <row r="9" spans="1:10" ht="13">
      <c r="A9" s="515"/>
      <c r="B9" s="515"/>
      <c r="D9" s="710"/>
      <c r="E9" s="825"/>
      <c r="F9" s="710"/>
      <c r="G9" s="710"/>
      <c r="H9" s="710"/>
    </row>
    <row r="10" spans="1:10" ht="13">
      <c r="A10" s="515"/>
      <c r="B10" s="515"/>
      <c r="D10" s="710"/>
      <c r="E10" s="825"/>
      <c r="F10" s="710"/>
      <c r="G10" s="710"/>
      <c r="H10" s="710"/>
    </row>
    <row r="11" spans="1:10" ht="13">
      <c r="D11" s="710"/>
      <c r="E11" s="825"/>
      <c r="G11" s="710"/>
      <c r="H11" s="713"/>
    </row>
    <row r="12" spans="1:10" ht="13">
      <c r="B12" s="515" t="s">
        <v>402</v>
      </c>
      <c r="D12" s="710"/>
      <c r="E12" s="826"/>
      <c r="F12" s="646" t="s">
        <v>144</v>
      </c>
      <c r="G12" s="710"/>
      <c r="H12" s="713"/>
    </row>
    <row r="13" spans="1:10" ht="13">
      <c r="D13" s="710"/>
      <c r="E13" s="826"/>
      <c r="F13" s="710"/>
      <c r="G13" s="710"/>
      <c r="H13" s="713"/>
    </row>
    <row r="14" spans="1:10" ht="12.75" customHeight="1">
      <c r="B14" s="561">
        <v>1</v>
      </c>
      <c r="C14" s="827" t="s">
        <v>463</v>
      </c>
      <c r="D14" s="828"/>
      <c r="E14" s="1348">
        <v>11153508</v>
      </c>
      <c r="F14" s="828"/>
      <c r="G14" s="828"/>
      <c r="I14" s="575"/>
      <c r="J14" s="575"/>
    </row>
    <row r="15" spans="1:10" ht="12.75" customHeight="1">
      <c r="B15" s="561">
        <f>+B14+1</f>
        <v>2</v>
      </c>
      <c r="C15" s="827" t="s">
        <v>383</v>
      </c>
      <c r="D15" s="828"/>
      <c r="E15" s="1348"/>
      <c r="F15" s="828"/>
      <c r="G15" s="828"/>
      <c r="H15" s="828"/>
      <c r="I15" s="575"/>
      <c r="J15" s="575"/>
    </row>
    <row r="16" spans="1:10" ht="12.75" customHeight="1">
      <c r="B16" s="561">
        <f>+B15+1</f>
        <v>3</v>
      </c>
      <c r="C16" s="817" t="s">
        <v>389</v>
      </c>
      <c r="D16" s="828"/>
      <c r="E16" s="1348">
        <v>107497864</v>
      </c>
      <c r="F16" s="828"/>
      <c r="G16" s="828"/>
      <c r="H16" s="828"/>
      <c r="I16" s="575"/>
      <c r="J16" s="575"/>
    </row>
    <row r="17" spans="2:10" ht="12.75" customHeight="1">
      <c r="B17" s="561">
        <f>+B16+1</f>
        <v>4</v>
      </c>
      <c r="C17" s="817" t="s">
        <v>405</v>
      </c>
      <c r="D17" s="828"/>
      <c r="E17" s="829"/>
      <c r="F17" s="828"/>
      <c r="G17" s="828"/>
      <c r="H17" s="828"/>
      <c r="I17" s="575"/>
      <c r="J17" s="575"/>
    </row>
    <row r="18" spans="2:10" ht="12.75" customHeight="1">
      <c r="B18" s="561">
        <f>+B17+1</f>
        <v>5</v>
      </c>
      <c r="C18" s="817" t="s">
        <v>388</v>
      </c>
      <c r="D18" s="828"/>
      <c r="E18" s="829"/>
      <c r="F18" s="828"/>
      <c r="G18" s="828"/>
      <c r="H18" s="828"/>
      <c r="I18" s="575"/>
      <c r="J18" s="575"/>
    </row>
    <row r="19" spans="2:10" ht="12.75" customHeight="1">
      <c r="B19" s="561">
        <f>+B18+1</f>
        <v>6</v>
      </c>
      <c r="C19" s="817" t="s">
        <v>390</v>
      </c>
      <c r="D19" s="828"/>
      <c r="E19" s="829"/>
      <c r="F19" s="828"/>
      <c r="G19" s="828"/>
      <c r="H19" s="828"/>
      <c r="I19" s="575"/>
      <c r="J19" s="575"/>
    </row>
    <row r="20" spans="2:10" ht="12.75" customHeight="1">
      <c r="C20" s="817"/>
      <c r="D20" s="828"/>
      <c r="E20" s="829"/>
      <c r="F20" s="828"/>
      <c r="G20" s="828"/>
      <c r="H20" s="828"/>
      <c r="I20" s="575"/>
      <c r="J20" s="575"/>
    </row>
    <row r="21" spans="2:10" ht="12.75" customHeight="1">
      <c r="C21" s="817"/>
      <c r="D21" s="828"/>
      <c r="E21" s="829"/>
      <c r="F21" s="828"/>
      <c r="G21" s="828"/>
      <c r="H21" s="828"/>
      <c r="I21" s="575"/>
      <c r="J21" s="575"/>
    </row>
    <row r="22" spans="2:10" ht="12.75" customHeight="1">
      <c r="B22" s="515" t="s">
        <v>408</v>
      </c>
      <c r="D22" s="828"/>
      <c r="E22" s="830">
        <f>SUM(E14:E21)</f>
        <v>118651372</v>
      </c>
      <c r="F22" s="831">
        <f>+'ATT H-2A'!H32</f>
        <v>0.221715942881543</v>
      </c>
      <c r="G22" s="832">
        <f>+F22*E22</f>
        <v>26306900.817168713</v>
      </c>
      <c r="H22" s="828"/>
      <c r="I22" s="575"/>
      <c r="J22" s="575"/>
    </row>
    <row r="23" spans="2:10" ht="12.75" customHeight="1">
      <c r="D23" s="828"/>
      <c r="E23" s="830"/>
      <c r="F23" s="828"/>
      <c r="G23" s="828"/>
      <c r="H23" s="828"/>
      <c r="I23" s="575"/>
      <c r="J23" s="575"/>
    </row>
    <row r="24" spans="2:10" ht="12.75" customHeight="1">
      <c r="D24" s="828"/>
      <c r="E24" s="830"/>
      <c r="F24" s="828"/>
      <c r="G24" s="828"/>
      <c r="H24" s="828"/>
      <c r="I24" s="575"/>
      <c r="J24" s="575"/>
    </row>
    <row r="25" spans="2:10" ht="12.75" customHeight="1">
      <c r="B25" s="515" t="s">
        <v>406</v>
      </c>
      <c r="D25" s="828"/>
      <c r="E25" s="830"/>
      <c r="F25" s="833" t="s">
        <v>295</v>
      </c>
      <c r="G25" s="828"/>
      <c r="H25" s="828"/>
      <c r="I25" s="575"/>
      <c r="J25" s="575"/>
    </row>
    <row r="26" spans="2:10" ht="12.75" customHeight="1">
      <c r="B26" s="515"/>
      <c r="D26" s="828"/>
      <c r="G26" s="828"/>
      <c r="H26" s="828"/>
      <c r="I26" s="575"/>
      <c r="J26" s="575"/>
    </row>
    <row r="27" spans="2:10" ht="12.75" customHeight="1">
      <c r="D27" s="828"/>
      <c r="E27" s="830"/>
      <c r="F27" s="828"/>
      <c r="G27" s="828"/>
      <c r="H27" s="828"/>
      <c r="I27" s="575"/>
      <c r="J27" s="575"/>
    </row>
    <row r="28" spans="2:10" ht="12.75" customHeight="1">
      <c r="B28" s="561">
        <f>+B19+1</f>
        <v>7</v>
      </c>
      <c r="C28" s="817" t="s">
        <v>80</v>
      </c>
      <c r="D28" s="834"/>
      <c r="E28" s="1348">
        <f>9706281+1106116</f>
        <v>10812397</v>
      </c>
      <c r="F28" s="834"/>
      <c r="G28" s="834"/>
      <c r="H28" s="834"/>
      <c r="I28" s="575"/>
      <c r="J28" s="575"/>
    </row>
    <row r="29" spans="2:10">
      <c r="B29" s="561">
        <f>+B28+1</f>
        <v>8</v>
      </c>
      <c r="C29" s="817" t="s">
        <v>385</v>
      </c>
      <c r="E29" s="1348">
        <f>49896+150250</f>
        <v>200146</v>
      </c>
      <c r="I29" s="575"/>
      <c r="J29" s="575"/>
    </row>
    <row r="30" spans="2:10">
      <c r="C30" s="817"/>
      <c r="E30" s="820"/>
      <c r="I30" s="575"/>
      <c r="J30" s="575"/>
    </row>
    <row r="31" spans="2:10">
      <c r="C31" s="817"/>
      <c r="E31" s="820"/>
      <c r="I31" s="575"/>
      <c r="J31" s="575"/>
    </row>
    <row r="32" spans="2:10">
      <c r="C32" s="817"/>
      <c r="E32" s="820"/>
      <c r="I32" s="575"/>
      <c r="J32" s="575"/>
    </row>
    <row r="33" spans="2:10" ht="13">
      <c r="B33" s="515" t="s">
        <v>409</v>
      </c>
      <c r="E33" s="830">
        <f>SUM(E28:E32)</f>
        <v>11012543</v>
      </c>
      <c r="F33" s="831">
        <f>+'ATT H-2A'!H16</f>
        <v>0.16107005309484509</v>
      </c>
      <c r="G33" s="832">
        <f>+F33*E33</f>
        <v>1773790.8857192646</v>
      </c>
      <c r="I33" s="575"/>
      <c r="J33" s="575"/>
    </row>
    <row r="34" spans="2:10" ht="13">
      <c r="B34" s="515"/>
      <c r="C34" s="835"/>
      <c r="F34" s="575"/>
      <c r="I34" s="575"/>
      <c r="J34" s="575"/>
    </row>
    <row r="35" spans="2:10">
      <c r="I35" s="575"/>
      <c r="J35" s="575"/>
    </row>
    <row r="36" spans="2:10" ht="13">
      <c r="B36" s="515" t="s">
        <v>407</v>
      </c>
      <c r="F36" s="646" t="s">
        <v>144</v>
      </c>
      <c r="I36" s="575"/>
      <c r="J36" s="575"/>
    </row>
    <row r="37" spans="2:10">
      <c r="I37" s="575"/>
      <c r="J37" s="575"/>
    </row>
    <row r="38" spans="2:10">
      <c r="B38" s="561">
        <f>+B29+1</f>
        <v>9</v>
      </c>
      <c r="C38" s="836" t="s">
        <v>384</v>
      </c>
      <c r="E38" s="1349">
        <v>282160</v>
      </c>
      <c r="I38" s="575"/>
      <c r="J38" s="575"/>
    </row>
    <row r="39" spans="2:10">
      <c r="B39" s="561">
        <f>+B38+1</f>
        <v>10</v>
      </c>
      <c r="C39" s="817" t="s">
        <v>386</v>
      </c>
      <c r="E39" s="1348">
        <v>-33852</v>
      </c>
      <c r="I39" s="575"/>
      <c r="J39" s="575"/>
    </row>
    <row r="40" spans="2:10">
      <c r="C40" s="817"/>
      <c r="E40" s="820"/>
      <c r="I40" s="575"/>
      <c r="J40" s="575"/>
    </row>
    <row r="41" spans="2:10">
      <c r="C41" s="817"/>
      <c r="E41" s="820"/>
      <c r="I41" s="575"/>
      <c r="J41" s="575"/>
    </row>
    <row r="42" spans="2:10" ht="13">
      <c r="B42" s="515" t="s">
        <v>410</v>
      </c>
      <c r="E42" s="830">
        <f>SUM(E38:E41)</f>
        <v>248308</v>
      </c>
      <c r="F42" s="831">
        <f>+'ATT H-2A'!H32</f>
        <v>0.221715942881543</v>
      </c>
      <c r="G42" s="832">
        <f>+F42*E42</f>
        <v>55053.842345030178</v>
      </c>
      <c r="I42" s="575"/>
      <c r="J42" s="575"/>
    </row>
    <row r="43" spans="2:10">
      <c r="I43" s="575"/>
      <c r="J43" s="575"/>
    </row>
    <row r="44" spans="2:10" ht="13">
      <c r="B44" s="515" t="s">
        <v>415</v>
      </c>
      <c r="G44" s="832">
        <f>+G42+G33+G22</f>
        <v>28135745.545233008</v>
      </c>
      <c r="I44" s="575"/>
      <c r="J44" s="575"/>
    </row>
    <row r="45" spans="2:10">
      <c r="C45" s="837"/>
      <c r="I45" s="575"/>
      <c r="J45" s="575"/>
    </row>
    <row r="46" spans="2:10">
      <c r="C46" s="837"/>
      <c r="I46" s="575"/>
      <c r="J46" s="575"/>
    </row>
    <row r="47" spans="2:10">
      <c r="C47" s="837"/>
      <c r="I47" s="575"/>
      <c r="J47" s="575"/>
    </row>
    <row r="48" spans="2:10" ht="13">
      <c r="C48" s="515" t="s">
        <v>411</v>
      </c>
      <c r="I48" s="575"/>
      <c r="J48" s="575"/>
    </row>
    <row r="49" spans="2:19">
      <c r="I49" s="575"/>
      <c r="J49" s="575"/>
    </row>
    <row r="50" spans="2:19">
      <c r="B50" s="561">
        <f>+B39+1</f>
        <v>11</v>
      </c>
      <c r="C50" s="575" t="s">
        <v>3</v>
      </c>
      <c r="D50" s="575"/>
      <c r="E50" s="1348">
        <v>29183016</v>
      </c>
      <c r="F50" s="456"/>
      <c r="G50" s="456"/>
      <c r="H50" s="456"/>
      <c r="I50" s="456"/>
      <c r="J50" s="456"/>
      <c r="K50" s="575"/>
      <c r="L50" s="575"/>
      <c r="M50" s="575"/>
      <c r="N50" s="575"/>
      <c r="O50" s="575"/>
      <c r="P50" s="575"/>
      <c r="Q50" s="575"/>
      <c r="R50" s="575"/>
      <c r="S50" s="575"/>
    </row>
    <row r="51" spans="2:19">
      <c r="B51" s="561">
        <f>+B50+1</f>
        <v>12</v>
      </c>
      <c r="C51" s="575" t="s">
        <v>4</v>
      </c>
      <c r="D51" s="575"/>
      <c r="E51" s="1348">
        <v>1229118</v>
      </c>
      <c r="F51" s="456"/>
      <c r="G51" s="456"/>
      <c r="H51" s="456"/>
      <c r="I51" s="456"/>
      <c r="J51" s="456"/>
      <c r="K51" s="575"/>
      <c r="L51" s="575"/>
      <c r="M51" s="575"/>
      <c r="N51" s="575"/>
      <c r="O51" s="575"/>
      <c r="P51" s="575"/>
      <c r="Q51" s="575"/>
      <c r="R51" s="575"/>
      <c r="S51" s="575"/>
    </row>
    <row r="52" spans="2:19">
      <c r="B52" s="561">
        <f t="shared" ref="B52:B59" si="0">+B51+1</f>
        <v>13</v>
      </c>
      <c r="C52" s="575" t="s">
        <v>5</v>
      </c>
      <c r="D52" s="575"/>
      <c r="E52" s="829"/>
      <c r="F52" s="456"/>
      <c r="G52" s="456"/>
      <c r="H52" s="456"/>
      <c r="I52" s="456"/>
      <c r="J52" s="456"/>
      <c r="K52" s="575"/>
      <c r="L52" s="575"/>
      <c r="M52" s="575"/>
      <c r="N52" s="575"/>
      <c r="O52" s="575"/>
      <c r="P52" s="575"/>
      <c r="Q52" s="575"/>
      <c r="R52" s="575"/>
      <c r="S52" s="575"/>
    </row>
    <row r="53" spans="2:19">
      <c r="B53" s="561">
        <f t="shared" si="0"/>
        <v>14</v>
      </c>
      <c r="C53" s="575" t="s">
        <v>387</v>
      </c>
      <c r="D53" s="575"/>
      <c r="E53" s="1349">
        <f>43412056+714585</f>
        <v>44126641</v>
      </c>
      <c r="F53" s="456"/>
      <c r="G53" s="456"/>
      <c r="H53" s="456"/>
      <c r="I53" s="456"/>
      <c r="J53" s="456"/>
      <c r="K53" s="575"/>
      <c r="L53" s="575"/>
      <c r="M53" s="575"/>
      <c r="N53" s="575"/>
      <c r="O53" s="575"/>
      <c r="P53" s="575"/>
      <c r="Q53" s="575"/>
      <c r="R53" s="575"/>
      <c r="S53" s="575"/>
    </row>
    <row r="54" spans="2:19">
      <c r="B54" s="561">
        <f t="shared" si="0"/>
        <v>15</v>
      </c>
      <c r="C54" s="575" t="s">
        <v>6</v>
      </c>
      <c r="D54" s="575"/>
      <c r="E54" s="1348">
        <v>4337106</v>
      </c>
      <c r="F54" s="456"/>
      <c r="G54" s="456"/>
      <c r="H54" s="456"/>
      <c r="I54" s="456"/>
      <c r="J54" s="456"/>
      <c r="K54" s="575"/>
      <c r="L54" s="575"/>
      <c r="M54" s="575"/>
      <c r="N54" s="575"/>
      <c r="O54" s="575"/>
      <c r="P54" s="575"/>
      <c r="Q54" s="575"/>
      <c r="R54" s="575"/>
      <c r="S54" s="575"/>
    </row>
    <row r="55" spans="2:19">
      <c r="B55" s="561">
        <f t="shared" si="0"/>
        <v>16</v>
      </c>
      <c r="C55" s="828" t="s">
        <v>11</v>
      </c>
      <c r="E55" s="1349">
        <v>3722405</v>
      </c>
      <c r="F55" s="575"/>
      <c r="G55" s="575"/>
      <c r="H55" s="575"/>
      <c r="I55" s="575"/>
      <c r="J55" s="575"/>
      <c r="K55" s="575"/>
      <c r="L55" s="575"/>
      <c r="M55" s="575"/>
      <c r="N55" s="575"/>
      <c r="O55" s="575"/>
      <c r="P55" s="575"/>
      <c r="Q55" s="575"/>
      <c r="R55" s="575"/>
      <c r="S55" s="575"/>
    </row>
    <row r="56" spans="2:19">
      <c r="B56" s="561">
        <f t="shared" si="0"/>
        <v>17</v>
      </c>
      <c r="C56" s="828" t="s">
        <v>12</v>
      </c>
      <c r="E56" s="1349">
        <v>558999</v>
      </c>
      <c r="I56" s="575"/>
      <c r="J56" s="575"/>
    </row>
    <row r="57" spans="2:19">
      <c r="B57" s="561">
        <f t="shared" si="0"/>
        <v>18</v>
      </c>
      <c r="C57" s="828" t="s">
        <v>67</v>
      </c>
      <c r="E57" s="1349">
        <v>2933996</v>
      </c>
      <c r="I57" s="575"/>
      <c r="J57" s="575"/>
    </row>
    <row r="58" spans="2:19">
      <c r="B58" s="561">
        <f t="shared" si="0"/>
        <v>19</v>
      </c>
      <c r="C58" s="575" t="s">
        <v>13</v>
      </c>
      <c r="E58" s="1349">
        <v>0</v>
      </c>
      <c r="I58" s="575"/>
      <c r="J58" s="575"/>
    </row>
    <row r="59" spans="2:19">
      <c r="B59" s="561">
        <f t="shared" si="0"/>
        <v>20</v>
      </c>
      <c r="C59" s="575" t="s">
        <v>14</v>
      </c>
      <c r="E59" s="1350">
        <v>16513728</v>
      </c>
      <c r="I59" s="575"/>
      <c r="J59" s="575"/>
    </row>
    <row r="60" spans="2:19">
      <c r="C60" s="575"/>
      <c r="I60" s="575"/>
      <c r="J60" s="575"/>
    </row>
    <row r="61" spans="2:19" ht="13" thickBot="1">
      <c r="B61" s="561">
        <f>+B59+1</f>
        <v>21</v>
      </c>
      <c r="C61" s="575" t="s">
        <v>15</v>
      </c>
      <c r="E61" s="838">
        <f>E22+E33+E42+SUM(E50:E59)</f>
        <v>232517232</v>
      </c>
      <c r="I61" s="575"/>
      <c r="J61" s="575"/>
    </row>
    <row r="62" spans="2:19" ht="13" thickTop="1">
      <c r="C62" s="575"/>
      <c r="F62" s="676"/>
      <c r="I62" s="575"/>
      <c r="J62" s="575"/>
    </row>
    <row r="63" spans="2:19">
      <c r="B63" s="575"/>
      <c r="C63" s="818" t="s">
        <v>88</v>
      </c>
      <c r="D63" s="818"/>
      <c r="E63" s="1351">
        <f>+E61-232517232</f>
        <v>0</v>
      </c>
      <c r="F63" s="839"/>
      <c r="G63" s="839"/>
      <c r="H63" s="495"/>
      <c r="I63" s="575"/>
      <c r="J63" s="575"/>
    </row>
    <row r="64" spans="2:19">
      <c r="B64" s="575" t="s">
        <v>611</v>
      </c>
      <c r="C64" s="575"/>
      <c r="D64" s="575"/>
      <c r="E64" s="840"/>
      <c r="F64" s="456"/>
      <c r="G64" s="456"/>
      <c r="H64" s="456"/>
      <c r="I64" s="575"/>
      <c r="J64" s="575"/>
    </row>
    <row r="65" spans="2:10">
      <c r="B65" s="575" t="s">
        <v>168</v>
      </c>
      <c r="C65" s="575" t="s">
        <v>89</v>
      </c>
      <c r="D65" s="575"/>
      <c r="E65" s="840"/>
      <c r="F65" s="456"/>
      <c r="G65" s="456"/>
      <c r="H65" s="456"/>
      <c r="I65" s="575"/>
      <c r="J65" s="575"/>
    </row>
    <row r="66" spans="2:10">
      <c r="B66" s="575"/>
      <c r="C66" s="816" t="s">
        <v>90</v>
      </c>
      <c r="D66" s="575"/>
      <c r="E66" s="840"/>
      <c r="F66" s="575"/>
      <c r="G66" s="456"/>
      <c r="H66" s="456"/>
      <c r="I66" s="575"/>
      <c r="J66" s="575"/>
    </row>
    <row r="67" spans="2:10">
      <c r="B67" s="575" t="s">
        <v>323</v>
      </c>
      <c r="C67" s="575" t="s">
        <v>91</v>
      </c>
      <c r="D67" s="575"/>
      <c r="E67" s="840"/>
      <c r="F67" s="575"/>
      <c r="G67" s="456"/>
      <c r="H67" s="456"/>
      <c r="I67" s="575"/>
      <c r="J67" s="575"/>
    </row>
    <row r="68" spans="2:10">
      <c r="B68" s="575"/>
      <c r="C68" s="816" t="s">
        <v>90</v>
      </c>
      <c r="D68" s="575"/>
      <c r="E68" s="840"/>
      <c r="F68" s="575"/>
      <c r="G68" s="456"/>
      <c r="H68" s="456"/>
      <c r="I68" s="575"/>
      <c r="J68" s="575"/>
    </row>
    <row r="69" spans="2:10">
      <c r="B69" s="575" t="s">
        <v>142</v>
      </c>
      <c r="C69" s="575" t="s">
        <v>92</v>
      </c>
      <c r="D69" s="575"/>
      <c r="E69" s="840"/>
      <c r="F69" s="575"/>
      <c r="G69" s="456"/>
      <c r="H69" s="456"/>
      <c r="I69" s="575"/>
      <c r="J69" s="575"/>
    </row>
    <row r="70" spans="2:10">
      <c r="B70" s="575" t="s">
        <v>169</v>
      </c>
      <c r="C70" s="816" t="s">
        <v>439</v>
      </c>
      <c r="D70" s="575"/>
      <c r="E70" s="840"/>
      <c r="F70" s="575"/>
      <c r="G70" s="456"/>
      <c r="H70" s="456"/>
      <c r="I70" s="575"/>
      <c r="J70" s="575"/>
    </row>
    <row r="71" spans="2:10">
      <c r="B71" s="575"/>
      <c r="C71" s="575" t="s">
        <v>440</v>
      </c>
      <c r="D71" s="575"/>
      <c r="E71" s="840"/>
      <c r="F71" s="575"/>
      <c r="G71" s="575"/>
      <c r="H71" s="575"/>
      <c r="I71" s="575"/>
      <c r="J71" s="575"/>
    </row>
    <row r="72" spans="2:10">
      <c r="B72" s="575"/>
      <c r="C72" s="575" t="s">
        <v>441</v>
      </c>
      <c r="D72" s="575"/>
      <c r="E72" s="840"/>
      <c r="F72" s="575"/>
      <c r="G72" s="575"/>
      <c r="H72" s="575"/>
      <c r="I72" s="575"/>
      <c r="J72" s="575"/>
    </row>
    <row r="73" spans="2:10">
      <c r="B73" s="575" t="s">
        <v>167</v>
      </c>
      <c r="C73" s="575" t="s">
        <v>438</v>
      </c>
      <c r="D73" s="575"/>
      <c r="E73" s="819"/>
      <c r="F73" s="575"/>
      <c r="G73" s="575"/>
      <c r="H73" s="575"/>
      <c r="I73" s="575"/>
      <c r="J73" s="575"/>
    </row>
    <row r="74" spans="2:10">
      <c r="I74" s="575"/>
      <c r="J74" s="575"/>
    </row>
  </sheetData>
  <mergeCells count="2">
    <mergeCell ref="A1:H1"/>
    <mergeCell ref="A3:H3"/>
  </mergeCells>
  <phoneticPr fontId="0" type="noConversion"/>
  <pageMargins left="1" right="0.75" top="1.5" bottom="1" header="0.5" footer="0.5"/>
  <pageSetup scale="66" orientation="portrait" r:id="rId1"/>
  <headerFooter alignWithMargins="0">
    <oddHeader>&amp;L&amp;"Arial,Bold"&amp;12
&amp;R&amp;"Times New Roman,Bold"&amp;12Appendix A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83"/>
  <sheetViews>
    <sheetView topLeftCell="A4" zoomScale="130" zoomScaleNormal="130" workbookViewId="0">
      <selection activeCell="D26" sqref="D26"/>
    </sheetView>
  </sheetViews>
  <sheetFormatPr defaultColWidth="9.1796875" defaultRowHeight="12.5"/>
  <cols>
    <col min="1" max="1" width="4.1796875" style="561" customWidth="1"/>
    <col min="2" max="2" width="74.26953125" style="561" customWidth="1"/>
    <col min="3" max="3" width="18.81640625" style="561" bestFit="1" customWidth="1"/>
    <col min="4" max="4" width="14" style="841" bestFit="1" customWidth="1"/>
    <col min="5" max="5" width="9.1796875" style="561"/>
    <col min="6" max="6" width="17.26953125" style="561" bestFit="1" customWidth="1"/>
    <col min="7" max="8" width="13.1796875" style="561" bestFit="1" customWidth="1"/>
    <col min="9" max="16384" width="9.1796875" style="561"/>
  </cols>
  <sheetData>
    <row r="1" spans="1:7" ht="18">
      <c r="A1" s="1514" t="str">
        <f>+'ATT H-2A'!A4</f>
        <v>Baltimore Gas and Electric Company</v>
      </c>
      <c r="B1" s="1514"/>
      <c r="C1" s="1514"/>
      <c r="D1" s="1514"/>
    </row>
    <row r="2" spans="1:7" ht="13">
      <c r="A2" s="148"/>
    </row>
    <row r="3" spans="1:7" ht="15.5">
      <c r="A3" s="1516" t="s">
        <v>47</v>
      </c>
      <c r="B3" s="1517"/>
      <c r="C3" s="1517"/>
      <c r="D3" s="1517"/>
    </row>
    <row r="4" spans="1:7">
      <c r="B4" s="93"/>
      <c r="C4" s="842"/>
    </row>
    <row r="5" spans="1:7" ht="13">
      <c r="B5" s="457"/>
      <c r="C5" s="842"/>
    </row>
    <row r="6" spans="1:7" ht="13">
      <c r="B6" s="458" t="s">
        <v>16</v>
      </c>
    </row>
    <row r="7" spans="1:7">
      <c r="A7" s="561">
        <v>1</v>
      </c>
      <c r="B7" s="814" t="s">
        <v>239</v>
      </c>
      <c r="C7" s="843"/>
      <c r="D7" s="1352">
        <f>473605+12919360</f>
        <v>13392965</v>
      </c>
      <c r="F7" s="813"/>
    </row>
    <row r="8" spans="1:7" s="93" customFormat="1">
      <c r="A8" s="561">
        <v>2</v>
      </c>
      <c r="B8" s="844" t="s">
        <v>17</v>
      </c>
      <c r="C8" s="561" t="s">
        <v>59</v>
      </c>
      <c r="D8" s="845">
        <f>SUM(D7:D7)</f>
        <v>13392965</v>
      </c>
      <c r="F8" s="917"/>
    </row>
    <row r="9" spans="1:7">
      <c r="B9" s="844"/>
      <c r="C9" s="844"/>
      <c r="D9" s="846"/>
      <c r="F9" s="813"/>
    </row>
    <row r="10" spans="1:7" ht="13">
      <c r="B10" s="458" t="s">
        <v>233</v>
      </c>
      <c r="C10" s="844"/>
      <c r="F10" s="813"/>
    </row>
    <row r="11" spans="1:7">
      <c r="B11" s="847"/>
      <c r="C11" s="834"/>
      <c r="D11" s="848"/>
      <c r="F11" s="813"/>
    </row>
    <row r="12" spans="1:7">
      <c r="A12" s="561">
        <f>+A8+1</f>
        <v>3</v>
      </c>
      <c r="B12" s="814" t="s">
        <v>182</v>
      </c>
      <c r="C12" s="828"/>
      <c r="D12" s="1352">
        <v>1385064</v>
      </c>
      <c r="F12" s="813"/>
    </row>
    <row r="13" spans="1:7" ht="37.5">
      <c r="A13" s="849">
        <f t="shared" ref="A13:A19" si="0">+A12+1</f>
        <v>4</v>
      </c>
      <c r="B13" s="828" t="s">
        <v>116</v>
      </c>
      <c r="C13" s="828"/>
      <c r="D13" s="1352">
        <v>0</v>
      </c>
      <c r="F13" s="813"/>
    </row>
    <row r="14" spans="1:7" ht="25">
      <c r="A14" s="561">
        <f t="shared" si="0"/>
        <v>5</v>
      </c>
      <c r="B14" s="850" t="s">
        <v>115</v>
      </c>
      <c r="C14" s="828"/>
      <c r="D14" s="1352">
        <v>2780774</v>
      </c>
      <c r="F14" s="813"/>
    </row>
    <row r="15" spans="1:7">
      <c r="A15" s="561">
        <f t="shared" si="0"/>
        <v>6</v>
      </c>
      <c r="B15" s="844" t="s">
        <v>240</v>
      </c>
      <c r="C15" s="834"/>
      <c r="D15" s="1353">
        <v>0</v>
      </c>
      <c r="F15" s="813"/>
    </row>
    <row r="16" spans="1:7">
      <c r="A16" s="561">
        <f t="shared" si="0"/>
        <v>7</v>
      </c>
      <c r="B16" s="844" t="s">
        <v>241</v>
      </c>
      <c r="C16" s="828"/>
      <c r="D16" s="1353">
        <v>0</v>
      </c>
      <c r="F16" s="588"/>
      <c r="G16" s="575"/>
    </row>
    <row r="17" spans="1:8">
      <c r="A17" s="561">
        <f t="shared" si="0"/>
        <v>8</v>
      </c>
      <c r="B17" s="844" t="s">
        <v>242</v>
      </c>
      <c r="C17" s="843"/>
      <c r="D17" s="1353">
        <v>1598402</v>
      </c>
      <c r="E17" s="575"/>
      <c r="F17" s="588"/>
      <c r="G17" s="588"/>
      <c r="H17" s="813"/>
    </row>
    <row r="18" spans="1:8" ht="14">
      <c r="A18" s="561">
        <f t="shared" si="0"/>
        <v>9</v>
      </c>
      <c r="B18" s="844" t="s">
        <v>243</v>
      </c>
      <c r="C18" s="575"/>
      <c r="D18" s="1353">
        <v>40830794.450000003</v>
      </c>
      <c r="E18" s="575"/>
      <c r="F18" s="959"/>
      <c r="G18" s="575"/>
    </row>
    <row r="19" spans="1:8">
      <c r="A19" s="561">
        <f t="shared" si="0"/>
        <v>10</v>
      </c>
      <c r="B19" s="844" t="s">
        <v>244</v>
      </c>
      <c r="C19" s="575"/>
      <c r="D19" s="851"/>
      <c r="F19" s="853"/>
      <c r="G19" s="575"/>
    </row>
    <row r="20" spans="1:8">
      <c r="B20" s="844"/>
      <c r="D20" s="852"/>
      <c r="F20" s="588"/>
      <c r="G20" s="575"/>
    </row>
    <row r="21" spans="1:8">
      <c r="A21" s="561">
        <f>+A19+1</f>
        <v>11</v>
      </c>
      <c r="B21" s="844" t="s">
        <v>93</v>
      </c>
      <c r="C21" s="561" t="s">
        <v>62</v>
      </c>
      <c r="D21" s="851">
        <f>SUM(D12:D20)+D8</f>
        <v>59987999.450000003</v>
      </c>
      <c r="F21" s="588"/>
      <c r="G21" s="575"/>
    </row>
    <row r="22" spans="1:8">
      <c r="A22" s="575">
        <v>12</v>
      </c>
      <c r="B22" s="843" t="s">
        <v>9</v>
      </c>
      <c r="C22" s="575"/>
      <c r="D22" s="853">
        <f>+D39</f>
        <v>-8815834.5899999999</v>
      </c>
      <c r="F22" s="588"/>
      <c r="G22" s="575"/>
    </row>
    <row r="23" spans="1:8">
      <c r="A23" s="575">
        <v>13</v>
      </c>
      <c r="B23" s="843" t="s">
        <v>94</v>
      </c>
      <c r="C23" s="575"/>
      <c r="D23" s="853">
        <f>+D21+D22</f>
        <v>51172164.859999999</v>
      </c>
      <c r="F23" s="813"/>
    </row>
    <row r="24" spans="1:8">
      <c r="A24" s="575"/>
      <c r="C24" s="575"/>
      <c r="D24" s="853"/>
    </row>
    <row r="25" spans="1:8">
      <c r="B25" s="844"/>
      <c r="D25" s="853"/>
    </row>
    <row r="26" spans="1:8" ht="54" customHeight="1">
      <c r="B26" s="844"/>
      <c r="D26" s="853"/>
    </row>
    <row r="27" spans="1:8" ht="13">
      <c r="B27" s="459" t="s">
        <v>18</v>
      </c>
      <c r="D27" s="854"/>
    </row>
    <row r="28" spans="1:8" ht="54.75" customHeight="1">
      <c r="A28" s="855">
        <v>14</v>
      </c>
      <c r="B28" s="576" t="s">
        <v>720</v>
      </c>
      <c r="D28" s="853"/>
    </row>
    <row r="29" spans="1:8">
      <c r="A29" s="849"/>
      <c r="B29" s="844"/>
    </row>
    <row r="30" spans="1:8" ht="50">
      <c r="A30" s="849">
        <v>15</v>
      </c>
      <c r="B30" s="850" t="s">
        <v>237</v>
      </c>
    </row>
    <row r="31" spans="1:8">
      <c r="A31" s="849"/>
      <c r="B31" s="844"/>
    </row>
    <row r="32" spans="1:8" ht="156.75" customHeight="1">
      <c r="A32" s="849">
        <v>16</v>
      </c>
      <c r="B32" s="856" t="s">
        <v>248</v>
      </c>
      <c r="C32" s="179"/>
      <c r="D32" s="853"/>
    </row>
    <row r="33" spans="1:6" s="575" customFormat="1" ht="15.5">
      <c r="A33" s="855" t="s">
        <v>95</v>
      </c>
      <c r="B33" s="857" t="s">
        <v>624</v>
      </c>
      <c r="C33" s="545"/>
      <c r="D33" s="853">
        <f>+D7</f>
        <v>13392965</v>
      </c>
    </row>
    <row r="34" spans="1:6" s="575" customFormat="1" ht="15.5">
      <c r="A34" s="855" t="s">
        <v>96</v>
      </c>
      <c r="B34" s="857" t="s">
        <v>97</v>
      </c>
      <c r="C34" s="545"/>
      <c r="D34" s="1354">
        <v>4479634.18</v>
      </c>
    </row>
    <row r="35" spans="1:6" s="575" customFormat="1" ht="15.5">
      <c r="A35" s="855" t="s">
        <v>98</v>
      </c>
      <c r="B35" s="857" t="s">
        <v>234</v>
      </c>
      <c r="C35" s="545"/>
      <c r="D35" s="853">
        <f>+D33-D34</f>
        <v>8913330.8200000003</v>
      </c>
    </row>
    <row r="36" spans="1:6" s="456" customFormat="1" ht="15.5">
      <c r="A36" s="855" t="s">
        <v>99</v>
      </c>
      <c r="B36" s="857" t="s">
        <v>235</v>
      </c>
      <c r="C36" s="545"/>
      <c r="D36" s="853">
        <f>+D35/2</f>
        <v>4456665.41</v>
      </c>
    </row>
    <row r="37" spans="1:6" s="575" customFormat="1" ht="37.5">
      <c r="A37" s="855" t="s">
        <v>100</v>
      </c>
      <c r="B37" s="857" t="s">
        <v>78</v>
      </c>
      <c r="C37" s="545"/>
      <c r="D37" s="1354">
        <v>120465</v>
      </c>
    </row>
    <row r="38" spans="1:6" s="456" customFormat="1">
      <c r="A38" s="855" t="s">
        <v>120</v>
      </c>
      <c r="B38" s="843" t="s">
        <v>236</v>
      </c>
      <c r="C38" s="575"/>
      <c r="D38" s="853">
        <f>+D36+D37</f>
        <v>4577130.41</v>
      </c>
    </row>
    <row r="39" spans="1:6" s="575" customFormat="1">
      <c r="A39" s="855" t="s">
        <v>101</v>
      </c>
      <c r="B39" s="843" t="s">
        <v>121</v>
      </c>
      <c r="D39" s="853">
        <f>+D38-D33</f>
        <v>-8815834.5899999999</v>
      </c>
    </row>
    <row r="40" spans="1:6" ht="62.5">
      <c r="A40" s="855">
        <v>18</v>
      </c>
      <c r="B40" s="576" t="s">
        <v>625</v>
      </c>
      <c r="D40" s="1355">
        <f>3453732+7356082+3192613+6937739+8671306</f>
        <v>29611472</v>
      </c>
      <c r="E40" s="575"/>
    </row>
    <row r="42" spans="1:6">
      <c r="A42" s="561">
        <v>19</v>
      </c>
      <c r="B42" s="561" t="s">
        <v>134</v>
      </c>
      <c r="D42" s="1352">
        <v>250904079</v>
      </c>
    </row>
    <row r="43" spans="1:6">
      <c r="D43" s="858"/>
    </row>
    <row r="44" spans="1:6">
      <c r="A44" s="561">
        <v>20</v>
      </c>
      <c r="B44" s="561" t="s">
        <v>133</v>
      </c>
      <c r="C44" s="575"/>
      <c r="D44" s="676">
        <f>+D21+D28+D40+D42-D18-D17</f>
        <v>298074354</v>
      </c>
    </row>
    <row r="46" spans="1:6">
      <c r="C46" s="561" t="s">
        <v>612</v>
      </c>
      <c r="D46" s="1355">
        <f>16846697+26157740+255069917</f>
        <v>298074354</v>
      </c>
    </row>
    <row r="48" spans="1:6">
      <c r="C48" s="561" t="s">
        <v>88</v>
      </c>
      <c r="D48" s="841">
        <f>+D46-D44</f>
        <v>0</v>
      </c>
      <c r="F48" s="676"/>
    </row>
    <row r="83" spans="8:8">
      <c r="H83" s="561">
        <f>+J83</f>
        <v>0</v>
      </c>
    </row>
  </sheetData>
  <mergeCells count="2">
    <mergeCell ref="A3:D3"/>
    <mergeCell ref="A1:D1"/>
  </mergeCells>
  <phoneticPr fontId="0" type="noConversion"/>
  <pageMargins left="1" right="0.5" top="1.5" bottom="1" header="0.5" footer="0.5"/>
  <pageSetup scale="61" orientation="portrait" r:id="rId1"/>
  <headerFooter alignWithMargins="0">
    <oddHeader>&amp;R&amp;"Times New Roman,Bold"&amp;12Appendix A
Page &amp;P of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314"/>
  <sheetViews>
    <sheetView view="pageBreakPreview" topLeftCell="A16" zoomScaleNormal="100" workbookViewId="0">
      <selection activeCell="F35" sqref="F35"/>
    </sheetView>
  </sheetViews>
  <sheetFormatPr defaultRowHeight="12.5"/>
  <cols>
    <col min="1" max="1" width="15.1796875" customWidth="1"/>
    <col min="2" max="2" width="13" style="142" customWidth="1"/>
    <col min="3" max="3" width="13.453125" customWidth="1"/>
    <col min="4" max="4" width="10.54296875" bestFit="1" customWidth="1"/>
    <col min="5" max="5" width="9.81640625" bestFit="1" customWidth="1"/>
    <col min="6" max="6" width="9" style="160" bestFit="1" customWidth="1"/>
    <col min="7" max="7" width="10.453125" bestFit="1" customWidth="1"/>
    <col min="8" max="8" width="10.54296875" bestFit="1" customWidth="1"/>
    <col min="9" max="9" width="9.81640625" bestFit="1" customWidth="1"/>
    <col min="10" max="10" width="9" style="160" bestFit="1" customWidth="1"/>
    <col min="11" max="11" width="10.453125" bestFit="1" customWidth="1"/>
    <col min="12" max="12" width="10.54296875" bestFit="1" customWidth="1"/>
    <col min="13" max="13" width="9.81640625" bestFit="1" customWidth="1"/>
    <col min="14" max="14" width="9" bestFit="1" customWidth="1"/>
    <col min="15" max="15" width="12" hidden="1" customWidth="1"/>
    <col min="16" max="16" width="12.54296875" hidden="1" customWidth="1"/>
    <col min="17" max="17" width="11.26953125" hidden="1" customWidth="1"/>
    <col min="18" max="18" width="10.26953125" hidden="1" customWidth="1"/>
    <col min="19" max="19" width="12" hidden="1" customWidth="1"/>
    <col min="20" max="20" width="12.54296875" hidden="1" customWidth="1"/>
    <col min="21" max="21" width="11.26953125" hidden="1" customWidth="1"/>
    <col min="22" max="22" width="10.26953125" hidden="1" customWidth="1"/>
    <col min="23" max="23" width="12" hidden="1" customWidth="1"/>
    <col min="24" max="24" width="12.54296875" hidden="1" customWidth="1"/>
    <col min="25" max="25" width="11.26953125" hidden="1" customWidth="1"/>
    <col min="26" max="26" width="10.26953125" hidden="1" customWidth="1"/>
    <col min="27" max="27" width="12" hidden="1" customWidth="1"/>
    <col min="28" max="28" width="12.54296875" hidden="1" customWidth="1"/>
    <col min="29" max="29" width="11.26953125" hidden="1" customWidth="1"/>
    <col min="30" max="30" width="10.26953125" hidden="1" customWidth="1"/>
    <col min="31" max="31" width="12" hidden="1" customWidth="1"/>
    <col min="32" max="32" width="12.54296875" hidden="1" customWidth="1"/>
    <col min="33" max="33" width="11.26953125" hidden="1" customWidth="1"/>
    <col min="34" max="34" width="10.26953125" hidden="1" customWidth="1"/>
    <col min="35" max="35" width="12" hidden="1" customWidth="1"/>
    <col min="36" max="36" width="12.54296875" hidden="1" customWidth="1"/>
    <col min="37" max="37" width="11.26953125" hidden="1" customWidth="1"/>
    <col min="38" max="38" width="10.26953125" hidden="1" customWidth="1"/>
    <col min="39" max="39" width="13.7265625" bestFit="1" customWidth="1"/>
    <col min="40" max="40" width="15" bestFit="1" customWidth="1"/>
    <col min="41" max="41" width="12.54296875" bestFit="1" customWidth="1"/>
  </cols>
  <sheetData>
    <row r="1" spans="1:41" ht="13">
      <c r="A1" s="1518" t="s">
        <v>581</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8"/>
      <c r="AM1" s="1518"/>
      <c r="AN1" s="1518"/>
      <c r="AO1" s="1518"/>
    </row>
    <row r="3" spans="1:41" ht="13">
      <c r="A3" s="148" t="s">
        <v>580</v>
      </c>
    </row>
    <row r="6" spans="1:41">
      <c r="A6" t="s">
        <v>464</v>
      </c>
    </row>
    <row r="8" spans="1:41" ht="13">
      <c r="A8" s="170" t="s">
        <v>432</v>
      </c>
    </row>
    <row r="9" spans="1:41" ht="13">
      <c r="A9" s="170"/>
      <c r="B9" s="142" t="s">
        <v>462</v>
      </c>
    </row>
    <row r="10" spans="1:41">
      <c r="A10" s="142" t="s">
        <v>168</v>
      </c>
      <c r="B10" s="142">
        <f>+'ATT H-2A'!A286</f>
        <v>159</v>
      </c>
      <c r="C10" s="2" t="str">
        <f>+'ATT H-2A'!C286</f>
        <v>Net Plant Carrying Charge without Depreciation</v>
      </c>
      <c r="D10" s="2"/>
      <c r="F10" s="168"/>
      <c r="L10" s="169" t="e">
        <f>+'ATT H-2A'!#REF!</f>
        <v>#REF!</v>
      </c>
    </row>
    <row r="11" spans="1:41">
      <c r="A11" s="142" t="s">
        <v>323</v>
      </c>
      <c r="B11" s="142">
        <f>+'ATT H-2A'!A296</f>
        <v>166</v>
      </c>
      <c r="C11" s="2" t="str">
        <f>+'ATT H-2A'!C296</f>
        <v>Net Plant Carrying Charge per 100 basis point increase in ROE without Depreciation</v>
      </c>
      <c r="D11" s="2"/>
      <c r="F11" s="168"/>
      <c r="L11" s="169" t="e">
        <f>+'ATT H-2A'!#REF!</f>
        <v>#REF!</v>
      </c>
    </row>
    <row r="12" spans="1:41">
      <c r="A12" s="142" t="s">
        <v>142</v>
      </c>
      <c r="C12" t="s">
        <v>434</v>
      </c>
      <c r="F12" s="168"/>
      <c r="L12" s="169" t="e">
        <f>+L11-L10</f>
        <v>#REF!</v>
      </c>
    </row>
    <row r="13" spans="1:41">
      <c r="F13" s="168"/>
      <c r="L13" s="169"/>
    </row>
    <row r="14" spans="1:41" ht="13">
      <c r="A14" s="170" t="s">
        <v>431</v>
      </c>
      <c r="F14" s="168"/>
      <c r="L14" s="169"/>
    </row>
    <row r="15" spans="1:41" ht="13">
      <c r="A15" s="170"/>
      <c r="F15" s="168"/>
      <c r="L15" s="169"/>
    </row>
    <row r="16" spans="1:41">
      <c r="A16" s="142" t="s">
        <v>169</v>
      </c>
      <c r="B16" s="142">
        <f>+'ATT H-2A'!A287</f>
        <v>160</v>
      </c>
      <c r="C16" s="2" t="str">
        <f>+'ATT H-2A'!C287</f>
        <v>Net Plant Carrying Charge without Depreciation, Return, nor Income Taxes</v>
      </c>
      <c r="D16" s="2"/>
      <c r="F16" s="168"/>
      <c r="L16" s="169" t="e">
        <f>+'ATT H-2A'!#REF!</f>
        <v>#REF!</v>
      </c>
    </row>
    <row r="18" spans="1:41" ht="13">
      <c r="A18" s="148" t="s">
        <v>600</v>
      </c>
    </row>
    <row r="19" spans="1:41" ht="13">
      <c r="A19" s="148" t="s">
        <v>601</v>
      </c>
    </row>
    <row r="20" spans="1:41" ht="13" thickBot="1"/>
    <row r="21" spans="1:41" ht="13">
      <c r="A21" s="368" t="s">
        <v>425</v>
      </c>
      <c r="B21" s="369"/>
      <c r="C21" s="370" t="s">
        <v>422</v>
      </c>
      <c r="D21" s="371" t="str">
        <f>+C21</f>
        <v>Project A</v>
      </c>
      <c r="E21" s="371" t="str">
        <f>+D21</f>
        <v>Project A</v>
      </c>
      <c r="F21" s="372" t="str">
        <f>+E21</f>
        <v>Project A</v>
      </c>
      <c r="G21" s="370" t="s">
        <v>450</v>
      </c>
      <c r="H21" s="371" t="s">
        <v>450</v>
      </c>
      <c r="I21" s="371" t="s">
        <v>450</v>
      </c>
      <c r="J21" s="372" t="s">
        <v>450</v>
      </c>
      <c r="K21" s="370" t="s">
        <v>451</v>
      </c>
      <c r="L21" s="371" t="str">
        <f>+K21</f>
        <v>Project C</v>
      </c>
      <c r="M21" s="371" t="str">
        <f>+L21</f>
        <v>Project C</v>
      </c>
      <c r="N21" s="373" t="str">
        <f>+M21</f>
        <v>Project C</v>
      </c>
      <c r="O21" s="370" t="s">
        <v>452</v>
      </c>
      <c r="P21" s="371" t="str">
        <f>+O21</f>
        <v>Project D</v>
      </c>
      <c r="Q21" s="371" t="str">
        <f>+P21</f>
        <v>Project D</v>
      </c>
      <c r="R21" s="373" t="str">
        <f>+Q21</f>
        <v>Project D</v>
      </c>
      <c r="S21" s="370" t="s">
        <v>453</v>
      </c>
      <c r="T21" s="371" t="str">
        <f>+S21</f>
        <v>Project E</v>
      </c>
      <c r="U21" s="371" t="str">
        <f>+T21</f>
        <v>Project E</v>
      </c>
      <c r="V21" s="373" t="str">
        <f>+U21</f>
        <v>Project E</v>
      </c>
      <c r="W21" s="370" t="s">
        <v>454</v>
      </c>
      <c r="X21" s="371" t="str">
        <f>+W21</f>
        <v>Project F</v>
      </c>
      <c r="Y21" s="371" t="str">
        <f>+X21</f>
        <v>Project F</v>
      </c>
      <c r="Z21" s="373" t="str">
        <f>+Y21</f>
        <v>Project F</v>
      </c>
      <c r="AA21" s="370" t="s">
        <v>455</v>
      </c>
      <c r="AB21" s="371" t="str">
        <f>+AA21</f>
        <v>Project G</v>
      </c>
      <c r="AC21" s="371" t="str">
        <f>+AB21</f>
        <v>Project G</v>
      </c>
      <c r="AD21" s="373" t="str">
        <f>+AC21</f>
        <v>Project G</v>
      </c>
      <c r="AE21" s="370" t="s">
        <v>456</v>
      </c>
      <c r="AF21" s="371" t="str">
        <f>+AE21</f>
        <v>Project H</v>
      </c>
      <c r="AG21" s="371" t="str">
        <f>+AF21</f>
        <v>Project H</v>
      </c>
      <c r="AH21" s="373" t="str">
        <f>+AG21</f>
        <v>Project H</v>
      </c>
      <c r="AI21" s="370" t="s">
        <v>457</v>
      </c>
      <c r="AJ21" s="371" t="str">
        <f>+AI21</f>
        <v>Project I</v>
      </c>
      <c r="AK21" s="371" t="str">
        <f>+AJ21</f>
        <v>Project I</v>
      </c>
      <c r="AL21" s="373" t="str">
        <f>+AK21</f>
        <v>Project I</v>
      </c>
      <c r="AM21" s="418"/>
      <c r="AN21" s="144"/>
      <c r="AO21" s="144"/>
    </row>
    <row r="22" spans="1:41" ht="13">
      <c r="A22" s="331" t="s">
        <v>423</v>
      </c>
      <c r="B22" s="374"/>
      <c r="C22" s="375">
        <v>30</v>
      </c>
      <c r="D22" s="374"/>
      <c r="E22" s="374"/>
      <c r="F22" s="376"/>
      <c r="G22" s="375">
        <v>35</v>
      </c>
      <c r="H22" s="374"/>
      <c r="I22" s="374"/>
      <c r="J22" s="376"/>
      <c r="K22" s="375">
        <v>40</v>
      </c>
      <c r="L22" s="374"/>
      <c r="M22" s="374"/>
      <c r="N22" s="377"/>
      <c r="O22" s="375">
        <v>40</v>
      </c>
      <c r="P22" s="374"/>
      <c r="Q22" s="374"/>
      <c r="R22" s="377"/>
      <c r="S22" s="375">
        <v>40</v>
      </c>
      <c r="T22" s="374"/>
      <c r="U22" s="374"/>
      <c r="V22" s="377"/>
      <c r="W22" s="375">
        <v>40</v>
      </c>
      <c r="X22" s="374"/>
      <c r="Y22" s="374"/>
      <c r="Z22" s="377"/>
      <c r="AA22" s="375">
        <v>35</v>
      </c>
      <c r="AB22" s="374"/>
      <c r="AC22" s="374"/>
      <c r="AD22" s="377"/>
      <c r="AE22" s="375">
        <v>25</v>
      </c>
      <c r="AF22" s="374"/>
      <c r="AG22" s="374"/>
      <c r="AH22" s="377"/>
      <c r="AI22" s="375">
        <v>30</v>
      </c>
      <c r="AJ22" s="374"/>
      <c r="AK22" s="374"/>
      <c r="AL22" s="377"/>
      <c r="AM22" s="329"/>
      <c r="AN22" s="144"/>
      <c r="AO22" s="144"/>
    </row>
    <row r="23" spans="1:41" ht="13">
      <c r="A23" s="331" t="s">
        <v>424</v>
      </c>
      <c r="B23" s="374"/>
      <c r="C23" s="375" t="s">
        <v>428</v>
      </c>
      <c r="D23" s="374"/>
      <c r="E23" s="374"/>
      <c r="F23" s="376"/>
      <c r="G23" s="375" t="s">
        <v>428</v>
      </c>
      <c r="H23" s="374"/>
      <c r="I23" s="374"/>
      <c r="J23" s="376"/>
      <c r="K23" s="375" t="s">
        <v>429</v>
      </c>
      <c r="L23" s="374"/>
      <c r="M23" s="374"/>
      <c r="N23" s="377"/>
      <c r="O23" s="375" t="s">
        <v>428</v>
      </c>
      <c r="P23" s="374"/>
      <c r="Q23" s="374"/>
      <c r="R23" s="377"/>
      <c r="S23" s="375" t="s">
        <v>428</v>
      </c>
      <c r="T23" s="374"/>
      <c r="U23" s="374"/>
      <c r="V23" s="377"/>
      <c r="W23" s="375" t="s">
        <v>428</v>
      </c>
      <c r="X23" s="374"/>
      <c r="Y23" s="374"/>
      <c r="Z23" s="377"/>
      <c r="AA23" s="375" t="s">
        <v>429</v>
      </c>
      <c r="AB23" s="374"/>
      <c r="AC23" s="374"/>
      <c r="AD23" s="377"/>
      <c r="AE23" s="375" t="s">
        <v>429</v>
      </c>
      <c r="AF23" s="374"/>
      <c r="AG23" s="374"/>
      <c r="AH23" s="377"/>
      <c r="AI23" s="375" t="s">
        <v>428</v>
      </c>
      <c r="AJ23" s="374"/>
      <c r="AK23" s="374"/>
      <c r="AL23" s="377"/>
      <c r="AM23" s="329"/>
      <c r="AN23" s="144"/>
      <c r="AO23" s="144"/>
    </row>
    <row r="24" spans="1:41" ht="13">
      <c r="A24" s="331" t="s">
        <v>427</v>
      </c>
      <c r="B24" s="374"/>
      <c r="C24" s="375">
        <v>50</v>
      </c>
      <c r="D24" s="374"/>
      <c r="E24" s="374"/>
      <c r="F24" s="376"/>
      <c r="G24" s="375">
        <v>0</v>
      </c>
      <c r="H24" s="374"/>
      <c r="I24" s="374"/>
      <c r="J24" s="376"/>
      <c r="K24" s="375">
        <v>100</v>
      </c>
      <c r="L24" s="374"/>
      <c r="M24" s="374"/>
      <c r="N24" s="377"/>
      <c r="O24" s="375">
        <v>150</v>
      </c>
      <c r="P24" s="374"/>
      <c r="Q24" s="374"/>
      <c r="R24" s="377"/>
      <c r="S24" s="375">
        <v>100</v>
      </c>
      <c r="T24" s="374"/>
      <c r="U24" s="374"/>
      <c r="V24" s="377"/>
      <c r="W24" s="375">
        <v>50</v>
      </c>
      <c r="X24" s="374"/>
      <c r="Y24" s="374"/>
      <c r="Z24" s="377"/>
      <c r="AA24" s="375">
        <v>100</v>
      </c>
      <c r="AB24" s="374"/>
      <c r="AC24" s="374"/>
      <c r="AD24" s="377"/>
      <c r="AE24" s="375">
        <v>150</v>
      </c>
      <c r="AF24" s="374"/>
      <c r="AG24" s="374"/>
      <c r="AH24" s="377"/>
      <c r="AI24" s="375">
        <v>50</v>
      </c>
      <c r="AJ24" s="374"/>
      <c r="AK24" s="374"/>
      <c r="AL24" s="377"/>
      <c r="AM24" s="329"/>
      <c r="AN24" s="144"/>
      <c r="AO24" s="144"/>
    </row>
    <row r="25" spans="1:41" ht="13">
      <c r="A25" s="331" t="s">
        <v>445</v>
      </c>
      <c r="B25" s="374"/>
      <c r="C25" s="331" t="e">
        <f>+$L10</f>
        <v>#REF!</v>
      </c>
      <c r="D25" s="146"/>
      <c r="E25" s="146"/>
      <c r="F25" s="378"/>
      <c r="G25" s="331" t="e">
        <f>+$L10</f>
        <v>#REF!</v>
      </c>
      <c r="H25" s="146"/>
      <c r="I25" s="146"/>
      <c r="J25" s="378"/>
      <c r="K25" s="375" t="e">
        <f>$L16</f>
        <v>#REF!</v>
      </c>
      <c r="L25" s="374"/>
      <c r="M25" s="374"/>
      <c r="N25" s="377"/>
      <c r="O25" s="331" t="e">
        <f>+$L10</f>
        <v>#REF!</v>
      </c>
      <c r="P25" s="146"/>
      <c r="Q25" s="146"/>
      <c r="R25" s="329"/>
      <c r="S25" s="331" t="e">
        <f>+$L10</f>
        <v>#REF!</v>
      </c>
      <c r="T25" s="146"/>
      <c r="U25" s="146"/>
      <c r="V25" s="329"/>
      <c r="W25" s="331" t="e">
        <f>+$L10</f>
        <v>#REF!</v>
      </c>
      <c r="X25" s="146"/>
      <c r="Y25" s="146"/>
      <c r="Z25" s="329"/>
      <c r="AA25" s="375" t="e">
        <f>$L16</f>
        <v>#REF!</v>
      </c>
      <c r="AB25" s="374"/>
      <c r="AC25" s="374"/>
      <c r="AD25" s="377"/>
      <c r="AE25" s="375" t="e">
        <f>$L16</f>
        <v>#REF!</v>
      </c>
      <c r="AF25" s="374"/>
      <c r="AG25" s="374"/>
      <c r="AH25" s="377"/>
      <c r="AI25" s="331" t="e">
        <f>+$L10</f>
        <v>#REF!</v>
      </c>
      <c r="AJ25" s="146"/>
      <c r="AK25" s="146"/>
      <c r="AL25" s="329"/>
      <c r="AM25" s="329"/>
      <c r="AN25" s="144"/>
      <c r="AO25" s="144"/>
    </row>
    <row r="26" spans="1:41" ht="13">
      <c r="A26" s="331" t="s">
        <v>433</v>
      </c>
      <c r="B26" s="374"/>
      <c r="C26" s="331" t="e">
        <f>($L10+$L12/100*C24)</f>
        <v>#REF!</v>
      </c>
      <c r="D26" s="146"/>
      <c r="E26" s="146"/>
      <c r="F26" s="378"/>
      <c r="G26" s="331" t="e">
        <f>($L10+$L12/100*G24)</f>
        <v>#REF!</v>
      </c>
      <c r="H26" s="146"/>
      <c r="I26" s="146"/>
      <c r="J26" s="378"/>
      <c r="K26" s="331" t="e">
        <f>+L16</f>
        <v>#REF!</v>
      </c>
      <c r="L26" s="146"/>
      <c r="M26" s="146"/>
      <c r="N26" s="329"/>
      <c r="O26" s="331" t="e">
        <f>($L10+$L12/100*O24)</f>
        <v>#REF!</v>
      </c>
      <c r="P26" s="146"/>
      <c r="Q26" s="146"/>
      <c r="R26" s="329"/>
      <c r="S26" s="331" t="e">
        <f>($L10+$L12/100*S24)</f>
        <v>#REF!</v>
      </c>
      <c r="T26" s="146"/>
      <c r="U26" s="146"/>
      <c r="V26" s="329"/>
      <c r="W26" s="331" t="e">
        <f>($L10+$L12/100*W24)</f>
        <v>#REF!</v>
      </c>
      <c r="X26" s="146"/>
      <c r="Y26" s="146"/>
      <c r="Z26" s="329"/>
      <c r="AA26" s="331" t="e">
        <f>+L16</f>
        <v>#REF!</v>
      </c>
      <c r="AB26" s="146"/>
      <c r="AC26" s="146"/>
      <c r="AD26" s="329"/>
      <c r="AE26" s="331" t="e">
        <f>+L16</f>
        <v>#REF!</v>
      </c>
      <c r="AF26" s="146"/>
      <c r="AG26" s="146"/>
      <c r="AH26" s="329"/>
      <c r="AI26" s="331" t="e">
        <f>($L10+$L12/100*AI24)</f>
        <v>#REF!</v>
      </c>
      <c r="AJ26" s="146"/>
      <c r="AK26" s="146"/>
      <c r="AL26" s="329"/>
      <c r="AM26" s="329"/>
      <c r="AN26" s="144"/>
      <c r="AO26" s="144"/>
    </row>
    <row r="27" spans="1:41" ht="13">
      <c r="A27" s="331" t="s">
        <v>435</v>
      </c>
      <c r="B27" s="374"/>
      <c r="C27" s="379">
        <v>20000000</v>
      </c>
      <c r="D27" s="380"/>
      <c r="E27" s="380"/>
      <c r="F27" s="378"/>
      <c r="G27" s="379">
        <v>30000000</v>
      </c>
      <c r="H27" s="380"/>
      <c r="I27" s="380"/>
      <c r="J27" s="378"/>
      <c r="K27" s="379">
        <v>20000000</v>
      </c>
      <c r="L27" s="380"/>
      <c r="M27" s="380"/>
      <c r="N27" s="378"/>
      <c r="O27" s="379">
        <v>30000000</v>
      </c>
      <c r="P27" s="380"/>
      <c r="Q27" s="380"/>
      <c r="R27" s="378"/>
      <c r="S27" s="379">
        <v>20000000</v>
      </c>
      <c r="T27" s="380"/>
      <c r="U27" s="380"/>
      <c r="V27" s="378"/>
      <c r="W27" s="379">
        <v>30000000</v>
      </c>
      <c r="X27" s="380"/>
      <c r="Y27" s="380"/>
      <c r="Z27" s="378"/>
      <c r="AA27" s="379">
        <v>20000000</v>
      </c>
      <c r="AB27" s="380"/>
      <c r="AC27" s="380"/>
      <c r="AD27" s="378"/>
      <c r="AE27" s="379">
        <v>30000000</v>
      </c>
      <c r="AF27" s="380"/>
      <c r="AG27" s="380"/>
      <c r="AH27" s="378"/>
      <c r="AI27" s="379">
        <v>20000000</v>
      </c>
      <c r="AJ27" s="380"/>
      <c r="AK27" s="380"/>
      <c r="AL27" s="378"/>
      <c r="AM27" s="329"/>
      <c r="AN27" s="144"/>
      <c r="AO27" s="144"/>
    </row>
    <row r="28" spans="1:41" ht="13">
      <c r="A28" s="331" t="s">
        <v>436</v>
      </c>
      <c r="B28" s="374"/>
      <c r="C28" s="379">
        <f>+C27/C22</f>
        <v>666666.66666666663</v>
      </c>
      <c r="D28" s="380"/>
      <c r="E28" s="380"/>
      <c r="F28" s="378"/>
      <c r="G28" s="379">
        <f>+G27/G22</f>
        <v>857142.85714285716</v>
      </c>
      <c r="H28" s="380"/>
      <c r="I28" s="380"/>
      <c r="J28" s="378"/>
      <c r="K28" s="379">
        <f>+K27/K22</f>
        <v>500000</v>
      </c>
      <c r="L28" s="380"/>
      <c r="M28" s="380"/>
      <c r="N28" s="378"/>
      <c r="O28" s="379">
        <f>+O27/O22</f>
        <v>750000</v>
      </c>
      <c r="P28" s="380"/>
      <c r="Q28" s="380"/>
      <c r="R28" s="378"/>
      <c r="S28" s="379">
        <f>+S27/S22</f>
        <v>500000</v>
      </c>
      <c r="T28" s="380"/>
      <c r="U28" s="380"/>
      <c r="V28" s="378"/>
      <c r="W28" s="379">
        <f>+W27/W22</f>
        <v>750000</v>
      </c>
      <c r="X28" s="380"/>
      <c r="Y28" s="380"/>
      <c r="Z28" s="378"/>
      <c r="AA28" s="379">
        <f>+AA27/AA22</f>
        <v>571428.57142857148</v>
      </c>
      <c r="AB28" s="380"/>
      <c r="AC28" s="380"/>
      <c r="AD28" s="378"/>
      <c r="AE28" s="379">
        <f>+AE27/AE22</f>
        <v>1200000</v>
      </c>
      <c r="AF28" s="380"/>
      <c r="AG28" s="380"/>
      <c r="AH28" s="378"/>
      <c r="AI28" s="379">
        <f>+AI27/AI22</f>
        <v>666666.66666666663</v>
      </c>
      <c r="AJ28" s="380"/>
      <c r="AK28" s="380"/>
      <c r="AL28" s="378"/>
      <c r="AM28" s="329"/>
      <c r="AN28" s="144"/>
      <c r="AO28" s="144"/>
    </row>
    <row r="29" spans="1:41" s="2" customFormat="1" ht="13">
      <c r="A29" s="410" t="s">
        <v>540</v>
      </c>
      <c r="B29" s="351"/>
      <c r="C29" s="411">
        <v>6</v>
      </c>
      <c r="D29" s="412"/>
      <c r="E29" s="412"/>
      <c r="F29" s="413"/>
      <c r="G29" s="411">
        <v>3</v>
      </c>
      <c r="H29" s="412"/>
      <c r="I29" s="412"/>
      <c r="J29" s="413"/>
      <c r="K29" s="411">
        <v>9</v>
      </c>
      <c r="L29" s="412"/>
      <c r="M29" s="412"/>
      <c r="N29" s="413"/>
      <c r="O29" s="411">
        <v>10</v>
      </c>
      <c r="P29" s="412"/>
      <c r="Q29" s="412"/>
      <c r="R29" s="413"/>
      <c r="S29" s="411">
        <v>2</v>
      </c>
      <c r="T29" s="412"/>
      <c r="U29" s="412"/>
      <c r="V29" s="413"/>
      <c r="W29" s="411">
        <v>4</v>
      </c>
      <c r="X29" s="412"/>
      <c r="Y29" s="412"/>
      <c r="Z29" s="413"/>
      <c r="AA29" s="411">
        <v>11</v>
      </c>
      <c r="AB29" s="412"/>
      <c r="AC29" s="412"/>
      <c r="AD29" s="413"/>
      <c r="AE29" s="411">
        <v>8</v>
      </c>
      <c r="AF29" s="412"/>
      <c r="AG29" s="412"/>
      <c r="AH29" s="413"/>
      <c r="AI29" s="411">
        <v>9</v>
      </c>
      <c r="AJ29" s="412"/>
      <c r="AK29" s="412"/>
      <c r="AL29" s="413"/>
      <c r="AM29" s="419"/>
      <c r="AN29" s="145"/>
      <c r="AO29" s="145"/>
    </row>
    <row r="30" spans="1:41" ht="13.5" thickBot="1">
      <c r="A30" s="336"/>
      <c r="B30" s="381"/>
      <c r="C30" s="382"/>
      <c r="D30" s="383"/>
      <c r="E30" s="383"/>
      <c r="F30" s="384"/>
      <c r="G30" s="382"/>
      <c r="H30" s="383"/>
      <c r="I30" s="383"/>
      <c r="J30" s="384"/>
      <c r="K30" s="382"/>
      <c r="L30" s="383"/>
      <c r="M30" s="383"/>
      <c r="N30" s="384"/>
      <c r="O30" s="382"/>
      <c r="P30" s="383"/>
      <c r="Q30" s="383"/>
      <c r="R30" s="384"/>
      <c r="S30" s="382"/>
      <c r="T30" s="383"/>
      <c r="U30" s="383"/>
      <c r="V30" s="384"/>
      <c r="W30" s="382"/>
      <c r="X30" s="383"/>
      <c r="Y30" s="383"/>
      <c r="Z30" s="384"/>
      <c r="AA30" s="382"/>
      <c r="AB30" s="383"/>
      <c r="AC30" s="383"/>
      <c r="AD30" s="384"/>
      <c r="AE30" s="382"/>
      <c r="AF30" s="383"/>
      <c r="AG30" s="383"/>
      <c r="AH30" s="384"/>
      <c r="AI30" s="382"/>
      <c r="AJ30" s="383"/>
      <c r="AK30" s="383"/>
      <c r="AL30" s="384"/>
      <c r="AM30" s="337"/>
      <c r="AN30" s="144"/>
      <c r="AO30" s="144"/>
    </row>
    <row r="31" spans="1:41" ht="13">
      <c r="A31" s="368"/>
      <c r="B31" s="385" t="s">
        <v>426</v>
      </c>
      <c r="C31" s="371" t="s">
        <v>447</v>
      </c>
      <c r="D31" s="371" t="s">
        <v>448</v>
      </c>
      <c r="E31" s="371" t="s">
        <v>449</v>
      </c>
      <c r="F31" s="372" t="s">
        <v>446</v>
      </c>
      <c r="G31" s="371" t="s">
        <v>447</v>
      </c>
      <c r="H31" s="371" t="s">
        <v>448</v>
      </c>
      <c r="I31" s="371" t="s">
        <v>449</v>
      </c>
      <c r="J31" s="373" t="s">
        <v>446</v>
      </c>
      <c r="K31" s="370" t="s">
        <v>447</v>
      </c>
      <c r="L31" s="371" t="s">
        <v>448</v>
      </c>
      <c r="M31" s="371" t="s">
        <v>449</v>
      </c>
      <c r="N31" s="373" t="s">
        <v>446</v>
      </c>
      <c r="O31" s="370" t="s">
        <v>447</v>
      </c>
      <c r="P31" s="371" t="s">
        <v>448</v>
      </c>
      <c r="Q31" s="371" t="s">
        <v>449</v>
      </c>
      <c r="R31" s="373" t="s">
        <v>446</v>
      </c>
      <c r="S31" s="370" t="s">
        <v>447</v>
      </c>
      <c r="T31" s="371" t="s">
        <v>448</v>
      </c>
      <c r="U31" s="371" t="s">
        <v>449</v>
      </c>
      <c r="V31" s="373" t="s">
        <v>446</v>
      </c>
      <c r="W31" s="370" t="s">
        <v>447</v>
      </c>
      <c r="X31" s="371" t="s">
        <v>448</v>
      </c>
      <c r="Y31" s="371" t="s">
        <v>449</v>
      </c>
      <c r="Z31" s="373" t="s">
        <v>446</v>
      </c>
      <c r="AA31" s="370" t="s">
        <v>447</v>
      </c>
      <c r="AB31" s="371" t="s">
        <v>448</v>
      </c>
      <c r="AC31" s="371" t="s">
        <v>449</v>
      </c>
      <c r="AD31" s="373" t="s">
        <v>446</v>
      </c>
      <c r="AE31" s="370" t="s">
        <v>447</v>
      </c>
      <c r="AF31" s="371" t="s">
        <v>448</v>
      </c>
      <c r="AG31" s="371" t="s">
        <v>449</v>
      </c>
      <c r="AH31" s="373" t="s">
        <v>446</v>
      </c>
      <c r="AI31" s="370" t="s">
        <v>447</v>
      </c>
      <c r="AJ31" s="371" t="s">
        <v>448</v>
      </c>
      <c r="AK31" s="371" t="s">
        <v>449</v>
      </c>
      <c r="AL31" s="373" t="s">
        <v>446</v>
      </c>
      <c r="AM31" s="407" t="s">
        <v>322</v>
      </c>
      <c r="AN31" s="386" t="s">
        <v>460</v>
      </c>
      <c r="AO31" s="387" t="s">
        <v>461</v>
      </c>
    </row>
    <row r="32" spans="1:41" ht="13">
      <c r="A32" s="331" t="s">
        <v>465</v>
      </c>
      <c r="B32" s="388">
        <v>2005</v>
      </c>
      <c r="C32" s="389">
        <f>+C27</f>
        <v>20000000</v>
      </c>
      <c r="D32" s="380">
        <f>+C$28/12*(12-C$29)</f>
        <v>333333.33333333331</v>
      </c>
      <c r="E32" s="389">
        <f t="shared" ref="E32:E63" si="0">+C32-D32</f>
        <v>19666666.666666668</v>
      </c>
      <c r="F32" s="378" t="e">
        <f>+C$25*E32+D32</f>
        <v>#REF!</v>
      </c>
      <c r="G32" s="146"/>
      <c r="H32" s="146"/>
      <c r="I32" s="146"/>
      <c r="J32" s="378"/>
      <c r="K32" s="331"/>
      <c r="L32" s="146"/>
      <c r="M32" s="146"/>
      <c r="N32" s="378"/>
      <c r="O32" s="331"/>
      <c r="P32" s="146"/>
      <c r="Q32" s="146"/>
      <c r="R32" s="378"/>
      <c r="S32" s="331"/>
      <c r="T32" s="146"/>
      <c r="U32" s="146"/>
      <c r="V32" s="378"/>
      <c r="W32" s="331"/>
      <c r="X32" s="146"/>
      <c r="Y32" s="146"/>
      <c r="Z32" s="378"/>
      <c r="AA32" s="331"/>
      <c r="AB32" s="146"/>
      <c r="AC32" s="146"/>
      <c r="AD32" s="378"/>
      <c r="AE32" s="331"/>
      <c r="AF32" s="146"/>
      <c r="AG32" s="146"/>
      <c r="AH32" s="378"/>
      <c r="AI32" s="331"/>
      <c r="AJ32" s="146"/>
      <c r="AK32" s="146"/>
      <c r="AL32" s="378"/>
      <c r="AM32" s="408" t="e">
        <f>+N32+J32+F32</f>
        <v>#REF!</v>
      </c>
      <c r="AN32" s="146"/>
      <c r="AO32" s="390" t="e">
        <f>+AM32</f>
        <v>#REF!</v>
      </c>
    </row>
    <row r="33" spans="1:41" ht="13">
      <c r="A33" s="331" t="s">
        <v>430</v>
      </c>
      <c r="B33" s="388">
        <v>2005</v>
      </c>
      <c r="C33" s="389">
        <f>+C32</f>
        <v>20000000</v>
      </c>
      <c r="D33" s="380">
        <f>+D32</f>
        <v>333333.33333333331</v>
      </c>
      <c r="E33" s="389">
        <f t="shared" si="0"/>
        <v>19666666.666666668</v>
      </c>
      <c r="F33" s="378" t="e">
        <f>+C$26*E33+D33</f>
        <v>#REF!</v>
      </c>
      <c r="G33" s="146"/>
      <c r="H33" s="146"/>
      <c r="I33" s="146"/>
      <c r="J33" s="378"/>
      <c r="K33" s="331"/>
      <c r="L33" s="146"/>
      <c r="M33" s="146"/>
      <c r="N33" s="378"/>
      <c r="O33" s="331"/>
      <c r="P33" s="146"/>
      <c r="Q33" s="146"/>
      <c r="R33" s="378"/>
      <c r="S33" s="331"/>
      <c r="T33" s="146"/>
      <c r="U33" s="146"/>
      <c r="V33" s="378"/>
      <c r="W33" s="331"/>
      <c r="X33" s="146"/>
      <c r="Y33" s="146"/>
      <c r="Z33" s="378"/>
      <c r="AA33" s="331"/>
      <c r="AB33" s="146"/>
      <c r="AC33" s="146"/>
      <c r="AD33" s="378"/>
      <c r="AE33" s="331"/>
      <c r="AF33" s="146"/>
      <c r="AG33" s="146"/>
      <c r="AH33" s="378"/>
      <c r="AI33" s="331"/>
      <c r="AJ33" s="146"/>
      <c r="AK33" s="146"/>
      <c r="AL33" s="378"/>
      <c r="AM33" s="408" t="e">
        <f t="shared" ref="AM33:AM71" si="1">+N33+J33+F33</f>
        <v>#REF!</v>
      </c>
      <c r="AN33" s="391" t="e">
        <f>+AM33</f>
        <v>#REF!</v>
      </c>
      <c r="AO33" s="329"/>
    </row>
    <row r="34" spans="1:41" ht="13">
      <c r="A34" s="331" t="s">
        <v>465</v>
      </c>
      <c r="B34" s="388">
        <f>+B32+1</f>
        <v>2006</v>
      </c>
      <c r="C34" s="389">
        <f>+E33</f>
        <v>19666666.666666668</v>
      </c>
      <c r="D34" s="389">
        <f>+C$28</f>
        <v>666666.66666666663</v>
      </c>
      <c r="E34" s="389">
        <f t="shared" si="0"/>
        <v>19000000</v>
      </c>
      <c r="F34" s="378" t="e">
        <f>+C$25*E34+D34</f>
        <v>#REF!</v>
      </c>
      <c r="G34" s="389">
        <f>+G$27</f>
        <v>30000000</v>
      </c>
      <c r="H34" s="380">
        <f>+G$28/12*(12-G$29)</f>
        <v>642857.14285714296</v>
      </c>
      <c r="I34" s="389">
        <f t="shared" ref="I34:I65" si="2">+G34-H34</f>
        <v>29357142.857142858</v>
      </c>
      <c r="J34" s="378" t="e">
        <f>+G$25*I34+H34</f>
        <v>#REF!</v>
      </c>
      <c r="K34" s="392">
        <f>+K$27</f>
        <v>20000000</v>
      </c>
      <c r="L34" s="380">
        <f>+K$28/12*(12-K$29)</f>
        <v>125000</v>
      </c>
      <c r="M34" s="389">
        <f t="shared" ref="M34:M65" si="3">+K34-L34</f>
        <v>19875000</v>
      </c>
      <c r="N34" s="378" t="e">
        <f>+K$25*M34+L34</f>
        <v>#REF!</v>
      </c>
      <c r="O34" s="392"/>
      <c r="P34" s="380"/>
      <c r="Q34" s="389"/>
      <c r="R34" s="378"/>
      <c r="S34" s="392"/>
      <c r="T34" s="380"/>
      <c r="U34" s="389"/>
      <c r="V34" s="378"/>
      <c r="W34" s="392"/>
      <c r="X34" s="380"/>
      <c r="Y34" s="389"/>
      <c r="Z34" s="378"/>
      <c r="AA34" s="392"/>
      <c r="AB34" s="380"/>
      <c r="AC34" s="389"/>
      <c r="AD34" s="378"/>
      <c r="AE34" s="392"/>
      <c r="AF34" s="380"/>
      <c r="AG34" s="389"/>
      <c r="AH34" s="378"/>
      <c r="AI34" s="392"/>
      <c r="AJ34" s="380"/>
      <c r="AK34" s="389"/>
      <c r="AL34" s="378"/>
      <c r="AM34" s="408" t="e">
        <f t="shared" si="1"/>
        <v>#REF!</v>
      </c>
      <c r="AN34" s="146"/>
      <c r="AO34" s="390" t="e">
        <f>+AM34</f>
        <v>#REF!</v>
      </c>
    </row>
    <row r="35" spans="1:41" ht="13">
      <c r="A35" s="331" t="s">
        <v>430</v>
      </c>
      <c r="B35" s="388">
        <f t="shared" ref="B35:B71" si="4">+B33+1</f>
        <v>2006</v>
      </c>
      <c r="C35" s="389">
        <f>+C34</f>
        <v>19666666.666666668</v>
      </c>
      <c r="D35" s="389">
        <f>+D34</f>
        <v>666666.66666666663</v>
      </c>
      <c r="E35" s="389">
        <f t="shared" si="0"/>
        <v>19000000</v>
      </c>
      <c r="F35" s="378" t="e">
        <f>+C$26*E35+D35</f>
        <v>#REF!</v>
      </c>
      <c r="G35" s="389">
        <f>+G34</f>
        <v>30000000</v>
      </c>
      <c r="H35" s="380">
        <f>+H34</f>
        <v>642857.14285714296</v>
      </c>
      <c r="I35" s="389">
        <f t="shared" si="2"/>
        <v>29357142.857142858</v>
      </c>
      <c r="J35" s="378" t="e">
        <f>+G$26*I35+H35</f>
        <v>#REF!</v>
      </c>
      <c r="K35" s="392">
        <f>+K34</f>
        <v>20000000</v>
      </c>
      <c r="L35" s="380">
        <f>+L34</f>
        <v>125000</v>
      </c>
      <c r="M35" s="389">
        <f t="shared" si="3"/>
        <v>19875000</v>
      </c>
      <c r="N35" s="378" t="e">
        <f>+K$26*M35+L35</f>
        <v>#REF!</v>
      </c>
      <c r="O35" s="392"/>
      <c r="P35" s="380"/>
      <c r="Q35" s="389"/>
      <c r="R35" s="378"/>
      <c r="S35" s="392"/>
      <c r="T35" s="380"/>
      <c r="U35" s="389"/>
      <c r="V35" s="378"/>
      <c r="W35" s="392"/>
      <c r="X35" s="380"/>
      <c r="Y35" s="389"/>
      <c r="Z35" s="378"/>
      <c r="AA35" s="392"/>
      <c r="AB35" s="380"/>
      <c r="AC35" s="389"/>
      <c r="AD35" s="378"/>
      <c r="AE35" s="392"/>
      <c r="AF35" s="380"/>
      <c r="AG35" s="389"/>
      <c r="AH35" s="378"/>
      <c r="AI35" s="392"/>
      <c r="AJ35" s="380"/>
      <c r="AK35" s="389"/>
      <c r="AL35" s="378"/>
      <c r="AM35" s="408" t="e">
        <f t="shared" si="1"/>
        <v>#REF!</v>
      </c>
      <c r="AN35" s="391" t="e">
        <f>+AM35</f>
        <v>#REF!</v>
      </c>
      <c r="AO35" s="329"/>
    </row>
    <row r="36" spans="1:41" ht="13">
      <c r="A36" s="331" t="s">
        <v>465</v>
      </c>
      <c r="B36" s="388">
        <f t="shared" si="4"/>
        <v>2007</v>
      </c>
      <c r="C36" s="389">
        <f>+E35</f>
        <v>19000000</v>
      </c>
      <c r="D36" s="389">
        <f>+C$28</f>
        <v>666666.66666666663</v>
      </c>
      <c r="E36" s="389">
        <f t="shared" si="0"/>
        <v>18333333.333333332</v>
      </c>
      <c r="F36" s="378" t="e">
        <f>+C$25*E36+D36</f>
        <v>#REF!</v>
      </c>
      <c r="G36" s="389">
        <f>+I35</f>
        <v>29357142.857142858</v>
      </c>
      <c r="H36" s="389">
        <f>+G$28</f>
        <v>857142.85714285716</v>
      </c>
      <c r="I36" s="389">
        <f t="shared" si="2"/>
        <v>28500000</v>
      </c>
      <c r="J36" s="378" t="e">
        <f>+G$25*I36+H36</f>
        <v>#REF!</v>
      </c>
      <c r="K36" s="392">
        <f>+M35</f>
        <v>19875000</v>
      </c>
      <c r="L36" s="389">
        <f>+K$28</f>
        <v>500000</v>
      </c>
      <c r="M36" s="389">
        <f t="shared" si="3"/>
        <v>19375000</v>
      </c>
      <c r="N36" s="378" t="e">
        <f>+K$25*M36+L36</f>
        <v>#REF!</v>
      </c>
      <c r="O36" s="392">
        <f>+O$27</f>
        <v>30000000</v>
      </c>
      <c r="P36" s="380">
        <f>+O$28/12*(12-O$29)</f>
        <v>125000</v>
      </c>
      <c r="Q36" s="389">
        <f t="shared" ref="Q36:Q67" si="5">+O36-P36</f>
        <v>29875000</v>
      </c>
      <c r="R36" s="378" t="e">
        <f>+O$25*Q36+P36</f>
        <v>#REF!</v>
      </c>
      <c r="S36" s="392">
        <f>+S$27</f>
        <v>20000000</v>
      </c>
      <c r="T36" s="380">
        <f>+S$28/12*(12-S$29)</f>
        <v>416666.66666666663</v>
      </c>
      <c r="U36" s="389">
        <f t="shared" ref="U36:U67" si="6">+S36-T36</f>
        <v>19583333.333333332</v>
      </c>
      <c r="V36" s="378" t="e">
        <f>+S$25*U36+T36</f>
        <v>#REF!</v>
      </c>
      <c r="W36" s="392"/>
      <c r="X36" s="389"/>
      <c r="Y36" s="389"/>
      <c r="Z36" s="378"/>
      <c r="AA36" s="392"/>
      <c r="AB36" s="389"/>
      <c r="AC36" s="389"/>
      <c r="AD36" s="378"/>
      <c r="AE36" s="392"/>
      <c r="AF36" s="389"/>
      <c r="AG36" s="389"/>
      <c r="AH36" s="378"/>
      <c r="AI36" s="392"/>
      <c r="AJ36" s="389"/>
      <c r="AK36" s="389"/>
      <c r="AL36" s="378"/>
      <c r="AM36" s="408" t="e">
        <f t="shared" si="1"/>
        <v>#REF!</v>
      </c>
      <c r="AN36" s="146"/>
      <c r="AO36" s="390" t="e">
        <f>+AM36</f>
        <v>#REF!</v>
      </c>
    </row>
    <row r="37" spans="1:41" ht="13">
      <c r="A37" s="331" t="s">
        <v>430</v>
      </c>
      <c r="B37" s="388">
        <f t="shared" si="4"/>
        <v>2007</v>
      </c>
      <c r="C37" s="389">
        <f>+C36</f>
        <v>19000000</v>
      </c>
      <c r="D37" s="389">
        <f>+D36</f>
        <v>666666.66666666663</v>
      </c>
      <c r="E37" s="389">
        <f t="shared" si="0"/>
        <v>18333333.333333332</v>
      </c>
      <c r="F37" s="378" t="e">
        <f>+C$26*E37+D37</f>
        <v>#REF!</v>
      </c>
      <c r="G37" s="389">
        <f>+G36</f>
        <v>29357142.857142858</v>
      </c>
      <c r="H37" s="389">
        <f>+H36</f>
        <v>857142.85714285716</v>
      </c>
      <c r="I37" s="389">
        <f t="shared" si="2"/>
        <v>28500000</v>
      </c>
      <c r="J37" s="378" t="e">
        <f>+G$26*I37+H37</f>
        <v>#REF!</v>
      </c>
      <c r="K37" s="392">
        <f>+K36</f>
        <v>19875000</v>
      </c>
      <c r="L37" s="389">
        <f>+L36</f>
        <v>500000</v>
      </c>
      <c r="M37" s="389">
        <f t="shared" si="3"/>
        <v>19375000</v>
      </c>
      <c r="N37" s="378" t="e">
        <f>+K$26*M37+L37</f>
        <v>#REF!</v>
      </c>
      <c r="O37" s="392">
        <f>+O36</f>
        <v>30000000</v>
      </c>
      <c r="P37" s="380">
        <f>+P36</f>
        <v>125000</v>
      </c>
      <c r="Q37" s="389">
        <f t="shared" si="5"/>
        <v>29875000</v>
      </c>
      <c r="R37" s="378" t="e">
        <f>+O$26*Q37+P37</f>
        <v>#REF!</v>
      </c>
      <c r="S37" s="392">
        <f>+S36</f>
        <v>20000000</v>
      </c>
      <c r="T37" s="380">
        <f>+T36</f>
        <v>416666.66666666663</v>
      </c>
      <c r="U37" s="389">
        <f t="shared" si="6"/>
        <v>19583333.333333332</v>
      </c>
      <c r="V37" s="378" t="e">
        <f>+S$26*U37+T37</f>
        <v>#REF!</v>
      </c>
      <c r="W37" s="392"/>
      <c r="X37" s="389"/>
      <c r="Y37" s="389"/>
      <c r="Z37" s="378"/>
      <c r="AA37" s="392"/>
      <c r="AB37" s="389"/>
      <c r="AC37" s="389"/>
      <c r="AD37" s="378"/>
      <c r="AE37" s="392"/>
      <c r="AF37" s="389"/>
      <c r="AG37" s="389"/>
      <c r="AH37" s="378"/>
      <c r="AI37" s="392"/>
      <c r="AJ37" s="389"/>
      <c r="AK37" s="389"/>
      <c r="AL37" s="378"/>
      <c r="AM37" s="408" t="e">
        <f t="shared" si="1"/>
        <v>#REF!</v>
      </c>
      <c r="AN37" s="391" t="e">
        <f>+AM37</f>
        <v>#REF!</v>
      </c>
      <c r="AO37" s="329"/>
    </row>
    <row r="38" spans="1:41" ht="13">
      <c r="A38" s="331" t="s">
        <v>465</v>
      </c>
      <c r="B38" s="388">
        <f t="shared" si="4"/>
        <v>2008</v>
      </c>
      <c r="C38" s="389">
        <f>+E37</f>
        <v>18333333.333333332</v>
      </c>
      <c r="D38" s="389">
        <f>+C$28</f>
        <v>666666.66666666663</v>
      </c>
      <c r="E38" s="389">
        <f t="shared" si="0"/>
        <v>17666666.666666664</v>
      </c>
      <c r="F38" s="378" t="e">
        <f>+C$25*E38+D38</f>
        <v>#REF!</v>
      </c>
      <c r="G38" s="389">
        <f>+I37</f>
        <v>28500000</v>
      </c>
      <c r="H38" s="389">
        <f>+G$28</f>
        <v>857142.85714285716</v>
      </c>
      <c r="I38" s="389">
        <f t="shared" si="2"/>
        <v>27642857.142857142</v>
      </c>
      <c r="J38" s="378" t="e">
        <f>+G$25*I38+H38</f>
        <v>#REF!</v>
      </c>
      <c r="K38" s="392">
        <f>+M37</f>
        <v>19375000</v>
      </c>
      <c r="L38" s="389">
        <f>+K$28</f>
        <v>500000</v>
      </c>
      <c r="M38" s="389">
        <f t="shared" si="3"/>
        <v>18875000</v>
      </c>
      <c r="N38" s="378" t="e">
        <f>+K$25*M38+L38</f>
        <v>#REF!</v>
      </c>
      <c r="O38" s="392">
        <f>+Q37</f>
        <v>29875000</v>
      </c>
      <c r="P38" s="389">
        <f>+O$28</f>
        <v>750000</v>
      </c>
      <c r="Q38" s="389">
        <f t="shared" si="5"/>
        <v>29125000</v>
      </c>
      <c r="R38" s="378" t="e">
        <f>+O$25*Q38+P38</f>
        <v>#REF!</v>
      </c>
      <c r="S38" s="392">
        <f>+U37</f>
        <v>19583333.333333332</v>
      </c>
      <c r="T38" s="389">
        <f>+S$28</f>
        <v>500000</v>
      </c>
      <c r="U38" s="389">
        <f t="shared" si="6"/>
        <v>19083333.333333332</v>
      </c>
      <c r="V38" s="378" t="e">
        <f>+S$25*U38+T38</f>
        <v>#REF!</v>
      </c>
      <c r="W38" s="392">
        <f>+W$27</f>
        <v>30000000</v>
      </c>
      <c r="X38" s="380">
        <f>+W$28/12*(12-W$29)</f>
        <v>500000</v>
      </c>
      <c r="Y38" s="389">
        <f t="shared" ref="Y38:Y69" si="7">+W38-X38</f>
        <v>29500000</v>
      </c>
      <c r="Z38" s="378" t="e">
        <f>+W$25*Y38+X38</f>
        <v>#REF!</v>
      </c>
      <c r="AA38" s="392">
        <f>+AA$27</f>
        <v>20000000</v>
      </c>
      <c r="AB38" s="380">
        <f>+AA$28/12*(12-AA$29)</f>
        <v>47619.047619047626</v>
      </c>
      <c r="AC38" s="389">
        <f t="shared" ref="AC38:AC69" si="8">+AA38-AB38</f>
        <v>19952380.952380951</v>
      </c>
      <c r="AD38" s="378" t="e">
        <f>+AA$25*AC38+AB38</f>
        <v>#REF!</v>
      </c>
      <c r="AE38" s="392"/>
      <c r="AF38" s="389"/>
      <c r="AG38" s="389"/>
      <c r="AH38" s="378"/>
      <c r="AI38" s="392"/>
      <c r="AJ38" s="389"/>
      <c r="AK38" s="389"/>
      <c r="AL38" s="378"/>
      <c r="AM38" s="408" t="e">
        <f t="shared" si="1"/>
        <v>#REF!</v>
      </c>
      <c r="AN38" s="146"/>
      <c r="AO38" s="390" t="e">
        <f>+AM38</f>
        <v>#REF!</v>
      </c>
    </row>
    <row r="39" spans="1:41" ht="13">
      <c r="A39" s="331" t="s">
        <v>430</v>
      </c>
      <c r="B39" s="388">
        <f t="shared" si="4"/>
        <v>2008</v>
      </c>
      <c r="C39" s="389">
        <f>+C38</f>
        <v>18333333.333333332</v>
      </c>
      <c r="D39" s="389">
        <f>+D38</f>
        <v>666666.66666666663</v>
      </c>
      <c r="E39" s="389">
        <f t="shared" si="0"/>
        <v>17666666.666666664</v>
      </c>
      <c r="F39" s="378" t="e">
        <f>+C$26*E39+D39</f>
        <v>#REF!</v>
      </c>
      <c r="G39" s="389">
        <f>+G38</f>
        <v>28500000</v>
      </c>
      <c r="H39" s="389">
        <f>+H38</f>
        <v>857142.85714285716</v>
      </c>
      <c r="I39" s="389">
        <f t="shared" si="2"/>
        <v>27642857.142857142</v>
      </c>
      <c r="J39" s="378" t="e">
        <f>+G$26*I39+H39</f>
        <v>#REF!</v>
      </c>
      <c r="K39" s="392">
        <f>+K38</f>
        <v>19375000</v>
      </c>
      <c r="L39" s="389">
        <f>+L38</f>
        <v>500000</v>
      </c>
      <c r="M39" s="389">
        <f t="shared" si="3"/>
        <v>18875000</v>
      </c>
      <c r="N39" s="378" t="e">
        <f>+K$26*M39+L39</f>
        <v>#REF!</v>
      </c>
      <c r="O39" s="392">
        <f>+O38</f>
        <v>29875000</v>
      </c>
      <c r="P39" s="389">
        <f>+P38</f>
        <v>750000</v>
      </c>
      <c r="Q39" s="389">
        <f t="shared" si="5"/>
        <v>29125000</v>
      </c>
      <c r="R39" s="378" t="e">
        <f>+O$26*Q39+P39</f>
        <v>#REF!</v>
      </c>
      <c r="S39" s="392">
        <f>+S38</f>
        <v>19583333.333333332</v>
      </c>
      <c r="T39" s="389">
        <f>+T38</f>
        <v>500000</v>
      </c>
      <c r="U39" s="389">
        <f t="shared" si="6"/>
        <v>19083333.333333332</v>
      </c>
      <c r="V39" s="378" t="e">
        <f>+S$26*U39+T39</f>
        <v>#REF!</v>
      </c>
      <c r="W39" s="392">
        <f>+W38</f>
        <v>30000000</v>
      </c>
      <c r="X39" s="380">
        <f>+X38</f>
        <v>500000</v>
      </c>
      <c r="Y39" s="389">
        <f t="shared" si="7"/>
        <v>29500000</v>
      </c>
      <c r="Z39" s="378" t="e">
        <f>+W$26*Y39+X39</f>
        <v>#REF!</v>
      </c>
      <c r="AA39" s="392">
        <f>+AA38</f>
        <v>20000000</v>
      </c>
      <c r="AB39" s="380">
        <f>+AB38</f>
        <v>47619.047619047626</v>
      </c>
      <c r="AC39" s="389">
        <f t="shared" si="8"/>
        <v>19952380.952380951</v>
      </c>
      <c r="AD39" s="378" t="e">
        <f>+AA$26*AC39+AB39</f>
        <v>#REF!</v>
      </c>
      <c r="AE39" s="392"/>
      <c r="AF39" s="389"/>
      <c r="AG39" s="389"/>
      <c r="AH39" s="378"/>
      <c r="AI39" s="392"/>
      <c r="AJ39" s="389"/>
      <c r="AK39" s="389"/>
      <c r="AL39" s="378"/>
      <c r="AM39" s="408" t="e">
        <f t="shared" si="1"/>
        <v>#REF!</v>
      </c>
      <c r="AN39" s="391" t="e">
        <f>+AM39</f>
        <v>#REF!</v>
      </c>
      <c r="AO39" s="329"/>
    </row>
    <row r="40" spans="1:41" ht="13">
      <c r="A40" s="331" t="s">
        <v>465</v>
      </c>
      <c r="B40" s="388">
        <f t="shared" si="4"/>
        <v>2009</v>
      </c>
      <c r="C40" s="389">
        <f>+E39</f>
        <v>17666666.666666664</v>
      </c>
      <c r="D40" s="389">
        <f>+C$28</f>
        <v>666666.66666666663</v>
      </c>
      <c r="E40" s="389">
        <f t="shared" si="0"/>
        <v>16999999.999999996</v>
      </c>
      <c r="F40" s="378" t="e">
        <f>+C$25*E40+D40</f>
        <v>#REF!</v>
      </c>
      <c r="G40" s="389">
        <f>+I39</f>
        <v>27642857.142857142</v>
      </c>
      <c r="H40" s="389">
        <f>+G$28</f>
        <v>857142.85714285716</v>
      </c>
      <c r="I40" s="389">
        <f t="shared" si="2"/>
        <v>26785714.285714284</v>
      </c>
      <c r="J40" s="378" t="e">
        <f>+G$25*I40+H40</f>
        <v>#REF!</v>
      </c>
      <c r="K40" s="392">
        <f>+M39</f>
        <v>18875000</v>
      </c>
      <c r="L40" s="389">
        <f>+K$28</f>
        <v>500000</v>
      </c>
      <c r="M40" s="389">
        <f t="shared" si="3"/>
        <v>18375000</v>
      </c>
      <c r="N40" s="378" t="e">
        <f>+K$25*M40+L40</f>
        <v>#REF!</v>
      </c>
      <c r="O40" s="392">
        <f>+Q39</f>
        <v>29125000</v>
      </c>
      <c r="P40" s="389">
        <f>+O$28</f>
        <v>750000</v>
      </c>
      <c r="Q40" s="389">
        <f t="shared" si="5"/>
        <v>28375000</v>
      </c>
      <c r="R40" s="378" t="e">
        <f>+O$25*Q40+P40</f>
        <v>#REF!</v>
      </c>
      <c r="S40" s="392">
        <f>+U39</f>
        <v>19083333.333333332</v>
      </c>
      <c r="T40" s="389">
        <f>+S$28</f>
        <v>500000</v>
      </c>
      <c r="U40" s="389">
        <f t="shared" si="6"/>
        <v>18583333.333333332</v>
      </c>
      <c r="V40" s="378" t="e">
        <f>+S$25*U40+T40</f>
        <v>#REF!</v>
      </c>
      <c r="W40" s="392">
        <f>+Y39</f>
        <v>29500000</v>
      </c>
      <c r="X40" s="389">
        <f>+W$28</f>
        <v>750000</v>
      </c>
      <c r="Y40" s="389">
        <f t="shared" si="7"/>
        <v>28750000</v>
      </c>
      <c r="Z40" s="378" t="e">
        <f>+W$25*Y40+X40</f>
        <v>#REF!</v>
      </c>
      <c r="AA40" s="392">
        <f>+AC39</f>
        <v>19952380.952380951</v>
      </c>
      <c r="AB40" s="389">
        <f>+AA$28</f>
        <v>571428.57142857148</v>
      </c>
      <c r="AC40" s="389">
        <f t="shared" si="8"/>
        <v>19380952.380952381</v>
      </c>
      <c r="AD40" s="378" t="e">
        <f>+AA$25*AC40+AB40</f>
        <v>#REF!</v>
      </c>
      <c r="AE40" s="392">
        <f>+AE$27</f>
        <v>30000000</v>
      </c>
      <c r="AF40" s="380">
        <f>+AE$28/12*(12-AE$29)</f>
        <v>400000</v>
      </c>
      <c r="AG40" s="389">
        <f t="shared" ref="AG40:AG71" si="9">+AE40-AF40</f>
        <v>29600000</v>
      </c>
      <c r="AH40" s="378" t="e">
        <f>+AE$25*AG40+AF40</f>
        <v>#REF!</v>
      </c>
      <c r="AI40" s="392">
        <f>+AI$27</f>
        <v>20000000</v>
      </c>
      <c r="AJ40" s="380">
        <f>+AI$28/12*(12-AI$29)</f>
        <v>166666.66666666666</v>
      </c>
      <c r="AK40" s="389">
        <f t="shared" ref="AK40:AK71" si="10">+AI40-AJ40</f>
        <v>19833333.333333332</v>
      </c>
      <c r="AL40" s="378" t="e">
        <f>+AI$25*AK40+AJ40</f>
        <v>#REF!</v>
      </c>
      <c r="AM40" s="408" t="e">
        <f t="shared" si="1"/>
        <v>#REF!</v>
      </c>
      <c r="AN40" s="146"/>
      <c r="AO40" s="390" t="e">
        <f>+AM40</f>
        <v>#REF!</v>
      </c>
    </row>
    <row r="41" spans="1:41" ht="13">
      <c r="A41" s="331" t="s">
        <v>430</v>
      </c>
      <c r="B41" s="388">
        <f t="shared" si="4"/>
        <v>2009</v>
      </c>
      <c r="C41" s="389">
        <f>+C40</f>
        <v>17666666.666666664</v>
      </c>
      <c r="D41" s="389">
        <f>+D40</f>
        <v>666666.66666666663</v>
      </c>
      <c r="E41" s="389">
        <f t="shared" si="0"/>
        <v>16999999.999999996</v>
      </c>
      <c r="F41" s="378" t="e">
        <f>+C$26*E41+D41</f>
        <v>#REF!</v>
      </c>
      <c r="G41" s="389">
        <f>+G40</f>
        <v>27642857.142857142</v>
      </c>
      <c r="H41" s="389">
        <f>+H40</f>
        <v>857142.85714285716</v>
      </c>
      <c r="I41" s="389">
        <f t="shared" si="2"/>
        <v>26785714.285714284</v>
      </c>
      <c r="J41" s="378" t="e">
        <f>+G$26*I41+H41</f>
        <v>#REF!</v>
      </c>
      <c r="K41" s="392">
        <f>+K40</f>
        <v>18875000</v>
      </c>
      <c r="L41" s="389">
        <f>+L40</f>
        <v>500000</v>
      </c>
      <c r="M41" s="389">
        <f t="shared" si="3"/>
        <v>18375000</v>
      </c>
      <c r="N41" s="378" t="e">
        <f>+K$26*M41+L41</f>
        <v>#REF!</v>
      </c>
      <c r="O41" s="392">
        <f>+O40</f>
        <v>29125000</v>
      </c>
      <c r="P41" s="389">
        <f>+P40</f>
        <v>750000</v>
      </c>
      <c r="Q41" s="389">
        <f t="shared" si="5"/>
        <v>28375000</v>
      </c>
      <c r="R41" s="378" t="e">
        <f>+O$26*Q41+P41</f>
        <v>#REF!</v>
      </c>
      <c r="S41" s="392">
        <f>+S40</f>
        <v>19083333.333333332</v>
      </c>
      <c r="T41" s="389">
        <f>+T40</f>
        <v>500000</v>
      </c>
      <c r="U41" s="389">
        <f t="shared" si="6"/>
        <v>18583333.333333332</v>
      </c>
      <c r="V41" s="378" t="e">
        <f>+S$26*U41+T41</f>
        <v>#REF!</v>
      </c>
      <c r="W41" s="392">
        <f>+W40</f>
        <v>29500000</v>
      </c>
      <c r="X41" s="389">
        <f>+X40</f>
        <v>750000</v>
      </c>
      <c r="Y41" s="389">
        <f t="shared" si="7"/>
        <v>28750000</v>
      </c>
      <c r="Z41" s="378" t="e">
        <f>+W$26*Y41+X41</f>
        <v>#REF!</v>
      </c>
      <c r="AA41" s="392">
        <f>+AA40</f>
        <v>19952380.952380951</v>
      </c>
      <c r="AB41" s="389">
        <f>+AB40</f>
        <v>571428.57142857148</v>
      </c>
      <c r="AC41" s="389">
        <f t="shared" si="8"/>
        <v>19380952.380952381</v>
      </c>
      <c r="AD41" s="378" t="e">
        <f>+AA$26*AC41+AB41</f>
        <v>#REF!</v>
      </c>
      <c r="AE41" s="392">
        <f>+AE40</f>
        <v>30000000</v>
      </c>
      <c r="AF41" s="380">
        <f>+AF40</f>
        <v>400000</v>
      </c>
      <c r="AG41" s="389">
        <f t="shared" si="9"/>
        <v>29600000</v>
      </c>
      <c r="AH41" s="378" t="e">
        <f>+AE$26*AG41+AF41</f>
        <v>#REF!</v>
      </c>
      <c r="AI41" s="392">
        <f>+AI40</f>
        <v>20000000</v>
      </c>
      <c r="AJ41" s="380">
        <f>+AJ40</f>
        <v>166666.66666666666</v>
      </c>
      <c r="AK41" s="389">
        <f t="shared" si="10"/>
        <v>19833333.333333332</v>
      </c>
      <c r="AL41" s="378" t="e">
        <f>+AI$26*AK41+AJ41</f>
        <v>#REF!</v>
      </c>
      <c r="AM41" s="408" t="e">
        <f t="shared" si="1"/>
        <v>#REF!</v>
      </c>
      <c r="AN41" s="391" t="e">
        <f>+AM41</f>
        <v>#REF!</v>
      </c>
      <c r="AO41" s="329"/>
    </row>
    <row r="42" spans="1:41" ht="13">
      <c r="A42" s="331" t="s">
        <v>465</v>
      </c>
      <c r="B42" s="388">
        <f t="shared" si="4"/>
        <v>2010</v>
      </c>
      <c r="C42" s="389">
        <f>+E41</f>
        <v>16999999.999999996</v>
      </c>
      <c r="D42" s="389">
        <f>+C$28</f>
        <v>666666.66666666663</v>
      </c>
      <c r="E42" s="389">
        <f t="shared" si="0"/>
        <v>16333333.33333333</v>
      </c>
      <c r="F42" s="378" t="e">
        <f>+C$25*E42+D42</f>
        <v>#REF!</v>
      </c>
      <c r="G42" s="389">
        <f>+I41</f>
        <v>26785714.285714284</v>
      </c>
      <c r="H42" s="389">
        <f>+G$28</f>
        <v>857142.85714285716</v>
      </c>
      <c r="I42" s="389">
        <f t="shared" si="2"/>
        <v>25928571.428571425</v>
      </c>
      <c r="J42" s="378" t="e">
        <f>+G$25*I42+H42</f>
        <v>#REF!</v>
      </c>
      <c r="K42" s="392">
        <f>+M41</f>
        <v>18375000</v>
      </c>
      <c r="L42" s="389">
        <f>+K$28</f>
        <v>500000</v>
      </c>
      <c r="M42" s="389">
        <f t="shared" si="3"/>
        <v>17875000</v>
      </c>
      <c r="N42" s="378" t="e">
        <f>+K$25*M42+L42</f>
        <v>#REF!</v>
      </c>
      <c r="O42" s="392">
        <f>+Q41</f>
        <v>28375000</v>
      </c>
      <c r="P42" s="389">
        <f>+O$28</f>
        <v>750000</v>
      </c>
      <c r="Q42" s="389">
        <f t="shared" si="5"/>
        <v>27625000</v>
      </c>
      <c r="R42" s="378" t="e">
        <f>+O$25*Q42+P42</f>
        <v>#REF!</v>
      </c>
      <c r="S42" s="392">
        <f>+U41</f>
        <v>18583333.333333332</v>
      </c>
      <c r="T42" s="389">
        <f>+S$28</f>
        <v>500000</v>
      </c>
      <c r="U42" s="389">
        <f t="shared" si="6"/>
        <v>18083333.333333332</v>
      </c>
      <c r="V42" s="378" t="e">
        <f>+S$25*U42+T42</f>
        <v>#REF!</v>
      </c>
      <c r="W42" s="392">
        <f>+Y41</f>
        <v>28750000</v>
      </c>
      <c r="X42" s="389">
        <f>+W$28</f>
        <v>750000</v>
      </c>
      <c r="Y42" s="389">
        <f t="shared" si="7"/>
        <v>28000000</v>
      </c>
      <c r="Z42" s="378" t="e">
        <f>+W$25*Y42+X42</f>
        <v>#REF!</v>
      </c>
      <c r="AA42" s="392">
        <f>+AC41</f>
        <v>19380952.380952381</v>
      </c>
      <c r="AB42" s="389">
        <f>+AA$28</f>
        <v>571428.57142857148</v>
      </c>
      <c r="AC42" s="389">
        <f t="shared" si="8"/>
        <v>18809523.80952381</v>
      </c>
      <c r="AD42" s="378" t="e">
        <f>+AA$25*AC42+AB42</f>
        <v>#REF!</v>
      </c>
      <c r="AE42" s="392">
        <f>+AG41</f>
        <v>29600000</v>
      </c>
      <c r="AF42" s="389">
        <f>+AE$28</f>
        <v>1200000</v>
      </c>
      <c r="AG42" s="389">
        <f t="shared" si="9"/>
        <v>28400000</v>
      </c>
      <c r="AH42" s="378" t="e">
        <f>+AE$25*AG42+AF42</f>
        <v>#REF!</v>
      </c>
      <c r="AI42" s="392">
        <f>+AK41</f>
        <v>19833333.333333332</v>
      </c>
      <c r="AJ42" s="389">
        <f>+AI$28</f>
        <v>666666.66666666663</v>
      </c>
      <c r="AK42" s="389">
        <f t="shared" si="10"/>
        <v>19166666.666666664</v>
      </c>
      <c r="AL42" s="378" t="e">
        <f>+AI$25*AK42+AJ42</f>
        <v>#REF!</v>
      </c>
      <c r="AM42" s="408" t="e">
        <f t="shared" si="1"/>
        <v>#REF!</v>
      </c>
      <c r="AN42" s="146"/>
      <c r="AO42" s="390" t="e">
        <f>+AM42</f>
        <v>#REF!</v>
      </c>
    </row>
    <row r="43" spans="1:41" ht="13">
      <c r="A43" s="331" t="s">
        <v>430</v>
      </c>
      <c r="B43" s="388">
        <f t="shared" si="4"/>
        <v>2010</v>
      </c>
      <c r="C43" s="389">
        <f>+C42</f>
        <v>16999999.999999996</v>
      </c>
      <c r="D43" s="389">
        <f>+D42</f>
        <v>666666.66666666663</v>
      </c>
      <c r="E43" s="389">
        <f t="shared" si="0"/>
        <v>16333333.33333333</v>
      </c>
      <c r="F43" s="378" t="e">
        <f>+C$26*E43+D43</f>
        <v>#REF!</v>
      </c>
      <c r="G43" s="389">
        <f>+G42</f>
        <v>26785714.285714284</v>
      </c>
      <c r="H43" s="389">
        <f>+H42</f>
        <v>857142.85714285716</v>
      </c>
      <c r="I43" s="389">
        <f t="shared" si="2"/>
        <v>25928571.428571425</v>
      </c>
      <c r="J43" s="378" t="e">
        <f>+G$26*I43+H43</f>
        <v>#REF!</v>
      </c>
      <c r="K43" s="392">
        <f>+K42</f>
        <v>18375000</v>
      </c>
      <c r="L43" s="389">
        <f>+L42</f>
        <v>500000</v>
      </c>
      <c r="M43" s="389">
        <f t="shared" si="3"/>
        <v>17875000</v>
      </c>
      <c r="N43" s="378" t="e">
        <f>+K$26*M43+L43</f>
        <v>#REF!</v>
      </c>
      <c r="O43" s="392">
        <f>+O42</f>
        <v>28375000</v>
      </c>
      <c r="P43" s="389">
        <f>+P42</f>
        <v>750000</v>
      </c>
      <c r="Q43" s="389">
        <f t="shared" si="5"/>
        <v>27625000</v>
      </c>
      <c r="R43" s="378" t="e">
        <f>+O$26*Q43+P43</f>
        <v>#REF!</v>
      </c>
      <c r="S43" s="392">
        <f>+S42</f>
        <v>18583333.333333332</v>
      </c>
      <c r="T43" s="389">
        <f>+T42</f>
        <v>500000</v>
      </c>
      <c r="U43" s="389">
        <f t="shared" si="6"/>
        <v>18083333.333333332</v>
      </c>
      <c r="V43" s="378" t="e">
        <f>+S$26*U43+T43</f>
        <v>#REF!</v>
      </c>
      <c r="W43" s="392">
        <f>+W42</f>
        <v>28750000</v>
      </c>
      <c r="X43" s="389">
        <f>+X42</f>
        <v>750000</v>
      </c>
      <c r="Y43" s="389">
        <f t="shared" si="7"/>
        <v>28000000</v>
      </c>
      <c r="Z43" s="378" t="e">
        <f>+W$26*Y43+X43</f>
        <v>#REF!</v>
      </c>
      <c r="AA43" s="392">
        <f>+AA42</f>
        <v>19380952.380952381</v>
      </c>
      <c r="AB43" s="389">
        <f>+AB42</f>
        <v>571428.57142857148</v>
      </c>
      <c r="AC43" s="389">
        <f t="shared" si="8"/>
        <v>18809523.80952381</v>
      </c>
      <c r="AD43" s="378" t="e">
        <f>+AA$26*AC43+AB43</f>
        <v>#REF!</v>
      </c>
      <c r="AE43" s="392">
        <f>+AE42</f>
        <v>29600000</v>
      </c>
      <c r="AF43" s="389">
        <f>+AF42</f>
        <v>1200000</v>
      </c>
      <c r="AG43" s="389">
        <f t="shared" si="9"/>
        <v>28400000</v>
      </c>
      <c r="AH43" s="378" t="e">
        <f>+AE$26*AG43+AF43</f>
        <v>#REF!</v>
      </c>
      <c r="AI43" s="392">
        <f>+AI42</f>
        <v>19833333.333333332</v>
      </c>
      <c r="AJ43" s="389">
        <f>+AJ42</f>
        <v>666666.66666666663</v>
      </c>
      <c r="AK43" s="389">
        <f t="shared" si="10"/>
        <v>19166666.666666664</v>
      </c>
      <c r="AL43" s="378" t="e">
        <f>+AI$26*AK43+AJ43</f>
        <v>#REF!</v>
      </c>
      <c r="AM43" s="408" t="e">
        <f t="shared" si="1"/>
        <v>#REF!</v>
      </c>
      <c r="AN43" s="391" t="e">
        <f>+AM43</f>
        <v>#REF!</v>
      </c>
      <c r="AO43" s="329"/>
    </row>
    <row r="44" spans="1:41" ht="13">
      <c r="A44" s="331" t="s">
        <v>465</v>
      </c>
      <c r="B44" s="388">
        <f t="shared" si="4"/>
        <v>2011</v>
      </c>
      <c r="C44" s="389">
        <f>+E43</f>
        <v>16333333.33333333</v>
      </c>
      <c r="D44" s="389">
        <f>+C$28</f>
        <v>666666.66666666663</v>
      </c>
      <c r="E44" s="389">
        <f t="shared" si="0"/>
        <v>15666666.666666664</v>
      </c>
      <c r="F44" s="378" t="e">
        <f>+C$25*E44+D44</f>
        <v>#REF!</v>
      </c>
      <c r="G44" s="389">
        <f>+I43</f>
        <v>25928571.428571425</v>
      </c>
      <c r="H44" s="389">
        <f>+G$28</f>
        <v>857142.85714285716</v>
      </c>
      <c r="I44" s="389">
        <f t="shared" si="2"/>
        <v>25071428.571428567</v>
      </c>
      <c r="J44" s="378" t="e">
        <f>+G$25*I44+H44</f>
        <v>#REF!</v>
      </c>
      <c r="K44" s="392">
        <f>+M43</f>
        <v>17875000</v>
      </c>
      <c r="L44" s="389">
        <f>+K$28</f>
        <v>500000</v>
      </c>
      <c r="M44" s="389">
        <f t="shared" si="3"/>
        <v>17375000</v>
      </c>
      <c r="N44" s="378" t="e">
        <f>+K$25*M44+L44</f>
        <v>#REF!</v>
      </c>
      <c r="O44" s="392">
        <f>+Q43</f>
        <v>27625000</v>
      </c>
      <c r="P44" s="389">
        <f>+O$28</f>
        <v>750000</v>
      </c>
      <c r="Q44" s="389">
        <f t="shared" si="5"/>
        <v>26875000</v>
      </c>
      <c r="R44" s="378" t="e">
        <f>+O$25*Q44+P44</f>
        <v>#REF!</v>
      </c>
      <c r="S44" s="392">
        <f>+U43</f>
        <v>18083333.333333332</v>
      </c>
      <c r="T44" s="389">
        <f>+S$28</f>
        <v>500000</v>
      </c>
      <c r="U44" s="389">
        <f t="shared" si="6"/>
        <v>17583333.333333332</v>
      </c>
      <c r="V44" s="378" t="e">
        <f>+S$25*U44+T44</f>
        <v>#REF!</v>
      </c>
      <c r="W44" s="392">
        <f>+Y43</f>
        <v>28000000</v>
      </c>
      <c r="X44" s="389">
        <f>+W$28</f>
        <v>750000</v>
      </c>
      <c r="Y44" s="389">
        <f t="shared" si="7"/>
        <v>27250000</v>
      </c>
      <c r="Z44" s="378" t="e">
        <f>+W$25*Y44+X44</f>
        <v>#REF!</v>
      </c>
      <c r="AA44" s="392">
        <f>+AC43</f>
        <v>18809523.80952381</v>
      </c>
      <c r="AB44" s="389">
        <f>+AA$28</f>
        <v>571428.57142857148</v>
      </c>
      <c r="AC44" s="389">
        <f t="shared" si="8"/>
        <v>18238095.238095239</v>
      </c>
      <c r="AD44" s="378" t="e">
        <f>+AA$25*AC44+AB44</f>
        <v>#REF!</v>
      </c>
      <c r="AE44" s="392">
        <f>+AG43</f>
        <v>28400000</v>
      </c>
      <c r="AF44" s="389">
        <f>+AE$28</f>
        <v>1200000</v>
      </c>
      <c r="AG44" s="389">
        <f t="shared" si="9"/>
        <v>27200000</v>
      </c>
      <c r="AH44" s="378" t="e">
        <f>+AE$25*AG44+AF44</f>
        <v>#REF!</v>
      </c>
      <c r="AI44" s="392">
        <f>+AK43</f>
        <v>19166666.666666664</v>
      </c>
      <c r="AJ44" s="389">
        <f>+AI$28</f>
        <v>666666.66666666663</v>
      </c>
      <c r="AK44" s="389">
        <f t="shared" si="10"/>
        <v>18499999.999999996</v>
      </c>
      <c r="AL44" s="378" t="e">
        <f>+AI$25*AK44+AJ44</f>
        <v>#REF!</v>
      </c>
      <c r="AM44" s="408" t="e">
        <f t="shared" si="1"/>
        <v>#REF!</v>
      </c>
      <c r="AN44" s="146"/>
      <c r="AO44" s="390" t="e">
        <f>+AM44</f>
        <v>#REF!</v>
      </c>
    </row>
    <row r="45" spans="1:41" ht="13">
      <c r="A45" s="331" t="s">
        <v>430</v>
      </c>
      <c r="B45" s="388">
        <f t="shared" si="4"/>
        <v>2011</v>
      </c>
      <c r="C45" s="389">
        <f>+C44</f>
        <v>16333333.33333333</v>
      </c>
      <c r="D45" s="389">
        <f>+D44</f>
        <v>666666.66666666663</v>
      </c>
      <c r="E45" s="389">
        <f t="shared" si="0"/>
        <v>15666666.666666664</v>
      </c>
      <c r="F45" s="378" t="e">
        <f>+C$26*E45+D45</f>
        <v>#REF!</v>
      </c>
      <c r="G45" s="389">
        <f>+G44</f>
        <v>25928571.428571425</v>
      </c>
      <c r="H45" s="389">
        <f>+H44</f>
        <v>857142.85714285716</v>
      </c>
      <c r="I45" s="389">
        <f t="shared" si="2"/>
        <v>25071428.571428567</v>
      </c>
      <c r="J45" s="378" t="e">
        <f>+G$26*I45+H45</f>
        <v>#REF!</v>
      </c>
      <c r="K45" s="392">
        <f>+K44</f>
        <v>17875000</v>
      </c>
      <c r="L45" s="389">
        <f>+L44</f>
        <v>500000</v>
      </c>
      <c r="M45" s="389">
        <f t="shared" si="3"/>
        <v>17375000</v>
      </c>
      <c r="N45" s="378" t="e">
        <f>+K$26*M45+L45</f>
        <v>#REF!</v>
      </c>
      <c r="O45" s="392">
        <f>+O44</f>
        <v>27625000</v>
      </c>
      <c r="P45" s="389">
        <f>+P44</f>
        <v>750000</v>
      </c>
      <c r="Q45" s="389">
        <f t="shared" si="5"/>
        <v>26875000</v>
      </c>
      <c r="R45" s="378" t="e">
        <f>+O$26*Q45+P45</f>
        <v>#REF!</v>
      </c>
      <c r="S45" s="392">
        <f>+S44</f>
        <v>18083333.333333332</v>
      </c>
      <c r="T45" s="389">
        <f>+T44</f>
        <v>500000</v>
      </c>
      <c r="U45" s="389">
        <f t="shared" si="6"/>
        <v>17583333.333333332</v>
      </c>
      <c r="V45" s="378" t="e">
        <f>+S$26*U45+T45</f>
        <v>#REF!</v>
      </c>
      <c r="W45" s="392">
        <f>+W44</f>
        <v>28000000</v>
      </c>
      <c r="X45" s="389">
        <f>+X44</f>
        <v>750000</v>
      </c>
      <c r="Y45" s="389">
        <f t="shared" si="7"/>
        <v>27250000</v>
      </c>
      <c r="Z45" s="378" t="e">
        <f>+W$26*Y45+X45</f>
        <v>#REF!</v>
      </c>
      <c r="AA45" s="392">
        <f>+AA44</f>
        <v>18809523.80952381</v>
      </c>
      <c r="AB45" s="389">
        <f>+AB44</f>
        <v>571428.57142857148</v>
      </c>
      <c r="AC45" s="389">
        <f t="shared" si="8"/>
        <v>18238095.238095239</v>
      </c>
      <c r="AD45" s="378" t="e">
        <f>+AA$26*AC45+AB45</f>
        <v>#REF!</v>
      </c>
      <c r="AE45" s="392">
        <f>+AE44</f>
        <v>28400000</v>
      </c>
      <c r="AF45" s="389">
        <f>+AF44</f>
        <v>1200000</v>
      </c>
      <c r="AG45" s="389">
        <f t="shared" si="9"/>
        <v>27200000</v>
      </c>
      <c r="AH45" s="378" t="e">
        <f>+AE$26*AG45+AF45</f>
        <v>#REF!</v>
      </c>
      <c r="AI45" s="392">
        <f>+AI44</f>
        <v>19166666.666666664</v>
      </c>
      <c r="AJ45" s="389">
        <f>+AJ44</f>
        <v>666666.66666666663</v>
      </c>
      <c r="AK45" s="389">
        <f t="shared" si="10"/>
        <v>18499999.999999996</v>
      </c>
      <c r="AL45" s="378" t="e">
        <f>+AI$26*AK45+AJ45</f>
        <v>#REF!</v>
      </c>
      <c r="AM45" s="408" t="e">
        <f t="shared" si="1"/>
        <v>#REF!</v>
      </c>
      <c r="AN45" s="391" t="e">
        <f>+AM45</f>
        <v>#REF!</v>
      </c>
      <c r="AO45" s="329"/>
    </row>
    <row r="46" spans="1:41" ht="13">
      <c r="A46" s="331" t="s">
        <v>465</v>
      </c>
      <c r="B46" s="388">
        <f t="shared" si="4"/>
        <v>2012</v>
      </c>
      <c r="C46" s="389">
        <f>+E45</f>
        <v>15666666.666666664</v>
      </c>
      <c r="D46" s="389">
        <f>+C$28</f>
        <v>666666.66666666663</v>
      </c>
      <c r="E46" s="389">
        <f t="shared" si="0"/>
        <v>14999999.999999998</v>
      </c>
      <c r="F46" s="378" t="e">
        <f>+C$25*E46+D46</f>
        <v>#REF!</v>
      </c>
      <c r="G46" s="389">
        <f>+I45</f>
        <v>25071428.571428567</v>
      </c>
      <c r="H46" s="389">
        <f>+G$28</f>
        <v>857142.85714285716</v>
      </c>
      <c r="I46" s="389">
        <f t="shared" si="2"/>
        <v>24214285.714285709</v>
      </c>
      <c r="J46" s="378" t="e">
        <f>+G$25*I46+H46</f>
        <v>#REF!</v>
      </c>
      <c r="K46" s="392">
        <f>+M45</f>
        <v>17375000</v>
      </c>
      <c r="L46" s="389">
        <f>+K$28</f>
        <v>500000</v>
      </c>
      <c r="M46" s="389">
        <f t="shared" si="3"/>
        <v>16875000</v>
      </c>
      <c r="N46" s="378" t="e">
        <f>+K$25*M46+L46</f>
        <v>#REF!</v>
      </c>
      <c r="O46" s="392">
        <f>+Q45</f>
        <v>26875000</v>
      </c>
      <c r="P46" s="389">
        <f>+O$28</f>
        <v>750000</v>
      </c>
      <c r="Q46" s="389">
        <f t="shared" si="5"/>
        <v>26125000</v>
      </c>
      <c r="R46" s="378" t="e">
        <f>+O$25*Q46+P46</f>
        <v>#REF!</v>
      </c>
      <c r="S46" s="392">
        <f>+U45</f>
        <v>17583333.333333332</v>
      </c>
      <c r="T46" s="389">
        <f>+S$28</f>
        <v>500000</v>
      </c>
      <c r="U46" s="389">
        <f t="shared" si="6"/>
        <v>17083333.333333332</v>
      </c>
      <c r="V46" s="378" t="e">
        <f>+S$25*U46+T46</f>
        <v>#REF!</v>
      </c>
      <c r="W46" s="392">
        <f>+Y45</f>
        <v>27250000</v>
      </c>
      <c r="X46" s="389">
        <f>+W$28</f>
        <v>750000</v>
      </c>
      <c r="Y46" s="389">
        <f t="shared" si="7"/>
        <v>26500000</v>
      </c>
      <c r="Z46" s="378" t="e">
        <f>+W$25*Y46+X46</f>
        <v>#REF!</v>
      </c>
      <c r="AA46" s="392">
        <f>+AC45</f>
        <v>18238095.238095239</v>
      </c>
      <c r="AB46" s="389">
        <f>+AA$28</f>
        <v>571428.57142857148</v>
      </c>
      <c r="AC46" s="389">
        <f t="shared" si="8"/>
        <v>17666666.666666668</v>
      </c>
      <c r="AD46" s="378" t="e">
        <f>+AA$25*AC46+AB46</f>
        <v>#REF!</v>
      </c>
      <c r="AE46" s="392">
        <f>+AG45</f>
        <v>27200000</v>
      </c>
      <c r="AF46" s="389">
        <f>+AE$28</f>
        <v>1200000</v>
      </c>
      <c r="AG46" s="389">
        <f t="shared" si="9"/>
        <v>26000000</v>
      </c>
      <c r="AH46" s="378" t="e">
        <f>+AE$25*AG46+AF46</f>
        <v>#REF!</v>
      </c>
      <c r="AI46" s="392">
        <f>+AK45</f>
        <v>18499999.999999996</v>
      </c>
      <c r="AJ46" s="389">
        <f>+AI$28</f>
        <v>666666.66666666663</v>
      </c>
      <c r="AK46" s="389">
        <f t="shared" si="10"/>
        <v>17833333.333333328</v>
      </c>
      <c r="AL46" s="378" t="e">
        <f>+AI$25*AK46+AJ46</f>
        <v>#REF!</v>
      </c>
      <c r="AM46" s="408" t="e">
        <f t="shared" si="1"/>
        <v>#REF!</v>
      </c>
      <c r="AN46" s="146"/>
      <c r="AO46" s="390" t="e">
        <f>+AM46</f>
        <v>#REF!</v>
      </c>
    </row>
    <row r="47" spans="1:41" ht="13">
      <c r="A47" s="331" t="s">
        <v>430</v>
      </c>
      <c r="B47" s="388">
        <f t="shared" si="4"/>
        <v>2012</v>
      </c>
      <c r="C47" s="389">
        <f>+C46</f>
        <v>15666666.666666664</v>
      </c>
      <c r="D47" s="389">
        <f>+D46</f>
        <v>666666.66666666663</v>
      </c>
      <c r="E47" s="389">
        <f t="shared" si="0"/>
        <v>14999999.999999998</v>
      </c>
      <c r="F47" s="378" t="e">
        <f>+C$26*E47+D47</f>
        <v>#REF!</v>
      </c>
      <c r="G47" s="389">
        <f>+G46</f>
        <v>25071428.571428567</v>
      </c>
      <c r="H47" s="389">
        <f>+H46</f>
        <v>857142.85714285716</v>
      </c>
      <c r="I47" s="389">
        <f t="shared" si="2"/>
        <v>24214285.714285709</v>
      </c>
      <c r="J47" s="378" t="e">
        <f>+G$26*I47+H47</f>
        <v>#REF!</v>
      </c>
      <c r="K47" s="392">
        <f>+K46</f>
        <v>17375000</v>
      </c>
      <c r="L47" s="389">
        <f>+L46</f>
        <v>500000</v>
      </c>
      <c r="M47" s="389">
        <f t="shared" si="3"/>
        <v>16875000</v>
      </c>
      <c r="N47" s="378" t="e">
        <f>+K$26*M47+L47</f>
        <v>#REF!</v>
      </c>
      <c r="O47" s="392">
        <f>+O46</f>
        <v>26875000</v>
      </c>
      <c r="P47" s="389">
        <f>+P46</f>
        <v>750000</v>
      </c>
      <c r="Q47" s="389">
        <f t="shared" si="5"/>
        <v>26125000</v>
      </c>
      <c r="R47" s="378" t="e">
        <f>+O$26*Q47+P47</f>
        <v>#REF!</v>
      </c>
      <c r="S47" s="392">
        <f>+S46</f>
        <v>17583333.333333332</v>
      </c>
      <c r="T47" s="389">
        <f>+T46</f>
        <v>500000</v>
      </c>
      <c r="U47" s="389">
        <f t="shared" si="6"/>
        <v>17083333.333333332</v>
      </c>
      <c r="V47" s="378" t="e">
        <f>+S$26*U47+T47</f>
        <v>#REF!</v>
      </c>
      <c r="W47" s="392">
        <f>+W46</f>
        <v>27250000</v>
      </c>
      <c r="X47" s="389">
        <f>+X46</f>
        <v>750000</v>
      </c>
      <c r="Y47" s="389">
        <f t="shared" si="7"/>
        <v>26500000</v>
      </c>
      <c r="Z47" s="378" t="e">
        <f>+W$26*Y47+X47</f>
        <v>#REF!</v>
      </c>
      <c r="AA47" s="392">
        <f>+AA46</f>
        <v>18238095.238095239</v>
      </c>
      <c r="AB47" s="389">
        <f>+AB46</f>
        <v>571428.57142857148</v>
      </c>
      <c r="AC47" s="389">
        <f t="shared" si="8"/>
        <v>17666666.666666668</v>
      </c>
      <c r="AD47" s="378" t="e">
        <f>+AA$26*AC47+AB47</f>
        <v>#REF!</v>
      </c>
      <c r="AE47" s="392">
        <f>+AE46</f>
        <v>27200000</v>
      </c>
      <c r="AF47" s="389">
        <f>+AF46</f>
        <v>1200000</v>
      </c>
      <c r="AG47" s="389">
        <f t="shared" si="9"/>
        <v>26000000</v>
      </c>
      <c r="AH47" s="378" t="e">
        <f>+AE$26*AG47+AF47</f>
        <v>#REF!</v>
      </c>
      <c r="AI47" s="392">
        <f>+AI46</f>
        <v>18499999.999999996</v>
      </c>
      <c r="AJ47" s="389">
        <f>+AJ46</f>
        <v>666666.66666666663</v>
      </c>
      <c r="AK47" s="389">
        <f t="shared" si="10"/>
        <v>17833333.333333328</v>
      </c>
      <c r="AL47" s="378" t="e">
        <f>+AI$26*AK47+AJ47</f>
        <v>#REF!</v>
      </c>
      <c r="AM47" s="408" t="e">
        <f t="shared" si="1"/>
        <v>#REF!</v>
      </c>
      <c r="AN47" s="391" t="e">
        <f>+AM47</f>
        <v>#REF!</v>
      </c>
      <c r="AO47" s="329"/>
    </row>
    <row r="48" spans="1:41" ht="13">
      <c r="A48" s="331" t="s">
        <v>465</v>
      </c>
      <c r="B48" s="388">
        <f t="shared" si="4"/>
        <v>2013</v>
      </c>
      <c r="C48" s="389">
        <f>+E47</f>
        <v>14999999.999999998</v>
      </c>
      <c r="D48" s="389">
        <f>+C$28</f>
        <v>666666.66666666663</v>
      </c>
      <c r="E48" s="389">
        <f t="shared" si="0"/>
        <v>14333333.333333332</v>
      </c>
      <c r="F48" s="378" t="e">
        <f>+C$25*E48+D48</f>
        <v>#REF!</v>
      </c>
      <c r="G48" s="389">
        <f>+I47</f>
        <v>24214285.714285709</v>
      </c>
      <c r="H48" s="389">
        <f>+G$28</f>
        <v>857142.85714285716</v>
      </c>
      <c r="I48" s="389">
        <f t="shared" si="2"/>
        <v>23357142.857142851</v>
      </c>
      <c r="J48" s="378" t="e">
        <f>+G$25*I48+H48</f>
        <v>#REF!</v>
      </c>
      <c r="K48" s="392">
        <f>+M47</f>
        <v>16875000</v>
      </c>
      <c r="L48" s="389">
        <f>+K$28</f>
        <v>500000</v>
      </c>
      <c r="M48" s="389">
        <f t="shared" si="3"/>
        <v>16375000</v>
      </c>
      <c r="N48" s="378" t="e">
        <f>+K$25*M48+L48</f>
        <v>#REF!</v>
      </c>
      <c r="O48" s="392">
        <f>+Q47</f>
        <v>26125000</v>
      </c>
      <c r="P48" s="389">
        <f>+O$28</f>
        <v>750000</v>
      </c>
      <c r="Q48" s="389">
        <f t="shared" si="5"/>
        <v>25375000</v>
      </c>
      <c r="R48" s="378" t="e">
        <f>+O$25*Q48+P48</f>
        <v>#REF!</v>
      </c>
      <c r="S48" s="392">
        <f>+U47</f>
        <v>17083333.333333332</v>
      </c>
      <c r="T48" s="389">
        <f>+S$28</f>
        <v>500000</v>
      </c>
      <c r="U48" s="389">
        <f t="shared" si="6"/>
        <v>16583333.333333332</v>
      </c>
      <c r="V48" s="378" t="e">
        <f>+S$25*U48+T48</f>
        <v>#REF!</v>
      </c>
      <c r="W48" s="392">
        <f>+Y47</f>
        <v>26500000</v>
      </c>
      <c r="X48" s="389">
        <f>+W$28</f>
        <v>750000</v>
      </c>
      <c r="Y48" s="389">
        <f t="shared" si="7"/>
        <v>25750000</v>
      </c>
      <c r="Z48" s="378" t="e">
        <f>+W$25*Y48+X48</f>
        <v>#REF!</v>
      </c>
      <c r="AA48" s="392">
        <f>+AC47</f>
        <v>17666666.666666668</v>
      </c>
      <c r="AB48" s="389">
        <f>+AA$28</f>
        <v>571428.57142857148</v>
      </c>
      <c r="AC48" s="389">
        <f t="shared" si="8"/>
        <v>17095238.095238097</v>
      </c>
      <c r="AD48" s="378" t="e">
        <f>+AA$25*AC48+AB48</f>
        <v>#REF!</v>
      </c>
      <c r="AE48" s="392">
        <f>+AG47</f>
        <v>26000000</v>
      </c>
      <c r="AF48" s="389">
        <f>+AE$28</f>
        <v>1200000</v>
      </c>
      <c r="AG48" s="389">
        <f t="shared" si="9"/>
        <v>24800000</v>
      </c>
      <c r="AH48" s="378" t="e">
        <f>+AE$25*AG48+AF48</f>
        <v>#REF!</v>
      </c>
      <c r="AI48" s="392">
        <f>+AK47</f>
        <v>17833333.333333328</v>
      </c>
      <c r="AJ48" s="389">
        <f>+AI$28</f>
        <v>666666.66666666663</v>
      </c>
      <c r="AK48" s="389">
        <f t="shared" si="10"/>
        <v>17166666.66666666</v>
      </c>
      <c r="AL48" s="378" t="e">
        <f>+AI$25*AK48+AJ48</f>
        <v>#REF!</v>
      </c>
      <c r="AM48" s="408" t="e">
        <f t="shared" si="1"/>
        <v>#REF!</v>
      </c>
      <c r="AN48" s="146"/>
      <c r="AO48" s="390" t="e">
        <f>+AM48</f>
        <v>#REF!</v>
      </c>
    </row>
    <row r="49" spans="1:41" ht="13">
      <c r="A49" s="331" t="s">
        <v>430</v>
      </c>
      <c r="B49" s="388">
        <f t="shared" si="4"/>
        <v>2013</v>
      </c>
      <c r="C49" s="389">
        <f>+C48</f>
        <v>14999999.999999998</v>
      </c>
      <c r="D49" s="389">
        <f>+D48</f>
        <v>666666.66666666663</v>
      </c>
      <c r="E49" s="389">
        <f t="shared" si="0"/>
        <v>14333333.333333332</v>
      </c>
      <c r="F49" s="378" t="e">
        <f>+C$26*E49+D49</f>
        <v>#REF!</v>
      </c>
      <c r="G49" s="389">
        <f>+G48</f>
        <v>24214285.714285709</v>
      </c>
      <c r="H49" s="389">
        <f>+H48</f>
        <v>857142.85714285716</v>
      </c>
      <c r="I49" s="389">
        <f t="shared" si="2"/>
        <v>23357142.857142851</v>
      </c>
      <c r="J49" s="378" t="e">
        <f>+G$26*I49+H49</f>
        <v>#REF!</v>
      </c>
      <c r="K49" s="392">
        <f>+K48</f>
        <v>16875000</v>
      </c>
      <c r="L49" s="389">
        <f>+L48</f>
        <v>500000</v>
      </c>
      <c r="M49" s="389">
        <f t="shared" si="3"/>
        <v>16375000</v>
      </c>
      <c r="N49" s="378" t="e">
        <f>+K$26*M49+L49</f>
        <v>#REF!</v>
      </c>
      <c r="O49" s="392">
        <f>+O48</f>
        <v>26125000</v>
      </c>
      <c r="P49" s="389">
        <f>+P48</f>
        <v>750000</v>
      </c>
      <c r="Q49" s="389">
        <f t="shared" si="5"/>
        <v>25375000</v>
      </c>
      <c r="R49" s="378" t="e">
        <f>+O$26*Q49+P49</f>
        <v>#REF!</v>
      </c>
      <c r="S49" s="392">
        <f>+S48</f>
        <v>17083333.333333332</v>
      </c>
      <c r="T49" s="389">
        <f>+T48</f>
        <v>500000</v>
      </c>
      <c r="U49" s="389">
        <f t="shared" si="6"/>
        <v>16583333.333333332</v>
      </c>
      <c r="V49" s="378" t="e">
        <f>+S$26*U49+T49</f>
        <v>#REF!</v>
      </c>
      <c r="W49" s="392">
        <f>+W48</f>
        <v>26500000</v>
      </c>
      <c r="X49" s="389">
        <f>+X48</f>
        <v>750000</v>
      </c>
      <c r="Y49" s="389">
        <f t="shared" si="7"/>
        <v>25750000</v>
      </c>
      <c r="Z49" s="378" t="e">
        <f>+W$26*Y49+X49</f>
        <v>#REF!</v>
      </c>
      <c r="AA49" s="392">
        <f>+AA48</f>
        <v>17666666.666666668</v>
      </c>
      <c r="AB49" s="389">
        <f>+AB48</f>
        <v>571428.57142857148</v>
      </c>
      <c r="AC49" s="389">
        <f t="shared" si="8"/>
        <v>17095238.095238097</v>
      </c>
      <c r="AD49" s="378" t="e">
        <f>+AA$26*AC49+AB49</f>
        <v>#REF!</v>
      </c>
      <c r="AE49" s="392">
        <f>+AE48</f>
        <v>26000000</v>
      </c>
      <c r="AF49" s="389">
        <f>+AF48</f>
        <v>1200000</v>
      </c>
      <c r="AG49" s="389">
        <f t="shared" si="9"/>
        <v>24800000</v>
      </c>
      <c r="AH49" s="378" t="e">
        <f>+AE$26*AG49+AF49</f>
        <v>#REF!</v>
      </c>
      <c r="AI49" s="392">
        <f>+AI48</f>
        <v>17833333.333333328</v>
      </c>
      <c r="AJ49" s="389">
        <f>+AJ48</f>
        <v>666666.66666666663</v>
      </c>
      <c r="AK49" s="389">
        <f t="shared" si="10"/>
        <v>17166666.66666666</v>
      </c>
      <c r="AL49" s="378" t="e">
        <f>+AI$26*AK49+AJ49</f>
        <v>#REF!</v>
      </c>
      <c r="AM49" s="408" t="e">
        <f t="shared" si="1"/>
        <v>#REF!</v>
      </c>
      <c r="AN49" s="391" t="e">
        <f>+AM49</f>
        <v>#REF!</v>
      </c>
      <c r="AO49" s="329"/>
    </row>
    <row r="50" spans="1:41" ht="13">
      <c r="A50" s="331" t="s">
        <v>465</v>
      </c>
      <c r="B50" s="388">
        <f t="shared" si="4"/>
        <v>2014</v>
      </c>
      <c r="C50" s="389">
        <f>+E49</f>
        <v>14333333.333333332</v>
      </c>
      <c r="D50" s="389">
        <f>+C$28</f>
        <v>666666.66666666663</v>
      </c>
      <c r="E50" s="389">
        <f t="shared" si="0"/>
        <v>13666666.666666666</v>
      </c>
      <c r="F50" s="378" t="e">
        <f>+C$25*E50+D50</f>
        <v>#REF!</v>
      </c>
      <c r="G50" s="389">
        <f>+I49</f>
        <v>23357142.857142851</v>
      </c>
      <c r="H50" s="389">
        <f>+G$28</f>
        <v>857142.85714285716</v>
      </c>
      <c r="I50" s="389">
        <f t="shared" si="2"/>
        <v>22499999.999999993</v>
      </c>
      <c r="J50" s="378" t="e">
        <f>+G$25*I50+H50</f>
        <v>#REF!</v>
      </c>
      <c r="K50" s="392">
        <f>+M49</f>
        <v>16375000</v>
      </c>
      <c r="L50" s="389">
        <f>+K$28</f>
        <v>500000</v>
      </c>
      <c r="M50" s="389">
        <f t="shared" si="3"/>
        <v>15875000</v>
      </c>
      <c r="N50" s="378" t="e">
        <f>+K$25*M50+L50</f>
        <v>#REF!</v>
      </c>
      <c r="O50" s="392">
        <f>+Q49</f>
        <v>25375000</v>
      </c>
      <c r="P50" s="389">
        <f>+O$28</f>
        <v>750000</v>
      </c>
      <c r="Q50" s="389">
        <f t="shared" si="5"/>
        <v>24625000</v>
      </c>
      <c r="R50" s="378" t="e">
        <f>+O$25*Q50+P50</f>
        <v>#REF!</v>
      </c>
      <c r="S50" s="392">
        <f>+U49</f>
        <v>16583333.333333332</v>
      </c>
      <c r="T50" s="389">
        <f>+S$28</f>
        <v>500000</v>
      </c>
      <c r="U50" s="389">
        <f t="shared" si="6"/>
        <v>16083333.333333332</v>
      </c>
      <c r="V50" s="378" t="e">
        <f>+S$25*U50+T50</f>
        <v>#REF!</v>
      </c>
      <c r="W50" s="392">
        <f>+Y49</f>
        <v>25750000</v>
      </c>
      <c r="X50" s="389">
        <f>+W$28</f>
        <v>750000</v>
      </c>
      <c r="Y50" s="389">
        <f t="shared" si="7"/>
        <v>25000000</v>
      </c>
      <c r="Z50" s="378" t="e">
        <f>+W$25*Y50+X50</f>
        <v>#REF!</v>
      </c>
      <c r="AA50" s="392">
        <f>+AC49</f>
        <v>17095238.095238097</v>
      </c>
      <c r="AB50" s="389">
        <f>+AA$28</f>
        <v>571428.57142857148</v>
      </c>
      <c r="AC50" s="389">
        <f t="shared" si="8"/>
        <v>16523809.523809526</v>
      </c>
      <c r="AD50" s="378" t="e">
        <f>+AA$25*AC50+AB50</f>
        <v>#REF!</v>
      </c>
      <c r="AE50" s="392">
        <f>+AG49</f>
        <v>24800000</v>
      </c>
      <c r="AF50" s="389">
        <f>+AE$28</f>
        <v>1200000</v>
      </c>
      <c r="AG50" s="389">
        <f t="shared" si="9"/>
        <v>23600000</v>
      </c>
      <c r="AH50" s="378" t="e">
        <f>+AE$25*AG50+AF50</f>
        <v>#REF!</v>
      </c>
      <c r="AI50" s="392">
        <f>+AK49</f>
        <v>17166666.66666666</v>
      </c>
      <c r="AJ50" s="389">
        <f>+AI$28</f>
        <v>666666.66666666663</v>
      </c>
      <c r="AK50" s="389">
        <f t="shared" si="10"/>
        <v>16499999.999999994</v>
      </c>
      <c r="AL50" s="378" t="e">
        <f>+AI$25*AK50+AJ50</f>
        <v>#REF!</v>
      </c>
      <c r="AM50" s="408" t="e">
        <f t="shared" si="1"/>
        <v>#REF!</v>
      </c>
      <c r="AN50" s="146"/>
      <c r="AO50" s="390" t="e">
        <f>+AM50</f>
        <v>#REF!</v>
      </c>
    </row>
    <row r="51" spans="1:41" ht="13">
      <c r="A51" s="331" t="s">
        <v>430</v>
      </c>
      <c r="B51" s="388">
        <f t="shared" si="4"/>
        <v>2014</v>
      </c>
      <c r="C51" s="389">
        <f>+C50</f>
        <v>14333333.333333332</v>
      </c>
      <c r="D51" s="389">
        <f>+D50</f>
        <v>666666.66666666663</v>
      </c>
      <c r="E51" s="389">
        <f t="shared" si="0"/>
        <v>13666666.666666666</v>
      </c>
      <c r="F51" s="378" t="e">
        <f>+C$26*E51+D51</f>
        <v>#REF!</v>
      </c>
      <c r="G51" s="389">
        <f>+G50</f>
        <v>23357142.857142851</v>
      </c>
      <c r="H51" s="389">
        <f>+H50</f>
        <v>857142.85714285716</v>
      </c>
      <c r="I51" s="389">
        <f t="shared" si="2"/>
        <v>22499999.999999993</v>
      </c>
      <c r="J51" s="378" t="e">
        <f>+G$26*I51+H51</f>
        <v>#REF!</v>
      </c>
      <c r="K51" s="392">
        <f>+K50</f>
        <v>16375000</v>
      </c>
      <c r="L51" s="389">
        <f>+L50</f>
        <v>500000</v>
      </c>
      <c r="M51" s="389">
        <f t="shared" si="3"/>
        <v>15875000</v>
      </c>
      <c r="N51" s="378" t="e">
        <f>+K$26*M51+L51</f>
        <v>#REF!</v>
      </c>
      <c r="O51" s="392">
        <f>+O50</f>
        <v>25375000</v>
      </c>
      <c r="P51" s="389">
        <f>+P50</f>
        <v>750000</v>
      </c>
      <c r="Q51" s="389">
        <f t="shared" si="5"/>
        <v>24625000</v>
      </c>
      <c r="R51" s="378" t="e">
        <f>+O$26*Q51+P51</f>
        <v>#REF!</v>
      </c>
      <c r="S51" s="392">
        <f>+S50</f>
        <v>16583333.333333332</v>
      </c>
      <c r="T51" s="389">
        <f>+T50</f>
        <v>500000</v>
      </c>
      <c r="U51" s="389">
        <f t="shared" si="6"/>
        <v>16083333.333333332</v>
      </c>
      <c r="V51" s="378" t="e">
        <f>+S$26*U51+T51</f>
        <v>#REF!</v>
      </c>
      <c r="W51" s="392">
        <f>+W50</f>
        <v>25750000</v>
      </c>
      <c r="X51" s="389">
        <f>+X50</f>
        <v>750000</v>
      </c>
      <c r="Y51" s="389">
        <f t="shared" si="7"/>
        <v>25000000</v>
      </c>
      <c r="Z51" s="378" t="e">
        <f>+W$26*Y51+X51</f>
        <v>#REF!</v>
      </c>
      <c r="AA51" s="392">
        <f>+AA50</f>
        <v>17095238.095238097</v>
      </c>
      <c r="AB51" s="389">
        <f>+AB50</f>
        <v>571428.57142857148</v>
      </c>
      <c r="AC51" s="389">
        <f t="shared" si="8"/>
        <v>16523809.523809526</v>
      </c>
      <c r="AD51" s="378" t="e">
        <f>+AA$26*AC51+AB51</f>
        <v>#REF!</v>
      </c>
      <c r="AE51" s="392">
        <f>+AE50</f>
        <v>24800000</v>
      </c>
      <c r="AF51" s="389">
        <f>+AF50</f>
        <v>1200000</v>
      </c>
      <c r="AG51" s="389">
        <f t="shared" si="9"/>
        <v>23600000</v>
      </c>
      <c r="AH51" s="378" t="e">
        <f>+AE$26*AG51+AF51</f>
        <v>#REF!</v>
      </c>
      <c r="AI51" s="392">
        <f>+AI50</f>
        <v>17166666.66666666</v>
      </c>
      <c r="AJ51" s="389">
        <f>+AJ50</f>
        <v>666666.66666666663</v>
      </c>
      <c r="AK51" s="389">
        <f t="shared" si="10"/>
        <v>16499999.999999994</v>
      </c>
      <c r="AL51" s="378" t="e">
        <f>+AI$26*AK51+AJ51</f>
        <v>#REF!</v>
      </c>
      <c r="AM51" s="408" t="e">
        <f t="shared" si="1"/>
        <v>#REF!</v>
      </c>
      <c r="AN51" s="391" t="e">
        <f>+AM51</f>
        <v>#REF!</v>
      </c>
      <c r="AO51" s="329"/>
    </row>
    <row r="52" spans="1:41" ht="13">
      <c r="A52" s="331" t="s">
        <v>465</v>
      </c>
      <c r="B52" s="388">
        <f t="shared" si="4"/>
        <v>2015</v>
      </c>
      <c r="C52" s="389">
        <f>+E51</f>
        <v>13666666.666666666</v>
      </c>
      <c r="D52" s="389">
        <f>+C$28</f>
        <v>666666.66666666663</v>
      </c>
      <c r="E52" s="389">
        <f t="shared" si="0"/>
        <v>13000000</v>
      </c>
      <c r="F52" s="378" t="e">
        <f>+C$25*E52+D52</f>
        <v>#REF!</v>
      </c>
      <c r="G52" s="389">
        <f>+I51</f>
        <v>22499999.999999993</v>
      </c>
      <c r="H52" s="389">
        <f>+G$28</f>
        <v>857142.85714285716</v>
      </c>
      <c r="I52" s="389">
        <f t="shared" si="2"/>
        <v>21642857.142857134</v>
      </c>
      <c r="J52" s="378" t="e">
        <f>+G$25*I52+H52</f>
        <v>#REF!</v>
      </c>
      <c r="K52" s="392">
        <f>+M51</f>
        <v>15875000</v>
      </c>
      <c r="L52" s="389">
        <f>+K$28</f>
        <v>500000</v>
      </c>
      <c r="M52" s="389">
        <f t="shared" si="3"/>
        <v>15375000</v>
      </c>
      <c r="N52" s="378" t="e">
        <f>+K$25*M52+L52</f>
        <v>#REF!</v>
      </c>
      <c r="O52" s="392">
        <f>+Q51</f>
        <v>24625000</v>
      </c>
      <c r="P52" s="389">
        <f>+O$28</f>
        <v>750000</v>
      </c>
      <c r="Q52" s="389">
        <f t="shared" si="5"/>
        <v>23875000</v>
      </c>
      <c r="R52" s="378" t="e">
        <f>+O$25*Q52+P52</f>
        <v>#REF!</v>
      </c>
      <c r="S52" s="392">
        <f>+U51</f>
        <v>16083333.333333332</v>
      </c>
      <c r="T52" s="389">
        <f>+S$28</f>
        <v>500000</v>
      </c>
      <c r="U52" s="389">
        <f t="shared" si="6"/>
        <v>15583333.333333332</v>
      </c>
      <c r="V52" s="378" t="e">
        <f>+S$25*U52+T52</f>
        <v>#REF!</v>
      </c>
      <c r="W52" s="392">
        <f>+Y51</f>
        <v>25000000</v>
      </c>
      <c r="X52" s="389">
        <f>+W$28</f>
        <v>750000</v>
      </c>
      <c r="Y52" s="389">
        <f t="shared" si="7"/>
        <v>24250000</v>
      </c>
      <c r="Z52" s="378" t="e">
        <f>+W$25*Y52+X52</f>
        <v>#REF!</v>
      </c>
      <c r="AA52" s="392">
        <f>+AC51</f>
        <v>16523809.523809526</v>
      </c>
      <c r="AB52" s="389">
        <f>+AA$28</f>
        <v>571428.57142857148</v>
      </c>
      <c r="AC52" s="389">
        <f t="shared" si="8"/>
        <v>15952380.952380955</v>
      </c>
      <c r="AD52" s="378" t="e">
        <f>+AA$25*AC52+AB52</f>
        <v>#REF!</v>
      </c>
      <c r="AE52" s="392">
        <f>+AG51</f>
        <v>23600000</v>
      </c>
      <c r="AF52" s="389">
        <f>+AE$28</f>
        <v>1200000</v>
      </c>
      <c r="AG52" s="389">
        <f t="shared" si="9"/>
        <v>22400000</v>
      </c>
      <c r="AH52" s="378" t="e">
        <f>+AE$25*AG52+AF52</f>
        <v>#REF!</v>
      </c>
      <c r="AI52" s="392">
        <f>+AK51</f>
        <v>16499999.999999994</v>
      </c>
      <c r="AJ52" s="389">
        <f>+AI$28</f>
        <v>666666.66666666663</v>
      </c>
      <c r="AK52" s="389">
        <f t="shared" si="10"/>
        <v>15833333.333333328</v>
      </c>
      <c r="AL52" s="378" t="e">
        <f>+AI$25*AK52+AJ52</f>
        <v>#REF!</v>
      </c>
      <c r="AM52" s="408" t="e">
        <f t="shared" si="1"/>
        <v>#REF!</v>
      </c>
      <c r="AN52" s="146"/>
      <c r="AO52" s="390" t="e">
        <f>+AM52</f>
        <v>#REF!</v>
      </c>
    </row>
    <row r="53" spans="1:41" ht="13">
      <c r="A53" s="331" t="s">
        <v>430</v>
      </c>
      <c r="B53" s="388">
        <f t="shared" si="4"/>
        <v>2015</v>
      </c>
      <c r="C53" s="389">
        <f>+C52</f>
        <v>13666666.666666666</v>
      </c>
      <c r="D53" s="389">
        <f>+D52</f>
        <v>666666.66666666663</v>
      </c>
      <c r="E53" s="389">
        <f t="shared" si="0"/>
        <v>13000000</v>
      </c>
      <c r="F53" s="378" t="e">
        <f>+C$26*E53+D53</f>
        <v>#REF!</v>
      </c>
      <c r="G53" s="389">
        <f>+G52</f>
        <v>22499999.999999993</v>
      </c>
      <c r="H53" s="389">
        <f>+H52</f>
        <v>857142.85714285716</v>
      </c>
      <c r="I53" s="389">
        <f t="shared" si="2"/>
        <v>21642857.142857134</v>
      </c>
      <c r="J53" s="378" t="e">
        <f>+G$26*I53+H53</f>
        <v>#REF!</v>
      </c>
      <c r="K53" s="392">
        <f>+K52</f>
        <v>15875000</v>
      </c>
      <c r="L53" s="389">
        <f>+L52</f>
        <v>500000</v>
      </c>
      <c r="M53" s="389">
        <f t="shared" si="3"/>
        <v>15375000</v>
      </c>
      <c r="N53" s="378" t="e">
        <f>+K$26*M53+L53</f>
        <v>#REF!</v>
      </c>
      <c r="O53" s="392">
        <f>+O52</f>
        <v>24625000</v>
      </c>
      <c r="P53" s="389">
        <f>+P52</f>
        <v>750000</v>
      </c>
      <c r="Q53" s="389">
        <f t="shared" si="5"/>
        <v>23875000</v>
      </c>
      <c r="R53" s="378" t="e">
        <f>+O$26*Q53+P53</f>
        <v>#REF!</v>
      </c>
      <c r="S53" s="392">
        <f>+S52</f>
        <v>16083333.333333332</v>
      </c>
      <c r="T53" s="389">
        <f>+T52</f>
        <v>500000</v>
      </c>
      <c r="U53" s="389">
        <f t="shared" si="6"/>
        <v>15583333.333333332</v>
      </c>
      <c r="V53" s="378" t="e">
        <f>+S$26*U53+T53</f>
        <v>#REF!</v>
      </c>
      <c r="W53" s="392">
        <f>+W52</f>
        <v>25000000</v>
      </c>
      <c r="X53" s="389">
        <f>+X52</f>
        <v>750000</v>
      </c>
      <c r="Y53" s="389">
        <f t="shared" si="7"/>
        <v>24250000</v>
      </c>
      <c r="Z53" s="378" t="e">
        <f>+W$26*Y53+X53</f>
        <v>#REF!</v>
      </c>
      <c r="AA53" s="392">
        <f>+AA52</f>
        <v>16523809.523809526</v>
      </c>
      <c r="AB53" s="389">
        <f>+AB52</f>
        <v>571428.57142857148</v>
      </c>
      <c r="AC53" s="389">
        <f t="shared" si="8"/>
        <v>15952380.952380955</v>
      </c>
      <c r="AD53" s="378" t="e">
        <f>+AA$26*AC53+AB53</f>
        <v>#REF!</v>
      </c>
      <c r="AE53" s="392">
        <f>+AE52</f>
        <v>23600000</v>
      </c>
      <c r="AF53" s="389">
        <f>+AF52</f>
        <v>1200000</v>
      </c>
      <c r="AG53" s="389">
        <f t="shared" si="9"/>
        <v>22400000</v>
      </c>
      <c r="AH53" s="378" t="e">
        <f>+AE$26*AG53+AF53</f>
        <v>#REF!</v>
      </c>
      <c r="AI53" s="392">
        <f>+AI52</f>
        <v>16499999.999999994</v>
      </c>
      <c r="AJ53" s="389">
        <f>+AJ52</f>
        <v>666666.66666666663</v>
      </c>
      <c r="AK53" s="389">
        <f t="shared" si="10"/>
        <v>15833333.333333328</v>
      </c>
      <c r="AL53" s="378" t="e">
        <f>+AI$26*AK53+AJ53</f>
        <v>#REF!</v>
      </c>
      <c r="AM53" s="408" t="e">
        <f t="shared" si="1"/>
        <v>#REF!</v>
      </c>
      <c r="AN53" s="391" t="e">
        <f>+AM53</f>
        <v>#REF!</v>
      </c>
      <c r="AO53" s="329"/>
    </row>
    <row r="54" spans="1:41" ht="13">
      <c r="A54" s="331" t="s">
        <v>465</v>
      </c>
      <c r="B54" s="388">
        <f t="shared" si="4"/>
        <v>2016</v>
      </c>
      <c r="C54" s="389">
        <f>+E53</f>
        <v>13000000</v>
      </c>
      <c r="D54" s="389">
        <f>+C$28</f>
        <v>666666.66666666663</v>
      </c>
      <c r="E54" s="389">
        <f t="shared" si="0"/>
        <v>12333333.333333334</v>
      </c>
      <c r="F54" s="378" t="e">
        <f>+C$25*E54+D54</f>
        <v>#REF!</v>
      </c>
      <c r="G54" s="389">
        <f>+I53</f>
        <v>21642857.142857134</v>
      </c>
      <c r="H54" s="389">
        <f>+G$28</f>
        <v>857142.85714285716</v>
      </c>
      <c r="I54" s="389">
        <f t="shared" si="2"/>
        <v>20785714.285714276</v>
      </c>
      <c r="J54" s="378" t="e">
        <f>+G$25*I54+H54</f>
        <v>#REF!</v>
      </c>
      <c r="K54" s="392">
        <f>+M53</f>
        <v>15375000</v>
      </c>
      <c r="L54" s="389">
        <f>+K$28</f>
        <v>500000</v>
      </c>
      <c r="M54" s="389">
        <f t="shared" si="3"/>
        <v>14875000</v>
      </c>
      <c r="N54" s="378" t="e">
        <f>+K$25*M54+L54</f>
        <v>#REF!</v>
      </c>
      <c r="O54" s="392">
        <f>+Q53</f>
        <v>23875000</v>
      </c>
      <c r="P54" s="389">
        <f>+O$28</f>
        <v>750000</v>
      </c>
      <c r="Q54" s="389">
        <f t="shared" si="5"/>
        <v>23125000</v>
      </c>
      <c r="R54" s="378" t="e">
        <f>+O$25*Q54+P54</f>
        <v>#REF!</v>
      </c>
      <c r="S54" s="392">
        <f>+U53</f>
        <v>15583333.333333332</v>
      </c>
      <c r="T54" s="389">
        <f>+S$28</f>
        <v>500000</v>
      </c>
      <c r="U54" s="389">
        <f t="shared" si="6"/>
        <v>15083333.333333332</v>
      </c>
      <c r="V54" s="378" t="e">
        <f>+S$25*U54+T54</f>
        <v>#REF!</v>
      </c>
      <c r="W54" s="392">
        <f>+Y53</f>
        <v>24250000</v>
      </c>
      <c r="X54" s="389">
        <f>+W$28</f>
        <v>750000</v>
      </c>
      <c r="Y54" s="389">
        <f t="shared" si="7"/>
        <v>23500000</v>
      </c>
      <c r="Z54" s="378" t="e">
        <f>+W$25*Y54+X54</f>
        <v>#REF!</v>
      </c>
      <c r="AA54" s="392">
        <f>+AC53</f>
        <v>15952380.952380955</v>
      </c>
      <c r="AB54" s="389">
        <f>+AA$28</f>
        <v>571428.57142857148</v>
      </c>
      <c r="AC54" s="389">
        <f t="shared" si="8"/>
        <v>15380952.380952384</v>
      </c>
      <c r="AD54" s="378" t="e">
        <f>+AA$25*AC54+AB54</f>
        <v>#REF!</v>
      </c>
      <c r="AE54" s="392">
        <f>+AG53</f>
        <v>22400000</v>
      </c>
      <c r="AF54" s="389">
        <f>+AE$28</f>
        <v>1200000</v>
      </c>
      <c r="AG54" s="389">
        <f t="shared" si="9"/>
        <v>21200000</v>
      </c>
      <c r="AH54" s="378" t="e">
        <f>+AE$25*AG54+AF54</f>
        <v>#REF!</v>
      </c>
      <c r="AI54" s="392">
        <f>+AK53</f>
        <v>15833333.333333328</v>
      </c>
      <c r="AJ54" s="389">
        <f>+AI$28</f>
        <v>666666.66666666663</v>
      </c>
      <c r="AK54" s="389">
        <f t="shared" si="10"/>
        <v>15166666.666666662</v>
      </c>
      <c r="AL54" s="378" t="e">
        <f>+AI$25*AK54+AJ54</f>
        <v>#REF!</v>
      </c>
      <c r="AM54" s="408" t="e">
        <f t="shared" si="1"/>
        <v>#REF!</v>
      </c>
      <c r="AN54" s="146"/>
      <c r="AO54" s="390" t="e">
        <f>+AM54</f>
        <v>#REF!</v>
      </c>
    </row>
    <row r="55" spans="1:41" ht="13">
      <c r="A55" s="331" t="s">
        <v>430</v>
      </c>
      <c r="B55" s="388">
        <f t="shared" si="4"/>
        <v>2016</v>
      </c>
      <c r="C55" s="389">
        <f>+C54</f>
        <v>13000000</v>
      </c>
      <c r="D55" s="389">
        <f>+D54</f>
        <v>666666.66666666663</v>
      </c>
      <c r="E55" s="389">
        <f t="shared" si="0"/>
        <v>12333333.333333334</v>
      </c>
      <c r="F55" s="378" t="e">
        <f>+C$26*E55+D55</f>
        <v>#REF!</v>
      </c>
      <c r="G55" s="389">
        <f>+G54</f>
        <v>21642857.142857134</v>
      </c>
      <c r="H55" s="389">
        <f>+H54</f>
        <v>857142.85714285716</v>
      </c>
      <c r="I55" s="389">
        <f t="shared" si="2"/>
        <v>20785714.285714276</v>
      </c>
      <c r="J55" s="378" t="e">
        <f>+G$26*I55+H55</f>
        <v>#REF!</v>
      </c>
      <c r="K55" s="392">
        <f>+K54</f>
        <v>15375000</v>
      </c>
      <c r="L55" s="389">
        <f>+L54</f>
        <v>500000</v>
      </c>
      <c r="M55" s="389">
        <f t="shared" si="3"/>
        <v>14875000</v>
      </c>
      <c r="N55" s="378" t="e">
        <f>+K$26*M55+L55</f>
        <v>#REF!</v>
      </c>
      <c r="O55" s="392">
        <f>+O54</f>
        <v>23875000</v>
      </c>
      <c r="P55" s="389">
        <f>+P54</f>
        <v>750000</v>
      </c>
      <c r="Q55" s="389">
        <f t="shared" si="5"/>
        <v>23125000</v>
      </c>
      <c r="R55" s="378" t="e">
        <f>+O$26*Q55+P55</f>
        <v>#REF!</v>
      </c>
      <c r="S55" s="392">
        <f>+S54</f>
        <v>15583333.333333332</v>
      </c>
      <c r="T55" s="389">
        <f>+T54</f>
        <v>500000</v>
      </c>
      <c r="U55" s="389">
        <f t="shared" si="6"/>
        <v>15083333.333333332</v>
      </c>
      <c r="V55" s="378" t="e">
        <f>+S$26*U55+T55</f>
        <v>#REF!</v>
      </c>
      <c r="W55" s="392">
        <f>+W54</f>
        <v>24250000</v>
      </c>
      <c r="X55" s="389">
        <f>+X54</f>
        <v>750000</v>
      </c>
      <c r="Y55" s="389">
        <f t="shared" si="7"/>
        <v>23500000</v>
      </c>
      <c r="Z55" s="378" t="e">
        <f>+W$26*Y55+X55</f>
        <v>#REF!</v>
      </c>
      <c r="AA55" s="392">
        <f>+AA54</f>
        <v>15952380.952380955</v>
      </c>
      <c r="AB55" s="389">
        <f>+AB54</f>
        <v>571428.57142857148</v>
      </c>
      <c r="AC55" s="389">
        <f t="shared" si="8"/>
        <v>15380952.380952384</v>
      </c>
      <c r="AD55" s="378" t="e">
        <f>+AA$26*AC55+AB55</f>
        <v>#REF!</v>
      </c>
      <c r="AE55" s="392">
        <f>+AE54</f>
        <v>22400000</v>
      </c>
      <c r="AF55" s="389">
        <f>+AF54</f>
        <v>1200000</v>
      </c>
      <c r="AG55" s="389">
        <f t="shared" si="9"/>
        <v>21200000</v>
      </c>
      <c r="AH55" s="378" t="e">
        <f>+AE$26*AG55+AF55</f>
        <v>#REF!</v>
      </c>
      <c r="AI55" s="392">
        <f>+AI54</f>
        <v>15833333.333333328</v>
      </c>
      <c r="AJ55" s="389">
        <f>+AJ54</f>
        <v>666666.66666666663</v>
      </c>
      <c r="AK55" s="389">
        <f t="shared" si="10"/>
        <v>15166666.666666662</v>
      </c>
      <c r="AL55" s="378" t="e">
        <f>+AI$26*AK55+AJ55</f>
        <v>#REF!</v>
      </c>
      <c r="AM55" s="408" t="e">
        <f t="shared" si="1"/>
        <v>#REF!</v>
      </c>
      <c r="AN55" s="391" t="e">
        <f>+AM55</f>
        <v>#REF!</v>
      </c>
      <c r="AO55" s="329"/>
    </row>
    <row r="56" spans="1:41" ht="13">
      <c r="A56" s="331" t="s">
        <v>465</v>
      </c>
      <c r="B56" s="388">
        <f t="shared" si="4"/>
        <v>2017</v>
      </c>
      <c r="C56" s="389">
        <f>+E55</f>
        <v>12333333.333333334</v>
      </c>
      <c r="D56" s="389">
        <f>+C$28</f>
        <v>666666.66666666663</v>
      </c>
      <c r="E56" s="389">
        <f t="shared" si="0"/>
        <v>11666666.666666668</v>
      </c>
      <c r="F56" s="378" t="e">
        <f>+C$25*E56+D56</f>
        <v>#REF!</v>
      </c>
      <c r="G56" s="389">
        <f>+I55</f>
        <v>20785714.285714276</v>
      </c>
      <c r="H56" s="389">
        <f>+G$28</f>
        <v>857142.85714285716</v>
      </c>
      <c r="I56" s="389">
        <f t="shared" si="2"/>
        <v>19928571.428571418</v>
      </c>
      <c r="J56" s="378" t="e">
        <f>+G$25*I56+H56</f>
        <v>#REF!</v>
      </c>
      <c r="K56" s="392">
        <f>+M55</f>
        <v>14875000</v>
      </c>
      <c r="L56" s="389">
        <f>+K$28</f>
        <v>500000</v>
      </c>
      <c r="M56" s="389">
        <f t="shared" si="3"/>
        <v>14375000</v>
      </c>
      <c r="N56" s="378" t="e">
        <f>+K$25*M56+L56</f>
        <v>#REF!</v>
      </c>
      <c r="O56" s="392">
        <f>+Q55</f>
        <v>23125000</v>
      </c>
      <c r="P56" s="389">
        <f>+O$28</f>
        <v>750000</v>
      </c>
      <c r="Q56" s="389">
        <f t="shared" si="5"/>
        <v>22375000</v>
      </c>
      <c r="R56" s="378" t="e">
        <f>+O$25*Q56+P56</f>
        <v>#REF!</v>
      </c>
      <c r="S56" s="392">
        <f>+U55</f>
        <v>15083333.333333332</v>
      </c>
      <c r="T56" s="389">
        <f>+S$28</f>
        <v>500000</v>
      </c>
      <c r="U56" s="389">
        <f t="shared" si="6"/>
        <v>14583333.333333332</v>
      </c>
      <c r="V56" s="378" t="e">
        <f>+S$25*U56+T56</f>
        <v>#REF!</v>
      </c>
      <c r="W56" s="392">
        <f>+Y55</f>
        <v>23500000</v>
      </c>
      <c r="X56" s="389">
        <f>+W$28</f>
        <v>750000</v>
      </c>
      <c r="Y56" s="389">
        <f t="shared" si="7"/>
        <v>22750000</v>
      </c>
      <c r="Z56" s="378" t="e">
        <f>+W$25*Y56+X56</f>
        <v>#REF!</v>
      </c>
      <c r="AA56" s="392">
        <f>+AC55</f>
        <v>15380952.380952384</v>
      </c>
      <c r="AB56" s="389">
        <f>+AA$28</f>
        <v>571428.57142857148</v>
      </c>
      <c r="AC56" s="389">
        <f t="shared" si="8"/>
        <v>14809523.809523813</v>
      </c>
      <c r="AD56" s="378" t="e">
        <f>+AA$25*AC56+AB56</f>
        <v>#REF!</v>
      </c>
      <c r="AE56" s="392">
        <f>+AG55</f>
        <v>21200000</v>
      </c>
      <c r="AF56" s="389">
        <f>+AE$28</f>
        <v>1200000</v>
      </c>
      <c r="AG56" s="389">
        <f t="shared" si="9"/>
        <v>20000000</v>
      </c>
      <c r="AH56" s="378" t="e">
        <f>+AE$25*AG56+AF56</f>
        <v>#REF!</v>
      </c>
      <c r="AI56" s="392">
        <f>+AK55</f>
        <v>15166666.666666662</v>
      </c>
      <c r="AJ56" s="389">
        <f>+AI$28</f>
        <v>666666.66666666663</v>
      </c>
      <c r="AK56" s="389">
        <f t="shared" si="10"/>
        <v>14499999.999999996</v>
      </c>
      <c r="AL56" s="378" t="e">
        <f>+AI$25*AK56+AJ56</f>
        <v>#REF!</v>
      </c>
      <c r="AM56" s="408" t="e">
        <f t="shared" si="1"/>
        <v>#REF!</v>
      </c>
      <c r="AN56" s="146"/>
      <c r="AO56" s="390" t="e">
        <f>+AM56</f>
        <v>#REF!</v>
      </c>
    </row>
    <row r="57" spans="1:41" ht="13">
      <c r="A57" s="331" t="s">
        <v>430</v>
      </c>
      <c r="B57" s="388">
        <f t="shared" si="4"/>
        <v>2017</v>
      </c>
      <c r="C57" s="389">
        <f>+C56</f>
        <v>12333333.333333334</v>
      </c>
      <c r="D57" s="389">
        <f>+D56</f>
        <v>666666.66666666663</v>
      </c>
      <c r="E57" s="389">
        <f t="shared" si="0"/>
        <v>11666666.666666668</v>
      </c>
      <c r="F57" s="378" t="e">
        <f>+C$26*E57+D57</f>
        <v>#REF!</v>
      </c>
      <c r="G57" s="389">
        <f>+G56</f>
        <v>20785714.285714276</v>
      </c>
      <c r="H57" s="389">
        <f>+H56</f>
        <v>857142.85714285716</v>
      </c>
      <c r="I57" s="389">
        <f t="shared" si="2"/>
        <v>19928571.428571418</v>
      </c>
      <c r="J57" s="378" t="e">
        <f>+G$26*I57+H57</f>
        <v>#REF!</v>
      </c>
      <c r="K57" s="392">
        <f>+K56</f>
        <v>14875000</v>
      </c>
      <c r="L57" s="389">
        <f>+L56</f>
        <v>500000</v>
      </c>
      <c r="M57" s="389">
        <f t="shared" si="3"/>
        <v>14375000</v>
      </c>
      <c r="N57" s="378" t="e">
        <f>+K$26*M57+L57</f>
        <v>#REF!</v>
      </c>
      <c r="O57" s="392">
        <f>+O56</f>
        <v>23125000</v>
      </c>
      <c r="P57" s="389">
        <f>+P56</f>
        <v>750000</v>
      </c>
      <c r="Q57" s="389">
        <f t="shared" si="5"/>
        <v>22375000</v>
      </c>
      <c r="R57" s="378" t="e">
        <f>+O$26*Q57+P57</f>
        <v>#REF!</v>
      </c>
      <c r="S57" s="392">
        <f>+S56</f>
        <v>15083333.333333332</v>
      </c>
      <c r="T57" s="389">
        <f>+T56</f>
        <v>500000</v>
      </c>
      <c r="U57" s="389">
        <f t="shared" si="6"/>
        <v>14583333.333333332</v>
      </c>
      <c r="V57" s="378" t="e">
        <f>+S$26*U57+T57</f>
        <v>#REF!</v>
      </c>
      <c r="W57" s="392">
        <f>+W56</f>
        <v>23500000</v>
      </c>
      <c r="X57" s="389">
        <f>+X56</f>
        <v>750000</v>
      </c>
      <c r="Y57" s="389">
        <f t="shared" si="7"/>
        <v>22750000</v>
      </c>
      <c r="Z57" s="378" t="e">
        <f>+W$26*Y57+X57</f>
        <v>#REF!</v>
      </c>
      <c r="AA57" s="392">
        <f>+AA56</f>
        <v>15380952.380952384</v>
      </c>
      <c r="AB57" s="389">
        <f>+AB56</f>
        <v>571428.57142857148</v>
      </c>
      <c r="AC57" s="389">
        <f t="shared" si="8"/>
        <v>14809523.809523813</v>
      </c>
      <c r="AD57" s="378" t="e">
        <f>+AA$26*AC57+AB57</f>
        <v>#REF!</v>
      </c>
      <c r="AE57" s="392">
        <f>+AE56</f>
        <v>21200000</v>
      </c>
      <c r="AF57" s="389">
        <f>+AF56</f>
        <v>1200000</v>
      </c>
      <c r="AG57" s="389">
        <f t="shared" si="9"/>
        <v>20000000</v>
      </c>
      <c r="AH57" s="378" t="e">
        <f>+AE$26*AG57+AF57</f>
        <v>#REF!</v>
      </c>
      <c r="AI57" s="392">
        <f>+AI56</f>
        <v>15166666.666666662</v>
      </c>
      <c r="AJ57" s="389">
        <f>+AJ56</f>
        <v>666666.66666666663</v>
      </c>
      <c r="AK57" s="389">
        <f t="shared" si="10"/>
        <v>14499999.999999996</v>
      </c>
      <c r="AL57" s="378" t="e">
        <f>+AI$26*AK57+AJ57</f>
        <v>#REF!</v>
      </c>
      <c r="AM57" s="408" t="e">
        <f t="shared" si="1"/>
        <v>#REF!</v>
      </c>
      <c r="AN57" s="391" t="e">
        <f>+AM57</f>
        <v>#REF!</v>
      </c>
      <c r="AO57" s="329"/>
    </row>
    <row r="58" spans="1:41" ht="13">
      <c r="A58" s="331" t="s">
        <v>465</v>
      </c>
      <c r="B58" s="388">
        <f t="shared" si="4"/>
        <v>2018</v>
      </c>
      <c r="C58" s="389">
        <f>+E57</f>
        <v>11666666.666666668</v>
      </c>
      <c r="D58" s="389">
        <f>+C$28</f>
        <v>666666.66666666663</v>
      </c>
      <c r="E58" s="389">
        <f t="shared" si="0"/>
        <v>11000000.000000002</v>
      </c>
      <c r="F58" s="378" t="e">
        <f>+C$25*E58+D58</f>
        <v>#REF!</v>
      </c>
      <c r="G58" s="389">
        <f>+I57</f>
        <v>19928571.428571418</v>
      </c>
      <c r="H58" s="389">
        <f>+G$28</f>
        <v>857142.85714285716</v>
      </c>
      <c r="I58" s="389">
        <f t="shared" si="2"/>
        <v>19071428.57142856</v>
      </c>
      <c r="J58" s="378" t="e">
        <f>+G$25*I58+H58</f>
        <v>#REF!</v>
      </c>
      <c r="K58" s="392">
        <f>+M57</f>
        <v>14375000</v>
      </c>
      <c r="L58" s="389">
        <f>+K$28</f>
        <v>500000</v>
      </c>
      <c r="M58" s="389">
        <f t="shared" si="3"/>
        <v>13875000</v>
      </c>
      <c r="N58" s="378" t="e">
        <f>+K$25*M58+L58</f>
        <v>#REF!</v>
      </c>
      <c r="O58" s="392">
        <f>+Q57</f>
        <v>22375000</v>
      </c>
      <c r="P58" s="389">
        <f>+O$28</f>
        <v>750000</v>
      </c>
      <c r="Q58" s="389">
        <f t="shared" si="5"/>
        <v>21625000</v>
      </c>
      <c r="R58" s="378" t="e">
        <f>+O$25*Q58+P58</f>
        <v>#REF!</v>
      </c>
      <c r="S58" s="392">
        <f>+U57</f>
        <v>14583333.333333332</v>
      </c>
      <c r="T58" s="389">
        <f>+S$28</f>
        <v>500000</v>
      </c>
      <c r="U58" s="389">
        <f t="shared" si="6"/>
        <v>14083333.333333332</v>
      </c>
      <c r="V58" s="378" t="e">
        <f>+S$25*U58+T58</f>
        <v>#REF!</v>
      </c>
      <c r="W58" s="392">
        <f>+Y57</f>
        <v>22750000</v>
      </c>
      <c r="X58" s="389">
        <f>+W$28</f>
        <v>750000</v>
      </c>
      <c r="Y58" s="389">
        <f t="shared" si="7"/>
        <v>22000000</v>
      </c>
      <c r="Z58" s="378" t="e">
        <f>+W$25*Y58+X58</f>
        <v>#REF!</v>
      </c>
      <c r="AA58" s="392">
        <f>+AC57</f>
        <v>14809523.809523813</v>
      </c>
      <c r="AB58" s="389">
        <f>+AA$28</f>
        <v>571428.57142857148</v>
      </c>
      <c r="AC58" s="389">
        <f t="shared" si="8"/>
        <v>14238095.238095243</v>
      </c>
      <c r="AD58" s="378" t="e">
        <f>+AA$25*AC58+AB58</f>
        <v>#REF!</v>
      </c>
      <c r="AE58" s="392">
        <f>+AG57</f>
        <v>20000000</v>
      </c>
      <c r="AF58" s="389">
        <f>+AE$28</f>
        <v>1200000</v>
      </c>
      <c r="AG58" s="389">
        <f t="shared" si="9"/>
        <v>18800000</v>
      </c>
      <c r="AH58" s="378" t="e">
        <f>+AE$25*AG58+AF58</f>
        <v>#REF!</v>
      </c>
      <c r="AI58" s="392">
        <f>+AK57</f>
        <v>14499999.999999996</v>
      </c>
      <c r="AJ58" s="389">
        <f>+AI$28</f>
        <v>666666.66666666663</v>
      </c>
      <c r="AK58" s="389">
        <f t="shared" si="10"/>
        <v>13833333.33333333</v>
      </c>
      <c r="AL58" s="378" t="e">
        <f>+AI$25*AK58+AJ58</f>
        <v>#REF!</v>
      </c>
      <c r="AM58" s="408" t="e">
        <f t="shared" si="1"/>
        <v>#REF!</v>
      </c>
      <c r="AN58" s="146"/>
      <c r="AO58" s="390" t="e">
        <f>+AM58</f>
        <v>#REF!</v>
      </c>
    </row>
    <row r="59" spans="1:41" ht="13">
      <c r="A59" s="331" t="s">
        <v>430</v>
      </c>
      <c r="B59" s="388">
        <f t="shared" si="4"/>
        <v>2018</v>
      </c>
      <c r="C59" s="389">
        <f>+C58</f>
        <v>11666666.666666668</v>
      </c>
      <c r="D59" s="389">
        <f>+D58</f>
        <v>666666.66666666663</v>
      </c>
      <c r="E59" s="389">
        <f t="shared" si="0"/>
        <v>11000000.000000002</v>
      </c>
      <c r="F59" s="378" t="e">
        <f>+C$26*E59+D59</f>
        <v>#REF!</v>
      </c>
      <c r="G59" s="389">
        <f>+G58</f>
        <v>19928571.428571418</v>
      </c>
      <c r="H59" s="389">
        <f>+H58</f>
        <v>857142.85714285716</v>
      </c>
      <c r="I59" s="389">
        <f t="shared" si="2"/>
        <v>19071428.57142856</v>
      </c>
      <c r="J59" s="378" t="e">
        <f>+G$26*I59+H59</f>
        <v>#REF!</v>
      </c>
      <c r="K59" s="392">
        <f>+K58</f>
        <v>14375000</v>
      </c>
      <c r="L59" s="389">
        <f>+L58</f>
        <v>500000</v>
      </c>
      <c r="M59" s="389">
        <f t="shared" si="3"/>
        <v>13875000</v>
      </c>
      <c r="N59" s="378" t="e">
        <f>+K$26*M59+L59</f>
        <v>#REF!</v>
      </c>
      <c r="O59" s="392">
        <f>+O58</f>
        <v>22375000</v>
      </c>
      <c r="P59" s="389">
        <f>+P58</f>
        <v>750000</v>
      </c>
      <c r="Q59" s="389">
        <f t="shared" si="5"/>
        <v>21625000</v>
      </c>
      <c r="R59" s="378" t="e">
        <f>+O$26*Q59+P59</f>
        <v>#REF!</v>
      </c>
      <c r="S59" s="392">
        <f>+S58</f>
        <v>14583333.333333332</v>
      </c>
      <c r="T59" s="389">
        <f>+T58</f>
        <v>500000</v>
      </c>
      <c r="U59" s="389">
        <f t="shared" si="6"/>
        <v>14083333.333333332</v>
      </c>
      <c r="V59" s="378" t="e">
        <f>+S$26*U59+T59</f>
        <v>#REF!</v>
      </c>
      <c r="W59" s="392">
        <f>+W58</f>
        <v>22750000</v>
      </c>
      <c r="X59" s="389">
        <f>+X58</f>
        <v>750000</v>
      </c>
      <c r="Y59" s="389">
        <f t="shared" si="7"/>
        <v>22000000</v>
      </c>
      <c r="Z59" s="378" t="e">
        <f>+W$26*Y59+X59</f>
        <v>#REF!</v>
      </c>
      <c r="AA59" s="392">
        <f>+AA58</f>
        <v>14809523.809523813</v>
      </c>
      <c r="AB59" s="389">
        <f>+AB58</f>
        <v>571428.57142857148</v>
      </c>
      <c r="AC59" s="389">
        <f t="shared" si="8"/>
        <v>14238095.238095243</v>
      </c>
      <c r="AD59" s="378" t="e">
        <f>+AA$26*AC59+AB59</f>
        <v>#REF!</v>
      </c>
      <c r="AE59" s="392">
        <f>+AE58</f>
        <v>20000000</v>
      </c>
      <c r="AF59" s="389">
        <f>+AF58</f>
        <v>1200000</v>
      </c>
      <c r="AG59" s="389">
        <f t="shared" si="9"/>
        <v>18800000</v>
      </c>
      <c r="AH59" s="378" t="e">
        <f>+AE$26*AG59+AF59</f>
        <v>#REF!</v>
      </c>
      <c r="AI59" s="392">
        <f>+AI58</f>
        <v>14499999.999999996</v>
      </c>
      <c r="AJ59" s="389">
        <f>+AJ58</f>
        <v>666666.66666666663</v>
      </c>
      <c r="AK59" s="389">
        <f t="shared" si="10"/>
        <v>13833333.33333333</v>
      </c>
      <c r="AL59" s="378" t="e">
        <f>+AI$26*AK59+AJ59</f>
        <v>#REF!</v>
      </c>
      <c r="AM59" s="408" t="e">
        <f t="shared" si="1"/>
        <v>#REF!</v>
      </c>
      <c r="AN59" s="391" t="e">
        <f>+AM59</f>
        <v>#REF!</v>
      </c>
      <c r="AO59" s="329"/>
    </row>
    <row r="60" spans="1:41" ht="13">
      <c r="A60" s="331" t="s">
        <v>465</v>
      </c>
      <c r="B60" s="388">
        <f t="shared" si="4"/>
        <v>2019</v>
      </c>
      <c r="C60" s="389">
        <f>+E59</f>
        <v>11000000.000000002</v>
      </c>
      <c r="D60" s="389">
        <f>+C$28</f>
        <v>666666.66666666663</v>
      </c>
      <c r="E60" s="389">
        <f t="shared" si="0"/>
        <v>10333333.333333336</v>
      </c>
      <c r="F60" s="378" t="e">
        <f>+C$25*E60+D60</f>
        <v>#REF!</v>
      </c>
      <c r="G60" s="389">
        <f>+I59</f>
        <v>19071428.57142856</v>
      </c>
      <c r="H60" s="389">
        <f>+G$28</f>
        <v>857142.85714285716</v>
      </c>
      <c r="I60" s="389">
        <f t="shared" si="2"/>
        <v>18214285.714285702</v>
      </c>
      <c r="J60" s="378" t="e">
        <f>+G$25*I60+H60</f>
        <v>#REF!</v>
      </c>
      <c r="K60" s="392">
        <f>+M59</f>
        <v>13875000</v>
      </c>
      <c r="L60" s="389">
        <f>+K$28</f>
        <v>500000</v>
      </c>
      <c r="M60" s="389">
        <f t="shared" si="3"/>
        <v>13375000</v>
      </c>
      <c r="N60" s="378" t="e">
        <f>+K$25*M60+L60</f>
        <v>#REF!</v>
      </c>
      <c r="O60" s="392">
        <f>+Q59</f>
        <v>21625000</v>
      </c>
      <c r="P60" s="389">
        <f>+O$28</f>
        <v>750000</v>
      </c>
      <c r="Q60" s="389">
        <f t="shared" si="5"/>
        <v>20875000</v>
      </c>
      <c r="R60" s="378" t="e">
        <f>+O$25*Q60+P60</f>
        <v>#REF!</v>
      </c>
      <c r="S60" s="392">
        <f>+U59</f>
        <v>14083333.333333332</v>
      </c>
      <c r="T60" s="389">
        <f>+S$28</f>
        <v>500000</v>
      </c>
      <c r="U60" s="389">
        <f t="shared" si="6"/>
        <v>13583333.333333332</v>
      </c>
      <c r="V60" s="378" t="e">
        <f>+S$25*U60+T60</f>
        <v>#REF!</v>
      </c>
      <c r="W60" s="392">
        <f>+Y59</f>
        <v>22000000</v>
      </c>
      <c r="X60" s="389">
        <f>+W$28</f>
        <v>750000</v>
      </c>
      <c r="Y60" s="389">
        <f t="shared" si="7"/>
        <v>21250000</v>
      </c>
      <c r="Z60" s="378" t="e">
        <f>+W$25*Y60+X60</f>
        <v>#REF!</v>
      </c>
      <c r="AA60" s="392">
        <f>+AC59</f>
        <v>14238095.238095243</v>
      </c>
      <c r="AB60" s="389">
        <f>+AA$28</f>
        <v>571428.57142857148</v>
      </c>
      <c r="AC60" s="389">
        <f t="shared" si="8"/>
        <v>13666666.666666672</v>
      </c>
      <c r="AD60" s="378" t="e">
        <f>+AA$25*AC60+AB60</f>
        <v>#REF!</v>
      </c>
      <c r="AE60" s="392">
        <f>+AG59</f>
        <v>18800000</v>
      </c>
      <c r="AF60" s="389">
        <f>+AE$28</f>
        <v>1200000</v>
      </c>
      <c r="AG60" s="389">
        <f t="shared" si="9"/>
        <v>17600000</v>
      </c>
      <c r="AH60" s="378" t="e">
        <f>+AE$25*AG60+AF60</f>
        <v>#REF!</v>
      </c>
      <c r="AI60" s="392">
        <f>+AK59</f>
        <v>13833333.33333333</v>
      </c>
      <c r="AJ60" s="389">
        <f>+AI$28</f>
        <v>666666.66666666663</v>
      </c>
      <c r="AK60" s="389">
        <f t="shared" si="10"/>
        <v>13166666.666666664</v>
      </c>
      <c r="AL60" s="378" t="e">
        <f>+AI$25*AK60+AJ60</f>
        <v>#REF!</v>
      </c>
      <c r="AM60" s="408" t="e">
        <f t="shared" si="1"/>
        <v>#REF!</v>
      </c>
      <c r="AN60" s="146"/>
      <c r="AO60" s="390" t="e">
        <f>+AM60</f>
        <v>#REF!</v>
      </c>
    </row>
    <row r="61" spans="1:41" ht="13">
      <c r="A61" s="331" t="s">
        <v>430</v>
      </c>
      <c r="B61" s="388">
        <f t="shared" si="4"/>
        <v>2019</v>
      </c>
      <c r="C61" s="389">
        <f>+C60</f>
        <v>11000000.000000002</v>
      </c>
      <c r="D61" s="389">
        <f>+D60</f>
        <v>666666.66666666663</v>
      </c>
      <c r="E61" s="389">
        <f t="shared" si="0"/>
        <v>10333333.333333336</v>
      </c>
      <c r="F61" s="378" t="e">
        <f>+C$26*E61+D61</f>
        <v>#REF!</v>
      </c>
      <c r="G61" s="389">
        <f>+G60</f>
        <v>19071428.57142856</v>
      </c>
      <c r="H61" s="389">
        <f>+H60</f>
        <v>857142.85714285716</v>
      </c>
      <c r="I61" s="389">
        <f t="shared" si="2"/>
        <v>18214285.714285702</v>
      </c>
      <c r="J61" s="378" t="e">
        <f>+G$26*I61+H61</f>
        <v>#REF!</v>
      </c>
      <c r="K61" s="392">
        <f>+K60</f>
        <v>13875000</v>
      </c>
      <c r="L61" s="389">
        <f>+L60</f>
        <v>500000</v>
      </c>
      <c r="M61" s="389">
        <f t="shared" si="3"/>
        <v>13375000</v>
      </c>
      <c r="N61" s="378" t="e">
        <f>+K$26*M61+L61</f>
        <v>#REF!</v>
      </c>
      <c r="O61" s="392">
        <f>+O60</f>
        <v>21625000</v>
      </c>
      <c r="P61" s="389">
        <f>+P60</f>
        <v>750000</v>
      </c>
      <c r="Q61" s="389">
        <f t="shared" si="5"/>
        <v>20875000</v>
      </c>
      <c r="R61" s="378" t="e">
        <f>+O$26*Q61+P61</f>
        <v>#REF!</v>
      </c>
      <c r="S61" s="392">
        <f>+S60</f>
        <v>14083333.333333332</v>
      </c>
      <c r="T61" s="389">
        <f>+T60</f>
        <v>500000</v>
      </c>
      <c r="U61" s="389">
        <f t="shared" si="6"/>
        <v>13583333.333333332</v>
      </c>
      <c r="V61" s="378" t="e">
        <f>+S$26*U61+T61</f>
        <v>#REF!</v>
      </c>
      <c r="W61" s="392">
        <f>+W60</f>
        <v>22000000</v>
      </c>
      <c r="X61" s="389">
        <f>+X60</f>
        <v>750000</v>
      </c>
      <c r="Y61" s="389">
        <f t="shared" si="7"/>
        <v>21250000</v>
      </c>
      <c r="Z61" s="378" t="e">
        <f>+W$26*Y61+X61</f>
        <v>#REF!</v>
      </c>
      <c r="AA61" s="392">
        <f>+AA60</f>
        <v>14238095.238095243</v>
      </c>
      <c r="AB61" s="389">
        <f>+AB60</f>
        <v>571428.57142857148</v>
      </c>
      <c r="AC61" s="389">
        <f t="shared" si="8"/>
        <v>13666666.666666672</v>
      </c>
      <c r="AD61" s="378" t="e">
        <f>+AA$26*AC61+AB61</f>
        <v>#REF!</v>
      </c>
      <c r="AE61" s="392">
        <f>+AE60</f>
        <v>18800000</v>
      </c>
      <c r="AF61" s="389">
        <f>+AF60</f>
        <v>1200000</v>
      </c>
      <c r="AG61" s="389">
        <f t="shared" si="9"/>
        <v>17600000</v>
      </c>
      <c r="AH61" s="378" t="e">
        <f>+AE$26*AG61+AF61</f>
        <v>#REF!</v>
      </c>
      <c r="AI61" s="392">
        <f>+AI60</f>
        <v>13833333.33333333</v>
      </c>
      <c r="AJ61" s="389">
        <f>+AJ60</f>
        <v>666666.66666666663</v>
      </c>
      <c r="AK61" s="389">
        <f t="shared" si="10"/>
        <v>13166666.666666664</v>
      </c>
      <c r="AL61" s="378" t="e">
        <f>+AI$26*AK61+AJ61</f>
        <v>#REF!</v>
      </c>
      <c r="AM61" s="408" t="e">
        <f t="shared" si="1"/>
        <v>#REF!</v>
      </c>
      <c r="AN61" s="391" t="e">
        <f>+AM61</f>
        <v>#REF!</v>
      </c>
      <c r="AO61" s="329"/>
    </row>
    <row r="62" spans="1:41" ht="13">
      <c r="A62" s="331" t="s">
        <v>465</v>
      </c>
      <c r="B62" s="388">
        <f t="shared" si="4"/>
        <v>2020</v>
      </c>
      <c r="C62" s="389">
        <f>+E61</f>
        <v>10333333.333333336</v>
      </c>
      <c r="D62" s="389">
        <f>+C$28</f>
        <v>666666.66666666663</v>
      </c>
      <c r="E62" s="389">
        <f t="shared" si="0"/>
        <v>9666666.6666666698</v>
      </c>
      <c r="F62" s="378" t="e">
        <f>+C$25*E62+D62</f>
        <v>#REF!</v>
      </c>
      <c r="G62" s="389">
        <f>+I61</f>
        <v>18214285.714285702</v>
      </c>
      <c r="H62" s="389">
        <f>+G$28</f>
        <v>857142.85714285716</v>
      </c>
      <c r="I62" s="389">
        <f t="shared" si="2"/>
        <v>17357142.857142843</v>
      </c>
      <c r="J62" s="378" t="e">
        <f>+G$25*I62+H62</f>
        <v>#REF!</v>
      </c>
      <c r="K62" s="392">
        <f>+M61</f>
        <v>13375000</v>
      </c>
      <c r="L62" s="389">
        <f>+K$28</f>
        <v>500000</v>
      </c>
      <c r="M62" s="389">
        <f t="shared" si="3"/>
        <v>12875000</v>
      </c>
      <c r="N62" s="378" t="e">
        <f>+K$25*M62+L62</f>
        <v>#REF!</v>
      </c>
      <c r="O62" s="392">
        <f>+Q61</f>
        <v>20875000</v>
      </c>
      <c r="P62" s="389">
        <f>+O$28</f>
        <v>750000</v>
      </c>
      <c r="Q62" s="389">
        <f t="shared" si="5"/>
        <v>20125000</v>
      </c>
      <c r="R62" s="378" t="e">
        <f>+O$25*Q62+P62</f>
        <v>#REF!</v>
      </c>
      <c r="S62" s="392">
        <f>+U61</f>
        <v>13583333.333333332</v>
      </c>
      <c r="T62" s="389">
        <f>+S$28</f>
        <v>500000</v>
      </c>
      <c r="U62" s="389">
        <f t="shared" si="6"/>
        <v>13083333.333333332</v>
      </c>
      <c r="V62" s="378" t="e">
        <f>+S$25*U62+T62</f>
        <v>#REF!</v>
      </c>
      <c r="W62" s="392">
        <f>+Y61</f>
        <v>21250000</v>
      </c>
      <c r="X62" s="389">
        <f>+W$28</f>
        <v>750000</v>
      </c>
      <c r="Y62" s="389">
        <f t="shared" si="7"/>
        <v>20500000</v>
      </c>
      <c r="Z62" s="378" t="e">
        <f>+W$25*Y62+X62</f>
        <v>#REF!</v>
      </c>
      <c r="AA62" s="392">
        <f>+AC61</f>
        <v>13666666.666666672</v>
      </c>
      <c r="AB62" s="389">
        <f>+AA$28</f>
        <v>571428.57142857148</v>
      </c>
      <c r="AC62" s="389">
        <f t="shared" si="8"/>
        <v>13095238.095238101</v>
      </c>
      <c r="AD62" s="378" t="e">
        <f>+AA$25*AC62+AB62</f>
        <v>#REF!</v>
      </c>
      <c r="AE62" s="392">
        <f>+AG61</f>
        <v>17600000</v>
      </c>
      <c r="AF62" s="389">
        <f>+AE$28</f>
        <v>1200000</v>
      </c>
      <c r="AG62" s="389">
        <f t="shared" si="9"/>
        <v>16400000</v>
      </c>
      <c r="AH62" s="378" t="e">
        <f>+AE$25*AG62+AF62</f>
        <v>#REF!</v>
      </c>
      <c r="AI62" s="392">
        <f>+AK61</f>
        <v>13166666.666666664</v>
      </c>
      <c r="AJ62" s="389">
        <f>+AI$28</f>
        <v>666666.66666666663</v>
      </c>
      <c r="AK62" s="389">
        <f t="shared" si="10"/>
        <v>12499999.999999998</v>
      </c>
      <c r="AL62" s="378" t="e">
        <f>+AI$25*AK62+AJ62</f>
        <v>#REF!</v>
      </c>
      <c r="AM62" s="408" t="e">
        <f t="shared" si="1"/>
        <v>#REF!</v>
      </c>
      <c r="AN62" s="146"/>
      <c r="AO62" s="390" t="e">
        <f>+AM62</f>
        <v>#REF!</v>
      </c>
    </row>
    <row r="63" spans="1:41" ht="13">
      <c r="A63" s="331" t="s">
        <v>430</v>
      </c>
      <c r="B63" s="388">
        <f t="shared" si="4"/>
        <v>2020</v>
      </c>
      <c r="C63" s="389">
        <f>+C62</f>
        <v>10333333.333333336</v>
      </c>
      <c r="D63" s="389">
        <f>+D62</f>
        <v>666666.66666666663</v>
      </c>
      <c r="E63" s="389">
        <f t="shared" si="0"/>
        <v>9666666.6666666698</v>
      </c>
      <c r="F63" s="378" t="e">
        <f>+C$26*E63+D63</f>
        <v>#REF!</v>
      </c>
      <c r="G63" s="389">
        <f>+G62</f>
        <v>18214285.714285702</v>
      </c>
      <c r="H63" s="389">
        <f>+H62</f>
        <v>857142.85714285716</v>
      </c>
      <c r="I63" s="389">
        <f t="shared" si="2"/>
        <v>17357142.857142843</v>
      </c>
      <c r="J63" s="378" t="e">
        <f>+G$26*I63+H63</f>
        <v>#REF!</v>
      </c>
      <c r="K63" s="392">
        <f>+K62</f>
        <v>13375000</v>
      </c>
      <c r="L63" s="389">
        <f>+L62</f>
        <v>500000</v>
      </c>
      <c r="M63" s="389">
        <f t="shared" si="3"/>
        <v>12875000</v>
      </c>
      <c r="N63" s="378" t="e">
        <f>+K$26*M63+L63</f>
        <v>#REF!</v>
      </c>
      <c r="O63" s="392">
        <f>+O62</f>
        <v>20875000</v>
      </c>
      <c r="P63" s="389">
        <f>+P62</f>
        <v>750000</v>
      </c>
      <c r="Q63" s="389">
        <f t="shared" si="5"/>
        <v>20125000</v>
      </c>
      <c r="R63" s="378" t="e">
        <f>+O$26*Q63+P63</f>
        <v>#REF!</v>
      </c>
      <c r="S63" s="392">
        <f>+S62</f>
        <v>13583333.333333332</v>
      </c>
      <c r="T63" s="389">
        <f>+T62</f>
        <v>500000</v>
      </c>
      <c r="U63" s="389">
        <f t="shared" si="6"/>
        <v>13083333.333333332</v>
      </c>
      <c r="V63" s="378" t="e">
        <f>+S$26*U63+T63</f>
        <v>#REF!</v>
      </c>
      <c r="W63" s="392">
        <f>+W62</f>
        <v>21250000</v>
      </c>
      <c r="X63" s="389">
        <f>+X62</f>
        <v>750000</v>
      </c>
      <c r="Y63" s="389">
        <f t="shared" si="7"/>
        <v>20500000</v>
      </c>
      <c r="Z63" s="378" t="e">
        <f>+W$26*Y63+X63</f>
        <v>#REF!</v>
      </c>
      <c r="AA63" s="392">
        <f>+AA62</f>
        <v>13666666.666666672</v>
      </c>
      <c r="AB63" s="389">
        <f>+AB62</f>
        <v>571428.57142857148</v>
      </c>
      <c r="AC63" s="389">
        <f t="shared" si="8"/>
        <v>13095238.095238101</v>
      </c>
      <c r="AD63" s="378" t="e">
        <f>+AA$26*AC63+AB63</f>
        <v>#REF!</v>
      </c>
      <c r="AE63" s="392">
        <f>+AE62</f>
        <v>17600000</v>
      </c>
      <c r="AF63" s="389">
        <f>+AF62</f>
        <v>1200000</v>
      </c>
      <c r="AG63" s="389">
        <f t="shared" si="9"/>
        <v>16400000</v>
      </c>
      <c r="AH63" s="378" t="e">
        <f>+AE$26*AG63+AF63</f>
        <v>#REF!</v>
      </c>
      <c r="AI63" s="392">
        <f>+AI62</f>
        <v>13166666.666666664</v>
      </c>
      <c r="AJ63" s="389">
        <f>+AJ62</f>
        <v>666666.66666666663</v>
      </c>
      <c r="AK63" s="389">
        <f t="shared" si="10"/>
        <v>12499999.999999998</v>
      </c>
      <c r="AL63" s="378" t="e">
        <f>+AI$26*AK63+AJ63</f>
        <v>#REF!</v>
      </c>
      <c r="AM63" s="408" t="e">
        <f t="shared" si="1"/>
        <v>#REF!</v>
      </c>
      <c r="AN63" s="391" t="e">
        <f>+AM63</f>
        <v>#REF!</v>
      </c>
      <c r="AO63" s="329"/>
    </row>
    <row r="64" spans="1:41" ht="13">
      <c r="A64" s="331" t="s">
        <v>465</v>
      </c>
      <c r="B64" s="388">
        <f t="shared" si="4"/>
        <v>2021</v>
      </c>
      <c r="C64" s="389">
        <f>+E63</f>
        <v>9666666.6666666698</v>
      </c>
      <c r="D64" s="389">
        <f>+C$28</f>
        <v>666666.66666666663</v>
      </c>
      <c r="E64" s="389">
        <f t="shared" ref="E64:E71" si="11">+C64-D64</f>
        <v>9000000.0000000037</v>
      </c>
      <c r="F64" s="378" t="e">
        <f>+C$25*E64+D64</f>
        <v>#REF!</v>
      </c>
      <c r="G64" s="389">
        <f>+I63</f>
        <v>17357142.857142843</v>
      </c>
      <c r="H64" s="389">
        <f>+G$28</f>
        <v>857142.85714285716</v>
      </c>
      <c r="I64" s="389">
        <f t="shared" si="2"/>
        <v>16499999.999999987</v>
      </c>
      <c r="J64" s="378" t="e">
        <f>+G$25*I64+H64</f>
        <v>#REF!</v>
      </c>
      <c r="K64" s="392">
        <f>+M63</f>
        <v>12875000</v>
      </c>
      <c r="L64" s="389">
        <f>+K$28</f>
        <v>500000</v>
      </c>
      <c r="M64" s="389">
        <f t="shared" si="3"/>
        <v>12375000</v>
      </c>
      <c r="N64" s="378" t="e">
        <f>+K$25*M64+L64</f>
        <v>#REF!</v>
      </c>
      <c r="O64" s="392">
        <f>+Q63</f>
        <v>20125000</v>
      </c>
      <c r="P64" s="389">
        <f>+O$28</f>
        <v>750000</v>
      </c>
      <c r="Q64" s="389">
        <f t="shared" si="5"/>
        <v>19375000</v>
      </c>
      <c r="R64" s="378" t="e">
        <f>+O$25*Q64+P64</f>
        <v>#REF!</v>
      </c>
      <c r="S64" s="392">
        <f>+U63</f>
        <v>13083333.333333332</v>
      </c>
      <c r="T64" s="389">
        <f>+S$28</f>
        <v>500000</v>
      </c>
      <c r="U64" s="389">
        <f t="shared" si="6"/>
        <v>12583333.333333332</v>
      </c>
      <c r="V64" s="378" t="e">
        <f>+S$25*U64+T64</f>
        <v>#REF!</v>
      </c>
      <c r="W64" s="392">
        <f>+Y63</f>
        <v>20500000</v>
      </c>
      <c r="X64" s="389">
        <f>+W$28</f>
        <v>750000</v>
      </c>
      <c r="Y64" s="389">
        <f t="shared" si="7"/>
        <v>19750000</v>
      </c>
      <c r="Z64" s="378" t="e">
        <f>+W$25*Y64+X64</f>
        <v>#REF!</v>
      </c>
      <c r="AA64" s="392">
        <f>+AC63</f>
        <v>13095238.095238101</v>
      </c>
      <c r="AB64" s="389">
        <f>+AA$28</f>
        <v>571428.57142857148</v>
      </c>
      <c r="AC64" s="389">
        <f t="shared" si="8"/>
        <v>12523809.52380953</v>
      </c>
      <c r="AD64" s="378" t="e">
        <f>+AA$25*AC64+AB64</f>
        <v>#REF!</v>
      </c>
      <c r="AE64" s="392">
        <f>+AG63</f>
        <v>16400000</v>
      </c>
      <c r="AF64" s="389">
        <f>+AE$28</f>
        <v>1200000</v>
      </c>
      <c r="AG64" s="389">
        <f t="shared" si="9"/>
        <v>15200000</v>
      </c>
      <c r="AH64" s="378" t="e">
        <f>+AE$25*AG64+AF64</f>
        <v>#REF!</v>
      </c>
      <c r="AI64" s="392">
        <f>+AK63</f>
        <v>12499999.999999998</v>
      </c>
      <c r="AJ64" s="389">
        <f>+AI$28</f>
        <v>666666.66666666663</v>
      </c>
      <c r="AK64" s="389">
        <f t="shared" si="10"/>
        <v>11833333.333333332</v>
      </c>
      <c r="AL64" s="378" t="e">
        <f>+AI$25*AK64+AJ64</f>
        <v>#REF!</v>
      </c>
      <c r="AM64" s="408" t="e">
        <f t="shared" si="1"/>
        <v>#REF!</v>
      </c>
      <c r="AN64" s="146"/>
      <c r="AO64" s="390" t="e">
        <f>+AM64</f>
        <v>#REF!</v>
      </c>
    </row>
    <row r="65" spans="1:41" ht="13">
      <c r="A65" s="331" t="s">
        <v>430</v>
      </c>
      <c r="B65" s="388">
        <f t="shared" si="4"/>
        <v>2021</v>
      </c>
      <c r="C65" s="389">
        <f>+C64</f>
        <v>9666666.6666666698</v>
      </c>
      <c r="D65" s="389">
        <f>+D64</f>
        <v>666666.66666666663</v>
      </c>
      <c r="E65" s="389">
        <f t="shared" si="11"/>
        <v>9000000.0000000037</v>
      </c>
      <c r="F65" s="378" t="e">
        <f>+C$26*E65+D65</f>
        <v>#REF!</v>
      </c>
      <c r="G65" s="389">
        <f>+G64</f>
        <v>17357142.857142843</v>
      </c>
      <c r="H65" s="389">
        <f>+H64</f>
        <v>857142.85714285716</v>
      </c>
      <c r="I65" s="389">
        <f t="shared" si="2"/>
        <v>16499999.999999987</v>
      </c>
      <c r="J65" s="378" t="e">
        <f>+G$26*I65+H65</f>
        <v>#REF!</v>
      </c>
      <c r="K65" s="392">
        <f>+K64</f>
        <v>12875000</v>
      </c>
      <c r="L65" s="389">
        <f>+L64</f>
        <v>500000</v>
      </c>
      <c r="M65" s="389">
        <f t="shared" si="3"/>
        <v>12375000</v>
      </c>
      <c r="N65" s="378" t="e">
        <f>+K$26*M65+L65</f>
        <v>#REF!</v>
      </c>
      <c r="O65" s="392">
        <f>+O64</f>
        <v>20125000</v>
      </c>
      <c r="P65" s="389">
        <f>+P64</f>
        <v>750000</v>
      </c>
      <c r="Q65" s="389">
        <f t="shared" si="5"/>
        <v>19375000</v>
      </c>
      <c r="R65" s="378" t="e">
        <f>+O$26*Q65+P65</f>
        <v>#REF!</v>
      </c>
      <c r="S65" s="392">
        <f>+S64</f>
        <v>13083333.333333332</v>
      </c>
      <c r="T65" s="389">
        <f>+T64</f>
        <v>500000</v>
      </c>
      <c r="U65" s="389">
        <f t="shared" si="6"/>
        <v>12583333.333333332</v>
      </c>
      <c r="V65" s="378" t="e">
        <f>+S$26*U65+T65</f>
        <v>#REF!</v>
      </c>
      <c r="W65" s="392">
        <f>+W64</f>
        <v>20500000</v>
      </c>
      <c r="X65" s="389">
        <f>+X64</f>
        <v>750000</v>
      </c>
      <c r="Y65" s="389">
        <f t="shared" si="7"/>
        <v>19750000</v>
      </c>
      <c r="Z65" s="378" t="e">
        <f>+W$26*Y65+X65</f>
        <v>#REF!</v>
      </c>
      <c r="AA65" s="392">
        <f>+AA64</f>
        <v>13095238.095238101</v>
      </c>
      <c r="AB65" s="389">
        <f>+AB64</f>
        <v>571428.57142857148</v>
      </c>
      <c r="AC65" s="389">
        <f t="shared" si="8"/>
        <v>12523809.52380953</v>
      </c>
      <c r="AD65" s="378" t="e">
        <f>+AA$26*AC65+AB65</f>
        <v>#REF!</v>
      </c>
      <c r="AE65" s="392">
        <f>+AE64</f>
        <v>16400000</v>
      </c>
      <c r="AF65" s="389">
        <f>+AF64</f>
        <v>1200000</v>
      </c>
      <c r="AG65" s="389">
        <f t="shared" si="9"/>
        <v>15200000</v>
      </c>
      <c r="AH65" s="378" t="e">
        <f>+AE$26*AG65+AF65</f>
        <v>#REF!</v>
      </c>
      <c r="AI65" s="392">
        <f>+AI64</f>
        <v>12499999.999999998</v>
      </c>
      <c r="AJ65" s="389">
        <f>+AJ64</f>
        <v>666666.66666666663</v>
      </c>
      <c r="AK65" s="389">
        <f t="shared" si="10"/>
        <v>11833333.333333332</v>
      </c>
      <c r="AL65" s="378" t="e">
        <f>+AI$26*AK65+AJ65</f>
        <v>#REF!</v>
      </c>
      <c r="AM65" s="408" t="e">
        <f t="shared" si="1"/>
        <v>#REF!</v>
      </c>
      <c r="AN65" s="391" t="e">
        <f>+AM65</f>
        <v>#REF!</v>
      </c>
      <c r="AO65" s="329"/>
    </row>
    <row r="66" spans="1:41" ht="13">
      <c r="A66" s="331" t="s">
        <v>465</v>
      </c>
      <c r="B66" s="388">
        <f t="shared" si="4"/>
        <v>2022</v>
      </c>
      <c r="C66" s="389">
        <f>+E65</f>
        <v>9000000.0000000037</v>
      </c>
      <c r="D66" s="389">
        <f>+C$28</f>
        <v>666666.66666666663</v>
      </c>
      <c r="E66" s="389">
        <f t="shared" si="11"/>
        <v>8333333.3333333367</v>
      </c>
      <c r="F66" s="378" t="e">
        <f>+C$25*E66+D66</f>
        <v>#REF!</v>
      </c>
      <c r="G66" s="389">
        <f>+I65</f>
        <v>16499999.999999987</v>
      </c>
      <c r="H66" s="389">
        <f>+G$28</f>
        <v>857142.85714285716</v>
      </c>
      <c r="I66" s="389">
        <f t="shared" ref="I66:I71" si="12">+G66-H66</f>
        <v>15642857.142857131</v>
      </c>
      <c r="J66" s="378" t="e">
        <f>+G$25*I66+H66</f>
        <v>#REF!</v>
      </c>
      <c r="K66" s="392">
        <f>+M65</f>
        <v>12375000</v>
      </c>
      <c r="L66" s="389">
        <f>+K$28</f>
        <v>500000</v>
      </c>
      <c r="M66" s="389">
        <f t="shared" ref="M66:M71" si="13">+K66-L66</f>
        <v>11875000</v>
      </c>
      <c r="N66" s="378" t="e">
        <f>+K$25*M66+L66</f>
        <v>#REF!</v>
      </c>
      <c r="O66" s="392">
        <f>+Q65</f>
        <v>19375000</v>
      </c>
      <c r="P66" s="389">
        <f>+O$28</f>
        <v>750000</v>
      </c>
      <c r="Q66" s="389">
        <f t="shared" si="5"/>
        <v>18625000</v>
      </c>
      <c r="R66" s="378" t="e">
        <f>+O$25*Q66+P66</f>
        <v>#REF!</v>
      </c>
      <c r="S66" s="392">
        <f>+U65</f>
        <v>12583333.333333332</v>
      </c>
      <c r="T66" s="389">
        <f>+S$28</f>
        <v>500000</v>
      </c>
      <c r="U66" s="389">
        <f t="shared" si="6"/>
        <v>12083333.333333332</v>
      </c>
      <c r="V66" s="378" t="e">
        <f>+S$25*U66+T66</f>
        <v>#REF!</v>
      </c>
      <c r="W66" s="392">
        <f>+Y65</f>
        <v>19750000</v>
      </c>
      <c r="X66" s="389">
        <f>+W$28</f>
        <v>750000</v>
      </c>
      <c r="Y66" s="389">
        <f t="shared" si="7"/>
        <v>19000000</v>
      </c>
      <c r="Z66" s="378" t="e">
        <f>+W$25*Y66+X66</f>
        <v>#REF!</v>
      </c>
      <c r="AA66" s="392">
        <f>+AC65</f>
        <v>12523809.52380953</v>
      </c>
      <c r="AB66" s="389">
        <f>+AA$28</f>
        <v>571428.57142857148</v>
      </c>
      <c r="AC66" s="389">
        <f t="shared" si="8"/>
        <v>11952380.952380959</v>
      </c>
      <c r="AD66" s="378" t="e">
        <f>+AA$25*AC66+AB66</f>
        <v>#REF!</v>
      </c>
      <c r="AE66" s="392">
        <f>+AG65</f>
        <v>15200000</v>
      </c>
      <c r="AF66" s="389">
        <f>+AE$28</f>
        <v>1200000</v>
      </c>
      <c r="AG66" s="389">
        <f t="shared" si="9"/>
        <v>14000000</v>
      </c>
      <c r="AH66" s="378" t="e">
        <f>+AE$25*AG66+AF66</f>
        <v>#REF!</v>
      </c>
      <c r="AI66" s="392">
        <f>+AK65</f>
        <v>11833333.333333332</v>
      </c>
      <c r="AJ66" s="389">
        <f>+AI$28</f>
        <v>666666.66666666663</v>
      </c>
      <c r="AK66" s="389">
        <f t="shared" si="10"/>
        <v>11166666.666666666</v>
      </c>
      <c r="AL66" s="378" t="e">
        <f>+AI$25*AK66+AJ66</f>
        <v>#REF!</v>
      </c>
      <c r="AM66" s="408" t="e">
        <f t="shared" si="1"/>
        <v>#REF!</v>
      </c>
      <c r="AN66" s="146"/>
      <c r="AO66" s="390" t="e">
        <f>+AM66</f>
        <v>#REF!</v>
      </c>
    </row>
    <row r="67" spans="1:41" ht="13">
      <c r="A67" s="331" t="s">
        <v>430</v>
      </c>
      <c r="B67" s="388">
        <f t="shared" si="4"/>
        <v>2022</v>
      </c>
      <c r="C67" s="389">
        <f>+C66</f>
        <v>9000000.0000000037</v>
      </c>
      <c r="D67" s="389">
        <f>+D66</f>
        <v>666666.66666666663</v>
      </c>
      <c r="E67" s="389">
        <f t="shared" si="11"/>
        <v>8333333.3333333367</v>
      </c>
      <c r="F67" s="378" t="e">
        <f>+C$26*E67+D67</f>
        <v>#REF!</v>
      </c>
      <c r="G67" s="389">
        <f>+G66</f>
        <v>16499999.999999987</v>
      </c>
      <c r="H67" s="389">
        <f>+H66</f>
        <v>857142.85714285716</v>
      </c>
      <c r="I67" s="389">
        <f t="shared" si="12"/>
        <v>15642857.142857131</v>
      </c>
      <c r="J67" s="378" t="e">
        <f>+G$26*I67+H67</f>
        <v>#REF!</v>
      </c>
      <c r="K67" s="392">
        <f>+K66</f>
        <v>12375000</v>
      </c>
      <c r="L67" s="389">
        <f>+L66</f>
        <v>500000</v>
      </c>
      <c r="M67" s="389">
        <f t="shared" si="13"/>
        <v>11875000</v>
      </c>
      <c r="N67" s="378" t="e">
        <f>+K$26*M67+L67</f>
        <v>#REF!</v>
      </c>
      <c r="O67" s="392">
        <f>+O66</f>
        <v>19375000</v>
      </c>
      <c r="P67" s="389">
        <f>+P66</f>
        <v>750000</v>
      </c>
      <c r="Q67" s="389">
        <f t="shared" si="5"/>
        <v>18625000</v>
      </c>
      <c r="R67" s="378" t="e">
        <f>+O$26*Q67+P67</f>
        <v>#REF!</v>
      </c>
      <c r="S67" s="392">
        <f>+S66</f>
        <v>12583333.333333332</v>
      </c>
      <c r="T67" s="389">
        <f>+T66</f>
        <v>500000</v>
      </c>
      <c r="U67" s="389">
        <f t="shared" si="6"/>
        <v>12083333.333333332</v>
      </c>
      <c r="V67" s="378" t="e">
        <f>+S$26*U67+T67</f>
        <v>#REF!</v>
      </c>
      <c r="W67" s="392">
        <f>+W66</f>
        <v>19750000</v>
      </c>
      <c r="X67" s="389">
        <f>+X66</f>
        <v>750000</v>
      </c>
      <c r="Y67" s="389">
        <f t="shared" si="7"/>
        <v>19000000</v>
      </c>
      <c r="Z67" s="378" t="e">
        <f>+W$26*Y67+X67</f>
        <v>#REF!</v>
      </c>
      <c r="AA67" s="392">
        <f>+AA66</f>
        <v>12523809.52380953</v>
      </c>
      <c r="AB67" s="389">
        <f>+AB66</f>
        <v>571428.57142857148</v>
      </c>
      <c r="AC67" s="389">
        <f t="shared" si="8"/>
        <v>11952380.952380959</v>
      </c>
      <c r="AD67" s="378" t="e">
        <f>+AA$26*AC67+AB67</f>
        <v>#REF!</v>
      </c>
      <c r="AE67" s="392">
        <f>+AE66</f>
        <v>15200000</v>
      </c>
      <c r="AF67" s="389">
        <f>+AF66</f>
        <v>1200000</v>
      </c>
      <c r="AG67" s="389">
        <f t="shared" si="9"/>
        <v>14000000</v>
      </c>
      <c r="AH67" s="378" t="e">
        <f>+AE$26*AG67+AF67</f>
        <v>#REF!</v>
      </c>
      <c r="AI67" s="392">
        <f>+AI66</f>
        <v>11833333.333333332</v>
      </c>
      <c r="AJ67" s="389">
        <f>+AJ66</f>
        <v>666666.66666666663</v>
      </c>
      <c r="AK67" s="389">
        <f t="shared" si="10"/>
        <v>11166666.666666666</v>
      </c>
      <c r="AL67" s="378" t="e">
        <f>+AI$26*AK67+AJ67</f>
        <v>#REF!</v>
      </c>
      <c r="AM67" s="408" t="e">
        <f t="shared" si="1"/>
        <v>#REF!</v>
      </c>
      <c r="AN67" s="391" t="e">
        <f>+AM67</f>
        <v>#REF!</v>
      </c>
      <c r="AO67" s="329"/>
    </row>
    <row r="68" spans="1:41" ht="13">
      <c r="A68" s="331" t="s">
        <v>465</v>
      </c>
      <c r="B68" s="388">
        <f t="shared" si="4"/>
        <v>2023</v>
      </c>
      <c r="C68" s="389">
        <f>+E67</f>
        <v>8333333.3333333367</v>
      </c>
      <c r="D68" s="389">
        <f>+C$28</f>
        <v>666666.66666666663</v>
      </c>
      <c r="E68" s="389">
        <f t="shared" si="11"/>
        <v>7666666.6666666698</v>
      </c>
      <c r="F68" s="378" t="e">
        <f>+C$25*E68+D68</f>
        <v>#REF!</v>
      </c>
      <c r="G68" s="389">
        <f>+I67</f>
        <v>15642857.142857131</v>
      </c>
      <c r="H68" s="389">
        <f>+G$28</f>
        <v>857142.85714285716</v>
      </c>
      <c r="I68" s="389">
        <f t="shared" si="12"/>
        <v>14785714.285714274</v>
      </c>
      <c r="J68" s="378" t="e">
        <f>+G$25*I68+H68</f>
        <v>#REF!</v>
      </c>
      <c r="K68" s="392">
        <f>+M67</f>
        <v>11875000</v>
      </c>
      <c r="L68" s="389">
        <f>+K$28</f>
        <v>500000</v>
      </c>
      <c r="M68" s="389">
        <f t="shared" si="13"/>
        <v>11375000</v>
      </c>
      <c r="N68" s="378" t="e">
        <f>+K$25*M68+L68</f>
        <v>#REF!</v>
      </c>
      <c r="O68" s="392">
        <f>+Q67</f>
        <v>18625000</v>
      </c>
      <c r="P68" s="389">
        <f>+O$28</f>
        <v>750000</v>
      </c>
      <c r="Q68" s="389">
        <f>+O68-P68</f>
        <v>17875000</v>
      </c>
      <c r="R68" s="378" t="e">
        <f>+O$25*Q68+P68</f>
        <v>#REF!</v>
      </c>
      <c r="S68" s="392">
        <f>+U67</f>
        <v>12083333.333333332</v>
      </c>
      <c r="T68" s="389">
        <f>+S$28</f>
        <v>500000</v>
      </c>
      <c r="U68" s="389">
        <f>+S68-T68</f>
        <v>11583333.333333332</v>
      </c>
      <c r="V68" s="378" t="e">
        <f>+S$25*U68+T68</f>
        <v>#REF!</v>
      </c>
      <c r="W68" s="392">
        <f>+Y67</f>
        <v>19000000</v>
      </c>
      <c r="X68" s="389">
        <f>+W$28</f>
        <v>750000</v>
      </c>
      <c r="Y68" s="389">
        <f t="shared" si="7"/>
        <v>18250000</v>
      </c>
      <c r="Z68" s="378" t="e">
        <f>+W$25*Y68+X68</f>
        <v>#REF!</v>
      </c>
      <c r="AA68" s="392">
        <f>+AC67</f>
        <v>11952380.952380959</v>
      </c>
      <c r="AB68" s="389">
        <f>+AA$28</f>
        <v>571428.57142857148</v>
      </c>
      <c r="AC68" s="389">
        <f t="shared" si="8"/>
        <v>11380952.380952388</v>
      </c>
      <c r="AD68" s="378" t="e">
        <f>+AA$25*AC68+AB68</f>
        <v>#REF!</v>
      </c>
      <c r="AE68" s="392">
        <f>+AG67</f>
        <v>14000000</v>
      </c>
      <c r="AF68" s="389">
        <f>+AE$28</f>
        <v>1200000</v>
      </c>
      <c r="AG68" s="389">
        <f t="shared" si="9"/>
        <v>12800000</v>
      </c>
      <c r="AH68" s="378" t="e">
        <f>+AE$25*AG68+AF68</f>
        <v>#REF!</v>
      </c>
      <c r="AI68" s="392">
        <f>+AK67</f>
        <v>11166666.666666666</v>
      </c>
      <c r="AJ68" s="389">
        <f>+AI$28</f>
        <v>666666.66666666663</v>
      </c>
      <c r="AK68" s="389">
        <f t="shared" si="10"/>
        <v>10500000</v>
      </c>
      <c r="AL68" s="378" t="e">
        <f>+AI$25*AK68+AJ68</f>
        <v>#REF!</v>
      </c>
      <c r="AM68" s="408" t="e">
        <f t="shared" si="1"/>
        <v>#REF!</v>
      </c>
      <c r="AN68" s="146"/>
      <c r="AO68" s="390" t="e">
        <f>+AM68</f>
        <v>#REF!</v>
      </c>
    </row>
    <row r="69" spans="1:41" ht="13">
      <c r="A69" s="331" t="s">
        <v>430</v>
      </c>
      <c r="B69" s="388">
        <f t="shared" si="4"/>
        <v>2023</v>
      </c>
      <c r="C69" s="389">
        <f>+C68</f>
        <v>8333333.3333333367</v>
      </c>
      <c r="D69" s="389">
        <f>+D68</f>
        <v>666666.66666666663</v>
      </c>
      <c r="E69" s="389">
        <f t="shared" si="11"/>
        <v>7666666.6666666698</v>
      </c>
      <c r="F69" s="378" t="e">
        <f>+C$26*E69+D69</f>
        <v>#REF!</v>
      </c>
      <c r="G69" s="389">
        <f>+G68</f>
        <v>15642857.142857131</v>
      </c>
      <c r="H69" s="389">
        <f>+H68</f>
        <v>857142.85714285716</v>
      </c>
      <c r="I69" s="389">
        <f t="shared" si="12"/>
        <v>14785714.285714274</v>
      </c>
      <c r="J69" s="378" t="e">
        <f>+G$26*I69+H69</f>
        <v>#REF!</v>
      </c>
      <c r="K69" s="392">
        <f>+K68</f>
        <v>11875000</v>
      </c>
      <c r="L69" s="389">
        <f>+L68</f>
        <v>500000</v>
      </c>
      <c r="M69" s="389">
        <f t="shared" si="13"/>
        <v>11375000</v>
      </c>
      <c r="N69" s="378" t="e">
        <f>+K$26*M69+L69</f>
        <v>#REF!</v>
      </c>
      <c r="O69" s="392">
        <f>+O68</f>
        <v>18625000</v>
      </c>
      <c r="P69" s="389">
        <f>+P68</f>
        <v>750000</v>
      </c>
      <c r="Q69" s="389">
        <f>+O69-P69</f>
        <v>17875000</v>
      </c>
      <c r="R69" s="378" t="e">
        <f>+O$26*Q69+P69</f>
        <v>#REF!</v>
      </c>
      <c r="S69" s="392">
        <f>+S68</f>
        <v>12083333.333333332</v>
      </c>
      <c r="T69" s="389">
        <f>+T68</f>
        <v>500000</v>
      </c>
      <c r="U69" s="389">
        <f>+S69-T69</f>
        <v>11583333.333333332</v>
      </c>
      <c r="V69" s="378" t="e">
        <f>+S$26*U69+T69</f>
        <v>#REF!</v>
      </c>
      <c r="W69" s="392">
        <f>+W68</f>
        <v>19000000</v>
      </c>
      <c r="X69" s="389">
        <f>+X68</f>
        <v>750000</v>
      </c>
      <c r="Y69" s="389">
        <f t="shared" si="7"/>
        <v>18250000</v>
      </c>
      <c r="Z69" s="378" t="e">
        <f>+W$26*Y69+X69</f>
        <v>#REF!</v>
      </c>
      <c r="AA69" s="392">
        <f>+AA68</f>
        <v>11952380.952380959</v>
      </c>
      <c r="AB69" s="389">
        <f>+AB68</f>
        <v>571428.57142857148</v>
      </c>
      <c r="AC69" s="389">
        <f t="shared" si="8"/>
        <v>11380952.380952388</v>
      </c>
      <c r="AD69" s="378" t="e">
        <f>+AA$26*AC69+AB69</f>
        <v>#REF!</v>
      </c>
      <c r="AE69" s="392">
        <f>+AE68</f>
        <v>14000000</v>
      </c>
      <c r="AF69" s="389">
        <f>+AF68</f>
        <v>1200000</v>
      </c>
      <c r="AG69" s="389">
        <f t="shared" si="9"/>
        <v>12800000</v>
      </c>
      <c r="AH69" s="378" t="e">
        <f>+AE$26*AG69+AF69</f>
        <v>#REF!</v>
      </c>
      <c r="AI69" s="392">
        <f>+AI68</f>
        <v>11166666.666666666</v>
      </c>
      <c r="AJ69" s="389">
        <f>+AJ68</f>
        <v>666666.66666666663</v>
      </c>
      <c r="AK69" s="389">
        <f t="shared" si="10"/>
        <v>10500000</v>
      </c>
      <c r="AL69" s="378" t="e">
        <f>+AI$26*AK69+AJ69</f>
        <v>#REF!</v>
      </c>
      <c r="AM69" s="408" t="e">
        <f t="shared" si="1"/>
        <v>#REF!</v>
      </c>
      <c r="AN69" s="391" t="e">
        <f>+AM69</f>
        <v>#REF!</v>
      </c>
      <c r="AO69" s="329"/>
    </row>
    <row r="70" spans="1:41" ht="13">
      <c r="A70" s="331" t="s">
        <v>465</v>
      </c>
      <c r="B70" s="388">
        <f t="shared" si="4"/>
        <v>2024</v>
      </c>
      <c r="C70" s="389">
        <f>+E69</f>
        <v>7666666.6666666698</v>
      </c>
      <c r="D70" s="389">
        <f>+C$28</f>
        <v>666666.66666666663</v>
      </c>
      <c r="E70" s="389">
        <f t="shared" si="11"/>
        <v>7000000.0000000028</v>
      </c>
      <c r="F70" s="378" t="e">
        <f>+C$25*E70+D70</f>
        <v>#REF!</v>
      </c>
      <c r="G70" s="389">
        <f>+I69</f>
        <v>14785714.285714274</v>
      </c>
      <c r="H70" s="389">
        <f>+G$28</f>
        <v>857142.85714285716</v>
      </c>
      <c r="I70" s="389">
        <f t="shared" si="12"/>
        <v>13928571.428571418</v>
      </c>
      <c r="J70" s="378" t="e">
        <f>+G$25*I70+H70</f>
        <v>#REF!</v>
      </c>
      <c r="K70" s="392">
        <f>+M69</f>
        <v>11375000</v>
      </c>
      <c r="L70" s="389">
        <f>+K$28</f>
        <v>500000</v>
      </c>
      <c r="M70" s="389">
        <f t="shared" si="13"/>
        <v>10875000</v>
      </c>
      <c r="N70" s="378" t="e">
        <f>+K$25*M70+L70</f>
        <v>#REF!</v>
      </c>
      <c r="O70" s="392">
        <f>+Q69</f>
        <v>17875000</v>
      </c>
      <c r="P70" s="389">
        <f>+O$28</f>
        <v>750000</v>
      </c>
      <c r="Q70" s="389">
        <f>+O70-P70</f>
        <v>17125000</v>
      </c>
      <c r="R70" s="378" t="e">
        <f>+O$25*Q70+P70</f>
        <v>#REF!</v>
      </c>
      <c r="S70" s="392">
        <f>+U69</f>
        <v>11583333.333333332</v>
      </c>
      <c r="T70" s="389">
        <f>+S$28</f>
        <v>500000</v>
      </c>
      <c r="U70" s="389">
        <f>+S70-T70</f>
        <v>11083333.333333332</v>
      </c>
      <c r="V70" s="378" t="e">
        <f>+S$25*U70+T70</f>
        <v>#REF!</v>
      </c>
      <c r="W70" s="392">
        <f>+Y69</f>
        <v>18250000</v>
      </c>
      <c r="X70" s="389">
        <f>+W$28</f>
        <v>750000</v>
      </c>
      <c r="Y70" s="389">
        <f>+W70-X70</f>
        <v>17500000</v>
      </c>
      <c r="Z70" s="378" t="e">
        <f>+W$25*Y70+X70</f>
        <v>#REF!</v>
      </c>
      <c r="AA70" s="392">
        <f>+AC69</f>
        <v>11380952.380952388</v>
      </c>
      <c r="AB70" s="389">
        <f>+AA$28</f>
        <v>571428.57142857148</v>
      </c>
      <c r="AC70" s="389">
        <f>+AA70-AB70</f>
        <v>10809523.809523817</v>
      </c>
      <c r="AD70" s="378" t="e">
        <f>+AA$25*AC70+AB70</f>
        <v>#REF!</v>
      </c>
      <c r="AE70" s="392">
        <f>+AG69</f>
        <v>12800000</v>
      </c>
      <c r="AF70" s="389">
        <f>+AE$28</f>
        <v>1200000</v>
      </c>
      <c r="AG70" s="389">
        <f t="shared" si="9"/>
        <v>11600000</v>
      </c>
      <c r="AH70" s="378" t="e">
        <f>+AE$25*AG70+AF70</f>
        <v>#REF!</v>
      </c>
      <c r="AI70" s="392">
        <f>+AK69</f>
        <v>10500000</v>
      </c>
      <c r="AJ70" s="389">
        <f>+AI$28</f>
        <v>666666.66666666663</v>
      </c>
      <c r="AK70" s="389">
        <f t="shared" si="10"/>
        <v>9833333.333333334</v>
      </c>
      <c r="AL70" s="378" t="e">
        <f>+AI$25*AK70+AJ70</f>
        <v>#REF!</v>
      </c>
      <c r="AM70" s="408" t="e">
        <f t="shared" si="1"/>
        <v>#REF!</v>
      </c>
      <c r="AN70" s="146"/>
      <c r="AO70" s="390" t="e">
        <f>+AM70</f>
        <v>#REF!</v>
      </c>
    </row>
    <row r="71" spans="1:41" ht="13">
      <c r="A71" s="331" t="s">
        <v>430</v>
      </c>
      <c r="B71" s="388">
        <f t="shared" si="4"/>
        <v>2024</v>
      </c>
      <c r="C71" s="389"/>
      <c r="D71" s="389">
        <f>+D70</f>
        <v>666666.66666666663</v>
      </c>
      <c r="E71" s="389">
        <f t="shared" si="11"/>
        <v>-666666.66666666663</v>
      </c>
      <c r="F71" s="378" t="e">
        <f>+C$26*E71+D71</f>
        <v>#REF!</v>
      </c>
      <c r="G71" s="389">
        <f>+G70</f>
        <v>14785714.285714274</v>
      </c>
      <c r="H71" s="389">
        <f>+H70</f>
        <v>857142.85714285716</v>
      </c>
      <c r="I71" s="389">
        <f t="shared" si="12"/>
        <v>13928571.428571418</v>
      </c>
      <c r="J71" s="378" t="e">
        <f>+G$26*I71+H71</f>
        <v>#REF!</v>
      </c>
      <c r="K71" s="392">
        <f>+K70</f>
        <v>11375000</v>
      </c>
      <c r="L71" s="389">
        <f>+L70</f>
        <v>500000</v>
      </c>
      <c r="M71" s="389">
        <f t="shared" si="13"/>
        <v>10875000</v>
      </c>
      <c r="N71" s="378" t="e">
        <f>+K$26*M71+L71</f>
        <v>#REF!</v>
      </c>
      <c r="O71" s="392">
        <f>+O70</f>
        <v>17875000</v>
      </c>
      <c r="P71" s="389">
        <f>+P70</f>
        <v>750000</v>
      </c>
      <c r="Q71" s="389">
        <f>+O71-P71</f>
        <v>17125000</v>
      </c>
      <c r="R71" s="378" t="e">
        <f>+O$26*Q71+P71</f>
        <v>#REF!</v>
      </c>
      <c r="S71" s="392">
        <f>+S70</f>
        <v>11583333.333333332</v>
      </c>
      <c r="T71" s="389">
        <f>+T70</f>
        <v>500000</v>
      </c>
      <c r="U71" s="389">
        <f>+S71-T71</f>
        <v>11083333.333333332</v>
      </c>
      <c r="V71" s="378" t="e">
        <f>+S$26*U71+T71</f>
        <v>#REF!</v>
      </c>
      <c r="W71" s="392">
        <f>+W70</f>
        <v>18250000</v>
      </c>
      <c r="X71" s="389">
        <f>+X70</f>
        <v>750000</v>
      </c>
      <c r="Y71" s="389">
        <f>+W71-X71</f>
        <v>17500000</v>
      </c>
      <c r="Z71" s="378" t="e">
        <f>+W$26*Y71+X71</f>
        <v>#REF!</v>
      </c>
      <c r="AA71" s="392">
        <f>+AA70</f>
        <v>11380952.380952388</v>
      </c>
      <c r="AB71" s="389">
        <f>+AB70</f>
        <v>571428.57142857148</v>
      </c>
      <c r="AC71" s="389">
        <f>+AA71-AB71</f>
        <v>10809523.809523817</v>
      </c>
      <c r="AD71" s="378" t="e">
        <f>+AA$26*AC71+AB71</f>
        <v>#REF!</v>
      </c>
      <c r="AE71" s="392">
        <f>+AE70</f>
        <v>12800000</v>
      </c>
      <c r="AF71" s="389">
        <f>+AF70</f>
        <v>1200000</v>
      </c>
      <c r="AG71" s="389">
        <f t="shared" si="9"/>
        <v>11600000</v>
      </c>
      <c r="AH71" s="378" t="e">
        <f>+AE$26*AG71+AF71</f>
        <v>#REF!</v>
      </c>
      <c r="AI71" s="392">
        <f>+AI70</f>
        <v>10500000</v>
      </c>
      <c r="AJ71" s="389">
        <f>+AJ70</f>
        <v>666666.66666666663</v>
      </c>
      <c r="AK71" s="389">
        <f t="shared" si="10"/>
        <v>9833333.333333334</v>
      </c>
      <c r="AL71" s="378" t="e">
        <f>+AI$26*AK71+AJ71</f>
        <v>#REF!</v>
      </c>
      <c r="AM71" s="408" t="e">
        <f t="shared" si="1"/>
        <v>#REF!</v>
      </c>
      <c r="AN71" s="391" t="e">
        <f>+AM71</f>
        <v>#REF!</v>
      </c>
      <c r="AO71" s="329"/>
    </row>
    <row r="72" spans="1:41" ht="13">
      <c r="A72" s="393" t="s">
        <v>458</v>
      </c>
      <c r="B72" s="394" t="s">
        <v>458</v>
      </c>
      <c r="C72" s="395"/>
      <c r="D72" s="395" t="s">
        <v>458</v>
      </c>
      <c r="E72" s="395" t="s">
        <v>459</v>
      </c>
      <c r="F72" s="396" t="s">
        <v>458</v>
      </c>
      <c r="G72" s="395" t="s">
        <v>458</v>
      </c>
      <c r="H72" s="395" t="s">
        <v>458</v>
      </c>
      <c r="I72" s="395" t="s">
        <v>459</v>
      </c>
      <c r="J72" s="396" t="s">
        <v>458</v>
      </c>
      <c r="K72" s="395" t="s">
        <v>458</v>
      </c>
      <c r="L72" s="395" t="s">
        <v>458</v>
      </c>
      <c r="M72" s="395" t="s">
        <v>459</v>
      </c>
      <c r="N72" s="396" t="s">
        <v>458</v>
      </c>
      <c r="O72" s="395" t="s">
        <v>458</v>
      </c>
      <c r="P72" s="395" t="s">
        <v>458</v>
      </c>
      <c r="Q72" s="395" t="s">
        <v>459</v>
      </c>
      <c r="R72" s="396" t="s">
        <v>458</v>
      </c>
      <c r="S72" s="395" t="s">
        <v>458</v>
      </c>
      <c r="T72" s="395" t="s">
        <v>458</v>
      </c>
      <c r="U72" s="395" t="s">
        <v>459</v>
      </c>
      <c r="V72" s="396" t="s">
        <v>458</v>
      </c>
      <c r="W72" s="395" t="s">
        <v>458</v>
      </c>
      <c r="X72" s="395" t="s">
        <v>458</v>
      </c>
      <c r="Y72" s="395" t="s">
        <v>459</v>
      </c>
      <c r="Z72" s="396" t="s">
        <v>458</v>
      </c>
      <c r="AA72" s="395" t="s">
        <v>458</v>
      </c>
      <c r="AB72" s="395" t="s">
        <v>458</v>
      </c>
      <c r="AC72" s="395" t="s">
        <v>459</v>
      </c>
      <c r="AD72" s="396" t="s">
        <v>458</v>
      </c>
      <c r="AE72" s="395" t="s">
        <v>458</v>
      </c>
      <c r="AF72" s="395" t="s">
        <v>458</v>
      </c>
      <c r="AG72" s="395" t="s">
        <v>459</v>
      </c>
      <c r="AH72" s="396" t="s">
        <v>458</v>
      </c>
      <c r="AI72" s="395" t="s">
        <v>458</v>
      </c>
      <c r="AJ72" s="395" t="s">
        <v>458</v>
      </c>
      <c r="AK72" s="395" t="s">
        <v>459</v>
      </c>
      <c r="AL72" s="396" t="s">
        <v>458</v>
      </c>
      <c r="AM72" s="408"/>
      <c r="AN72" s="146"/>
      <c r="AO72" s="390">
        <f>+AM72</f>
        <v>0</v>
      </c>
    </row>
    <row r="73" spans="1:41" ht="13.5" thickBot="1">
      <c r="A73" s="397" t="s">
        <v>458</v>
      </c>
      <c r="B73" s="398" t="s">
        <v>458</v>
      </c>
      <c r="C73" s="399" t="s">
        <v>458</v>
      </c>
      <c r="D73" s="399" t="s">
        <v>459</v>
      </c>
      <c r="E73" s="399" t="s">
        <v>459</v>
      </c>
      <c r="F73" s="400" t="s">
        <v>458</v>
      </c>
      <c r="G73" s="399" t="s">
        <v>458</v>
      </c>
      <c r="H73" s="399" t="s">
        <v>459</v>
      </c>
      <c r="I73" s="399" t="s">
        <v>459</v>
      </c>
      <c r="J73" s="400" t="s">
        <v>458</v>
      </c>
      <c r="K73" s="399" t="s">
        <v>458</v>
      </c>
      <c r="L73" s="399" t="s">
        <v>459</v>
      </c>
      <c r="M73" s="399" t="s">
        <v>459</v>
      </c>
      <c r="N73" s="400" t="s">
        <v>458</v>
      </c>
      <c r="O73" s="399" t="s">
        <v>458</v>
      </c>
      <c r="P73" s="399" t="s">
        <v>459</v>
      </c>
      <c r="Q73" s="399" t="s">
        <v>459</v>
      </c>
      <c r="R73" s="400" t="s">
        <v>458</v>
      </c>
      <c r="S73" s="399" t="s">
        <v>458</v>
      </c>
      <c r="T73" s="399" t="s">
        <v>459</v>
      </c>
      <c r="U73" s="399" t="s">
        <v>459</v>
      </c>
      <c r="V73" s="400" t="s">
        <v>458</v>
      </c>
      <c r="W73" s="399" t="s">
        <v>458</v>
      </c>
      <c r="X73" s="399" t="s">
        <v>459</v>
      </c>
      <c r="Y73" s="399" t="s">
        <v>459</v>
      </c>
      <c r="Z73" s="400" t="s">
        <v>458</v>
      </c>
      <c r="AA73" s="399" t="s">
        <v>458</v>
      </c>
      <c r="AB73" s="399" t="s">
        <v>459</v>
      </c>
      <c r="AC73" s="399" t="s">
        <v>459</v>
      </c>
      <c r="AD73" s="400" t="s">
        <v>458</v>
      </c>
      <c r="AE73" s="399" t="s">
        <v>458</v>
      </c>
      <c r="AF73" s="399" t="s">
        <v>459</v>
      </c>
      <c r="AG73" s="399" t="s">
        <v>459</v>
      </c>
      <c r="AH73" s="400" t="s">
        <v>458</v>
      </c>
      <c r="AI73" s="399" t="s">
        <v>458</v>
      </c>
      <c r="AJ73" s="399" t="s">
        <v>459</v>
      </c>
      <c r="AK73" s="399" t="s">
        <v>459</v>
      </c>
      <c r="AL73" s="400" t="s">
        <v>458</v>
      </c>
      <c r="AM73" s="409"/>
      <c r="AN73" s="401">
        <f>+AM73</f>
        <v>0</v>
      </c>
      <c r="AO73" s="337"/>
    </row>
    <row r="74" spans="1:41" ht="13">
      <c r="A74" s="144"/>
      <c r="B74" s="402"/>
      <c r="C74" s="144"/>
      <c r="D74" s="144"/>
      <c r="E74" s="144"/>
      <c r="F74" s="403"/>
      <c r="G74" s="144"/>
      <c r="H74" s="144"/>
      <c r="I74" s="144"/>
      <c r="J74" s="403"/>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404" t="e">
        <f>SUM(AN32:AN71)</f>
        <v>#REF!</v>
      </c>
      <c r="AO74" s="404" t="e">
        <f>SUM(AO32:AO71)</f>
        <v>#REF!</v>
      </c>
    </row>
    <row r="76" spans="1:41">
      <c r="AN76" s="161"/>
    </row>
    <row r="306" spans="1:6">
      <c r="A306" s="416"/>
      <c r="B306" s="415"/>
      <c r="C306" s="416"/>
      <c r="D306" s="416"/>
      <c r="E306" s="416"/>
      <c r="F306" s="417"/>
    </row>
    <row r="307" spans="1:6">
      <c r="A307" s="416"/>
      <c r="B307" s="415"/>
      <c r="C307" s="416"/>
      <c r="D307" s="416"/>
      <c r="E307" s="416"/>
      <c r="F307" s="417"/>
    </row>
    <row r="308" spans="1:6">
      <c r="A308" s="416"/>
      <c r="B308" s="415"/>
      <c r="C308" s="416"/>
      <c r="D308" s="416"/>
      <c r="E308" s="416"/>
      <c r="F308" s="417"/>
    </row>
    <row r="309" spans="1:6">
      <c r="A309" s="416"/>
      <c r="B309" s="415"/>
      <c r="C309" s="416"/>
      <c r="D309" s="416"/>
      <c r="E309" s="416"/>
      <c r="F309" s="417"/>
    </row>
    <row r="310" spans="1:6">
      <c r="A310" s="416"/>
      <c r="B310" s="415"/>
      <c r="C310" s="416"/>
      <c r="D310" s="416"/>
      <c r="E310" s="416"/>
      <c r="F310" s="417"/>
    </row>
    <row r="311" spans="1:6">
      <c r="A311" s="416"/>
      <c r="B311" s="415"/>
      <c r="C311" s="416"/>
      <c r="D311" s="416"/>
      <c r="E311" s="416"/>
      <c r="F311" s="417"/>
    </row>
    <row r="312" spans="1:6">
      <c r="A312" s="416"/>
      <c r="B312" s="415"/>
      <c r="C312" s="416"/>
      <c r="D312" s="416"/>
      <c r="E312" s="416"/>
      <c r="F312" s="417"/>
    </row>
    <row r="313" spans="1:6">
      <c r="A313" s="416"/>
      <c r="B313" s="415"/>
      <c r="C313" s="416"/>
      <c r="D313" s="416"/>
      <c r="E313" s="416"/>
      <c r="F313" s="417"/>
    </row>
    <row r="314" spans="1:6">
      <c r="A314" s="416"/>
      <c r="B314" s="415"/>
      <c r="C314" s="416"/>
      <c r="D314" s="416"/>
      <c r="E314" s="416"/>
      <c r="F314" s="417"/>
    </row>
  </sheetData>
  <mergeCells count="1">
    <mergeCell ref="A1:AO1"/>
  </mergeCells>
  <phoneticPr fontId="0" type="noConversion"/>
  <printOptions horizontalCentered="1"/>
  <pageMargins left="0.25" right="0.25" top="0.25" bottom="0.25" header="0.5" footer="0.5"/>
  <pageSetup scale="60" orientation="landscape" r:id="rId1"/>
  <headerFooter alignWithMargins="0">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Q496"/>
  <sheetViews>
    <sheetView view="pageBreakPreview" zoomScale="60" zoomScaleNormal="70" workbookViewId="0">
      <pane ySplit="13" topLeftCell="A14" activePane="bottomLeft" state="frozen"/>
      <selection activeCell="D9" sqref="D9"/>
      <selection pane="bottomLeft" activeCell="A71" sqref="A71"/>
    </sheetView>
  </sheetViews>
  <sheetFormatPr defaultRowHeight="12.5"/>
  <cols>
    <col min="1" max="1" width="6.453125" customWidth="1"/>
    <col min="2" max="2" width="4.26953125" customWidth="1"/>
    <col min="3" max="3" width="58" customWidth="1"/>
    <col min="4" max="4" width="35.54296875" customWidth="1"/>
    <col min="5" max="5" width="15.453125" bestFit="1" customWidth="1"/>
    <col min="6" max="6" width="20.7265625" customWidth="1"/>
    <col min="7" max="7" width="15.1796875" customWidth="1"/>
    <col min="8" max="8" width="13" customWidth="1"/>
    <col min="9" max="9" width="15.81640625" customWidth="1"/>
    <col min="10" max="10" width="12.7265625" customWidth="1"/>
    <col min="11" max="11" width="15.453125" customWidth="1"/>
    <col min="12" max="12" width="13.81640625" customWidth="1"/>
    <col min="13" max="13" width="12.81640625" customWidth="1"/>
    <col min="14" max="14" width="12.54296875" customWidth="1"/>
    <col min="15" max="15" width="12.26953125" customWidth="1"/>
    <col min="16" max="16" width="13.1796875" customWidth="1"/>
    <col min="17" max="17" width="14.81640625" customWidth="1"/>
  </cols>
  <sheetData>
    <row r="2" spans="1:17">
      <c r="G2" s="142" t="s">
        <v>421</v>
      </c>
      <c r="H2" s="142" t="s">
        <v>421</v>
      </c>
      <c r="I2" s="142" t="s">
        <v>421</v>
      </c>
      <c r="J2" s="142" t="s">
        <v>421</v>
      </c>
      <c r="K2" s="142" t="s">
        <v>421</v>
      </c>
      <c r="L2" s="142" t="s">
        <v>421</v>
      </c>
      <c r="M2" s="142" t="s">
        <v>421</v>
      </c>
      <c r="N2" s="142" t="s">
        <v>421</v>
      </c>
      <c r="O2" s="142" t="s">
        <v>421</v>
      </c>
      <c r="P2" s="142" t="s">
        <v>421</v>
      </c>
      <c r="Q2" s="142" t="s">
        <v>421</v>
      </c>
    </row>
    <row r="3" spans="1:17" ht="16" thickBot="1">
      <c r="A3" s="148" t="s">
        <v>580</v>
      </c>
      <c r="G3" s="194" t="s">
        <v>168</v>
      </c>
      <c r="H3" s="194" t="str">
        <f>'ATT H-2A'!$B312</f>
        <v>B</v>
      </c>
      <c r="I3" s="194" t="str">
        <f>'ATT H-2A'!$B315</f>
        <v>C</v>
      </c>
      <c r="J3" s="194" t="str">
        <f>'ATT H-2A'!$B316</f>
        <v>D</v>
      </c>
      <c r="K3" s="194" t="str">
        <f>'ATT H-2A'!$B317&amp;"  &amp;  "&amp;'ATT H-2A'!$B319</f>
        <v>E  &amp;  G</v>
      </c>
      <c r="L3" s="194" t="str">
        <f>'ATT H-2A'!$B318</f>
        <v>F</v>
      </c>
      <c r="M3" s="194" t="e">
        <f>'ATT H-2A'!#REF!</f>
        <v>#REF!</v>
      </c>
      <c r="N3" s="194" t="str">
        <f>'ATT H-2A'!$B327</f>
        <v>K</v>
      </c>
      <c r="O3" s="194" t="str">
        <f>'ATT H-2A'!$B328</f>
        <v>L</v>
      </c>
      <c r="P3" s="194" t="str">
        <f>'ATT H-2A'!$B329</f>
        <v>M</v>
      </c>
      <c r="Q3" s="194" t="str">
        <f>'ATT H-2A'!$B330</f>
        <v>N</v>
      </c>
    </row>
    <row r="4" spans="1:17" ht="87.75" customHeight="1">
      <c r="A4" s="1532" t="s">
        <v>582</v>
      </c>
      <c r="B4" s="1533"/>
      <c r="C4" s="1533"/>
      <c r="D4" s="1533"/>
      <c r="E4" s="1533"/>
      <c r="F4" s="1534"/>
      <c r="G4" s="340" t="s">
        <v>583</v>
      </c>
      <c r="H4" s="340" t="s">
        <v>584</v>
      </c>
      <c r="I4" s="340" t="s">
        <v>585</v>
      </c>
      <c r="J4" s="340" t="s">
        <v>586</v>
      </c>
      <c r="K4" s="340" t="s">
        <v>587</v>
      </c>
      <c r="L4" s="340" t="s">
        <v>588</v>
      </c>
      <c r="M4" s="340" t="s">
        <v>593</v>
      </c>
      <c r="N4" s="340" t="s">
        <v>589</v>
      </c>
      <c r="O4" s="340" t="s">
        <v>590</v>
      </c>
      <c r="P4" s="340" t="s">
        <v>591</v>
      </c>
      <c r="Q4" s="341" t="s">
        <v>592</v>
      </c>
    </row>
    <row r="5" spans="1:17" ht="15.5" hidden="1">
      <c r="A5" s="237"/>
      <c r="B5" s="231" t="str">
        <f>'ATT H-2A'!B9</f>
        <v>Wages &amp; Salary Allocation Factor</v>
      </c>
      <c r="C5" s="124"/>
      <c r="D5" s="124"/>
      <c r="E5" s="203"/>
      <c r="F5" s="238"/>
      <c r="G5" s="146"/>
      <c r="H5" s="146"/>
      <c r="I5" s="146"/>
      <c r="J5" s="146"/>
      <c r="K5" s="146"/>
      <c r="L5" s="146"/>
      <c r="M5" s="146"/>
      <c r="N5" s="146"/>
      <c r="O5" s="146"/>
      <c r="P5" s="146"/>
      <c r="Q5" s="329"/>
    </row>
    <row r="6" spans="1:17" ht="15.5" hidden="1">
      <c r="A6" s="239">
        <f>'ATT H-2A'!A10</f>
        <v>1</v>
      </c>
      <c r="B6" s="210"/>
      <c r="C6" s="185" t="str">
        <f>'ATT H-2A'!C10</f>
        <v>Transmission Wages Expense</v>
      </c>
      <c r="D6" s="240"/>
      <c r="E6" s="216"/>
      <c r="F6" s="238" t="str">
        <f>'ATT H-2A'!F10</f>
        <v>p354.21.b</v>
      </c>
      <c r="G6" s="146"/>
      <c r="H6" s="146"/>
      <c r="I6" s="146"/>
      <c r="J6" s="146"/>
      <c r="K6" s="146"/>
      <c r="L6" s="146"/>
      <c r="M6" s="146"/>
      <c r="N6" s="146"/>
      <c r="O6" s="146"/>
      <c r="P6" s="146"/>
      <c r="Q6" s="329"/>
    </row>
    <row r="7" spans="1:17" ht="15.5" hidden="1">
      <c r="A7" s="241"/>
      <c r="B7" s="124"/>
      <c r="C7" s="124"/>
      <c r="D7" s="124"/>
      <c r="E7" s="186"/>
      <c r="F7" s="242"/>
      <c r="G7" s="146"/>
      <c r="H7" s="146"/>
      <c r="I7" s="146"/>
      <c r="J7" s="146"/>
      <c r="K7" s="146"/>
      <c r="L7" s="146"/>
      <c r="M7" s="146"/>
      <c r="N7" s="146"/>
      <c r="O7" s="146"/>
      <c r="P7" s="146"/>
      <c r="Q7" s="329"/>
    </row>
    <row r="8" spans="1:17" ht="15.5" hidden="1">
      <c r="A8" s="239">
        <f>'ATT H-2A'!A12</f>
        <v>2</v>
      </c>
      <c r="B8" s="210"/>
      <c r="C8" s="185" t="str">
        <f>'ATT H-2A'!C12</f>
        <v>Total Wages Expense</v>
      </c>
      <c r="D8" s="185"/>
      <c r="E8" s="186"/>
      <c r="F8" s="243" t="str">
        <f>'ATT H-2A'!F12</f>
        <v>p354.28b</v>
      </c>
      <c r="G8" s="146"/>
      <c r="H8" s="146"/>
      <c r="I8" s="146"/>
      <c r="J8" s="146"/>
      <c r="K8" s="146"/>
      <c r="L8" s="146"/>
      <c r="M8" s="146"/>
      <c r="N8" s="146"/>
      <c r="O8" s="146"/>
      <c r="P8" s="146"/>
      <c r="Q8" s="329"/>
    </row>
    <row r="9" spans="1:17" ht="15.5" hidden="1">
      <c r="A9" s="239">
        <f>'ATT H-2A'!A13</f>
        <v>3</v>
      </c>
      <c r="B9" s="210"/>
      <c r="C9" s="185" t="str">
        <f>'ATT H-2A'!C13</f>
        <v>Less A&amp;G Wages Expense</v>
      </c>
      <c r="D9" s="185"/>
      <c r="E9" s="186"/>
      <c r="F9" s="243" t="str">
        <f>'ATT H-2A'!F13</f>
        <v>p354.27b</v>
      </c>
      <c r="G9" s="146"/>
      <c r="H9" s="146"/>
      <c r="I9" s="146"/>
      <c r="J9" s="146"/>
      <c r="K9" s="146"/>
      <c r="L9" s="146"/>
      <c r="M9" s="146"/>
      <c r="N9" s="146"/>
      <c r="O9" s="146"/>
      <c r="P9" s="146"/>
      <c r="Q9" s="329"/>
    </row>
    <row r="10" spans="1:17" ht="15.75" hidden="1" customHeight="1">
      <c r="A10" s="239">
        <f>'ATT H-2A'!A14</f>
        <v>4</v>
      </c>
      <c r="B10" s="210"/>
      <c r="C10" s="187" t="str">
        <f>'ATT H-2A'!C14</f>
        <v>Total</v>
      </c>
      <c r="D10" s="188"/>
      <c r="E10" s="189"/>
      <c r="F10" s="244" t="str">
        <f>'ATT H-2A'!F14</f>
        <v>(Line 2 - 3)</v>
      </c>
      <c r="G10" s="146"/>
      <c r="H10" s="146"/>
      <c r="I10" s="146"/>
      <c r="J10" s="146"/>
      <c r="K10" s="146"/>
      <c r="L10" s="146"/>
      <c r="M10" s="146"/>
      <c r="N10" s="146"/>
      <c r="O10" s="146"/>
      <c r="P10" s="146"/>
      <c r="Q10" s="329"/>
    </row>
    <row r="11" spans="1:17" ht="15.5" hidden="1">
      <c r="A11" s="239"/>
      <c r="B11" s="210"/>
      <c r="C11" s="202"/>
      <c r="D11" s="124"/>
      <c r="E11" s="203"/>
      <c r="F11" s="245"/>
      <c r="G11" s="146"/>
      <c r="H11" s="146"/>
      <c r="I11" s="146"/>
      <c r="J11" s="146"/>
      <c r="K11" s="146"/>
      <c r="L11" s="146"/>
      <c r="M11" s="146"/>
      <c r="N11" s="146"/>
      <c r="O11" s="146"/>
      <c r="P11" s="146"/>
      <c r="Q11" s="329"/>
    </row>
    <row r="12" spans="1:17" ht="16" hidden="1" thickBot="1">
      <c r="A12" s="239">
        <f>'ATT H-2A'!A16</f>
        <v>5</v>
      </c>
      <c r="B12" s="190" t="str">
        <f>'ATT H-2A'!B16</f>
        <v>Wages &amp; Salary Allocator</v>
      </c>
      <c r="C12" s="190"/>
      <c r="D12" s="191"/>
      <c r="E12" s="192"/>
      <c r="F12" s="246" t="str">
        <f>'ATT H-2A'!F16</f>
        <v>(Line 1 / 4)</v>
      </c>
      <c r="G12" s="146"/>
      <c r="H12" s="146"/>
      <c r="I12" s="146"/>
      <c r="J12" s="146"/>
      <c r="K12" s="146"/>
      <c r="L12" s="146"/>
      <c r="M12" s="146"/>
      <c r="N12" s="146"/>
      <c r="O12" s="146"/>
      <c r="P12" s="146"/>
      <c r="Q12" s="329"/>
    </row>
    <row r="13" spans="1:17" ht="16.5" hidden="1" customHeight="1">
      <c r="A13" s="239"/>
      <c r="B13" s="210"/>
      <c r="C13" s="231"/>
      <c r="D13" s="195"/>
      <c r="E13" s="247"/>
      <c r="F13" s="245"/>
      <c r="G13" s="146"/>
      <c r="H13" s="146"/>
      <c r="I13" s="146"/>
      <c r="J13" s="146"/>
      <c r="K13" s="146"/>
      <c r="L13" s="146"/>
      <c r="M13" s="146"/>
      <c r="N13" s="146"/>
      <c r="O13" s="146"/>
      <c r="P13" s="146"/>
      <c r="Q13" s="329"/>
    </row>
    <row r="14" spans="1:17" ht="16.5" customHeight="1">
      <c r="A14" s="438" t="s">
        <v>580</v>
      </c>
      <c r="B14" s="210"/>
      <c r="C14" s="231"/>
      <c r="D14" s="195"/>
      <c r="E14" s="247"/>
      <c r="F14" s="245"/>
      <c r="G14" s="146"/>
      <c r="H14" s="146"/>
      <c r="I14" s="146"/>
      <c r="J14" s="146"/>
      <c r="K14" s="146"/>
      <c r="L14" s="146"/>
      <c r="M14" s="146"/>
      <c r="N14" s="146"/>
      <c r="O14" s="146"/>
      <c r="P14" s="146"/>
      <c r="Q14" s="329"/>
    </row>
    <row r="15" spans="1:17" ht="15.5">
      <c r="A15" s="241"/>
      <c r="B15" s="231" t="str">
        <f>'ATT H-2A'!B18</f>
        <v>Plant Allocation Factors</v>
      </c>
      <c r="C15" s="124"/>
      <c r="D15" s="221"/>
      <c r="E15" s="186"/>
      <c r="F15" s="242"/>
      <c r="G15" s="146"/>
      <c r="H15" s="146"/>
      <c r="I15" s="146"/>
      <c r="J15" s="146"/>
      <c r="K15" s="146"/>
      <c r="L15" s="146"/>
      <c r="M15" s="146"/>
      <c r="N15" s="146"/>
      <c r="O15" s="146"/>
      <c r="P15" s="146"/>
      <c r="Q15" s="329"/>
    </row>
    <row r="16" spans="1:17" ht="15.5">
      <c r="A16" s="248">
        <f>'ATT H-2A'!A19</f>
        <v>6</v>
      </c>
      <c r="B16" s="221"/>
      <c r="C16" s="185" t="str">
        <f>'ATT H-2A'!C19</f>
        <v>Electric Plant in Service</v>
      </c>
      <c r="D16" s="124"/>
      <c r="E16" s="194">
        <f>'ATT H-2A'!E19</f>
        <v>0</v>
      </c>
      <c r="F16" s="243" t="str">
        <f>'ATT H-2A'!F19</f>
        <v>Attachment 5</v>
      </c>
      <c r="G16" s="146"/>
      <c r="H16" s="181" t="s">
        <v>492</v>
      </c>
      <c r="I16" s="146"/>
      <c r="J16" s="146"/>
      <c r="K16" s="146"/>
      <c r="L16" s="146"/>
      <c r="M16" s="146"/>
      <c r="N16" s="146"/>
      <c r="O16" s="146"/>
      <c r="P16" s="146"/>
      <c r="Q16" s="329"/>
    </row>
    <row r="17" spans="1:17" ht="15.5">
      <c r="A17" s="248">
        <f>'ATT H-2A'!A20</f>
        <v>7</v>
      </c>
      <c r="B17" s="221"/>
      <c r="C17" s="185" t="str">
        <f>'ATT H-2A'!C20</f>
        <v>Common Plant In Service - Electric</v>
      </c>
      <c r="D17" s="124"/>
      <c r="E17" s="194" t="str">
        <f>'ATT H-2A'!E20</f>
        <v>(Note A)</v>
      </c>
      <c r="F17" s="249" t="str">
        <f>'ATT H-2A'!F20</f>
        <v>(Line 24)</v>
      </c>
      <c r="G17" s="181" t="s">
        <v>492</v>
      </c>
      <c r="H17" s="181" t="s">
        <v>492</v>
      </c>
      <c r="I17" s="146"/>
      <c r="J17" s="146"/>
      <c r="K17" s="146"/>
      <c r="L17" s="146"/>
      <c r="M17" s="146"/>
      <c r="N17" s="146"/>
      <c r="O17" s="146"/>
      <c r="P17" s="146"/>
      <c r="Q17" s="329"/>
    </row>
    <row r="18" spans="1:17" ht="15.5" hidden="1">
      <c r="A18" s="248">
        <f>'ATT H-2A'!A21</f>
        <v>8</v>
      </c>
      <c r="B18" s="221"/>
      <c r="C18" s="185" t="str">
        <f>'ATT H-2A'!C21</f>
        <v>Total Plant In Service</v>
      </c>
      <c r="D18" s="124"/>
      <c r="E18" s="216"/>
      <c r="F18" s="249" t="str">
        <f>'ATT H-2A'!F21</f>
        <v>(Sum Lines 6 &amp; 7)</v>
      </c>
      <c r="G18" s="146"/>
      <c r="H18" s="146"/>
      <c r="I18" s="146"/>
      <c r="J18" s="146"/>
      <c r="K18" s="146"/>
      <c r="L18" s="146"/>
      <c r="M18" s="146"/>
      <c r="N18" s="146"/>
      <c r="O18" s="146"/>
      <c r="P18" s="146"/>
      <c r="Q18" s="329"/>
    </row>
    <row r="19" spans="1:17" ht="15.5" hidden="1">
      <c r="A19" s="239"/>
      <c r="B19" s="210"/>
      <c r="C19" s="231"/>
      <c r="D19" s="195"/>
      <c r="E19" s="247"/>
      <c r="F19" s="245"/>
      <c r="G19" s="146"/>
      <c r="H19" s="146"/>
      <c r="I19" s="146"/>
      <c r="J19" s="146"/>
      <c r="K19" s="146"/>
      <c r="L19" s="146"/>
      <c r="M19" s="146"/>
      <c r="N19" s="146"/>
      <c r="O19" s="146"/>
      <c r="P19" s="146"/>
      <c r="Q19" s="329"/>
    </row>
    <row r="20" spans="1:17" ht="15.5" hidden="1">
      <c r="A20" s="248">
        <f>'ATT H-2A'!A23</f>
        <v>9</v>
      </c>
      <c r="B20" s="221"/>
      <c r="C20" s="185" t="str">
        <f>'ATT H-2A'!C23</f>
        <v>Accumulated Depreciation (Total Electric Plant)</v>
      </c>
      <c r="D20" s="124"/>
      <c r="E20" s="186"/>
      <c r="F20" s="243" t="str">
        <f>'ATT H-2A'!F23</f>
        <v>Attachment 5</v>
      </c>
      <c r="G20" s="146"/>
      <c r="H20" s="146"/>
      <c r="I20" s="146"/>
      <c r="J20" s="146"/>
      <c r="K20" s="146"/>
      <c r="L20" s="146"/>
      <c r="M20" s="146"/>
      <c r="N20" s="146"/>
      <c r="O20" s="146"/>
      <c r="P20" s="146"/>
      <c r="Q20" s="329"/>
    </row>
    <row r="21" spans="1:17" ht="15.5">
      <c r="A21" s="248">
        <f>'ATT H-2A'!A24</f>
        <v>10</v>
      </c>
      <c r="B21" s="221"/>
      <c r="C21" s="185" t="str">
        <f>'ATT H-2A'!C24</f>
        <v>Accumulated Intangible Amortization</v>
      </c>
      <c r="D21" s="124"/>
      <c r="E21" s="194" t="str">
        <f>'ATT H-2A'!E24</f>
        <v>(Note A)</v>
      </c>
      <c r="F21" s="238" t="str">
        <f>'ATT H-2A'!F24</f>
        <v>p200.21c</v>
      </c>
      <c r="G21" s="181" t="s">
        <v>492</v>
      </c>
      <c r="H21" s="146"/>
      <c r="I21" s="146"/>
      <c r="J21" s="146"/>
      <c r="K21" s="146"/>
      <c r="L21" s="146"/>
      <c r="M21" s="146"/>
      <c r="N21" s="146"/>
      <c r="O21" s="146"/>
      <c r="P21" s="146"/>
      <c r="Q21" s="329"/>
    </row>
    <row r="22" spans="1:17" ht="15.5">
      <c r="A22" s="248">
        <f>'ATT H-2A'!A25</f>
        <v>11</v>
      </c>
      <c r="B22" s="221"/>
      <c r="C22" s="185" t="str">
        <f>'ATT H-2A'!C25</f>
        <v>Accumulated Common Amortization - Electric</v>
      </c>
      <c r="D22" s="124"/>
      <c r="E22" s="194" t="str">
        <f>'ATT H-2A'!E25</f>
        <v>(Note A)</v>
      </c>
      <c r="F22" s="238" t="str">
        <f>'ATT H-2A'!F25</f>
        <v>p356</v>
      </c>
      <c r="G22" s="181" t="s">
        <v>492</v>
      </c>
      <c r="H22" s="146"/>
      <c r="I22" s="146"/>
      <c r="J22" s="146"/>
      <c r="K22" s="146"/>
      <c r="L22" s="146"/>
      <c r="M22" s="146"/>
      <c r="N22" s="146"/>
      <c r="O22" s="146"/>
      <c r="P22" s="146"/>
      <c r="Q22" s="329"/>
    </row>
    <row r="23" spans="1:17" ht="15.5">
      <c r="A23" s="248">
        <f>'ATT H-2A'!A26</f>
        <v>12</v>
      </c>
      <c r="B23" s="124"/>
      <c r="C23" s="195" t="str">
        <f>'ATT H-2A'!C26</f>
        <v>Accumulated Common Plant Depreciation - Electric</v>
      </c>
      <c r="D23" s="124"/>
      <c r="E23" s="194" t="str">
        <f>'ATT H-2A'!E26</f>
        <v>(Note A)</v>
      </c>
      <c r="F23" s="238" t="str">
        <f>'ATT H-2A'!F26</f>
        <v>Attachment 5</v>
      </c>
      <c r="G23" s="181" t="s">
        <v>492</v>
      </c>
      <c r="H23" s="146"/>
      <c r="I23" s="146"/>
      <c r="J23" s="146"/>
      <c r="K23" s="146"/>
      <c r="L23" s="146"/>
      <c r="M23" s="146"/>
      <c r="N23" s="146"/>
      <c r="O23" s="146"/>
      <c r="P23" s="146"/>
      <c r="Q23" s="329"/>
    </row>
    <row r="24" spans="1:17" ht="15.5" hidden="1">
      <c r="A24" s="248">
        <f>'ATT H-2A'!A27</f>
        <v>13</v>
      </c>
      <c r="B24" s="124"/>
      <c r="C24" s="185" t="str">
        <f>'ATT H-2A'!C27</f>
        <v>Total Accumulated Depreciation</v>
      </c>
      <c r="D24" s="124"/>
      <c r="E24" s="186"/>
      <c r="F24" s="238" t="str">
        <f>'ATT H-2A'!F27</f>
        <v>(Sum Lines 9 to 12)</v>
      </c>
      <c r="G24" s="146"/>
      <c r="H24" s="146"/>
      <c r="I24" s="146"/>
      <c r="J24" s="146"/>
      <c r="K24" s="146"/>
      <c r="L24" s="146"/>
      <c r="M24" s="146"/>
      <c r="N24" s="146"/>
      <c r="O24" s="146"/>
      <c r="P24" s="146"/>
      <c r="Q24" s="329"/>
    </row>
    <row r="25" spans="1:17" ht="15.5" hidden="1">
      <c r="A25" s="239"/>
      <c r="B25" s="210"/>
      <c r="C25" s="231"/>
      <c r="D25" s="195"/>
      <c r="E25" s="247"/>
      <c r="F25" s="245"/>
      <c r="G25" s="146"/>
      <c r="H25" s="146"/>
      <c r="I25" s="146"/>
      <c r="J25" s="146"/>
      <c r="K25" s="146"/>
      <c r="L25" s="146"/>
      <c r="M25" s="146"/>
      <c r="N25" s="146"/>
      <c r="O25" s="146"/>
      <c r="P25" s="146"/>
      <c r="Q25" s="329"/>
    </row>
    <row r="26" spans="1:17" ht="15.5" hidden="1">
      <c r="A26" s="239">
        <f>'ATT H-2A'!A29</f>
        <v>14</v>
      </c>
      <c r="B26" s="221"/>
      <c r="C26" s="221" t="str">
        <f>'ATT H-2A'!C29</f>
        <v>Net Plant</v>
      </c>
      <c r="D26" s="221"/>
      <c r="E26" s="186"/>
      <c r="F26" s="238" t="str">
        <f>'ATT H-2A'!F29</f>
        <v>(Line 8 - 13)</v>
      </c>
      <c r="G26" s="146"/>
      <c r="H26" s="146"/>
      <c r="I26" s="146"/>
      <c r="J26" s="146"/>
      <c r="K26" s="146"/>
      <c r="L26" s="146"/>
      <c r="M26" s="146"/>
      <c r="N26" s="146"/>
      <c r="O26" s="146"/>
      <c r="P26" s="146"/>
      <c r="Q26" s="329"/>
    </row>
    <row r="27" spans="1:17" ht="15.5" hidden="1">
      <c r="A27" s="239"/>
      <c r="B27" s="210"/>
      <c r="C27" s="231"/>
      <c r="D27" s="195"/>
      <c r="E27" s="247"/>
      <c r="F27" s="245"/>
      <c r="G27" s="146"/>
      <c r="H27" s="146"/>
      <c r="I27" s="146"/>
      <c r="J27" s="146"/>
      <c r="K27" s="146"/>
      <c r="L27" s="146"/>
      <c r="M27" s="146"/>
      <c r="N27" s="146"/>
      <c r="O27" s="146"/>
      <c r="P27" s="146"/>
      <c r="Q27" s="329"/>
    </row>
    <row r="28" spans="1:17" ht="15.5" hidden="1">
      <c r="A28" s="248">
        <f>'ATT H-2A'!A31</f>
        <v>15</v>
      </c>
      <c r="B28" s="221"/>
      <c r="C28" s="221" t="str">
        <f>'ATT H-2A'!C31</f>
        <v>Transmission Gross Plant</v>
      </c>
      <c r="D28" s="221"/>
      <c r="E28" s="186"/>
      <c r="F28" s="238" t="str">
        <f>'ATT H-2A'!F31</f>
        <v>(Line 29 - Line 28)</v>
      </c>
      <c r="G28" s="146"/>
      <c r="H28" s="146"/>
      <c r="I28" s="146"/>
      <c r="J28" s="146"/>
      <c r="K28" s="146"/>
      <c r="L28" s="146"/>
      <c r="M28" s="146"/>
      <c r="N28" s="146"/>
      <c r="O28" s="146"/>
      <c r="P28" s="146"/>
      <c r="Q28" s="329"/>
    </row>
    <row r="29" spans="1:17" ht="15.5" hidden="1">
      <c r="A29" s="239">
        <f>'ATT H-2A'!A32</f>
        <v>16</v>
      </c>
      <c r="B29" s="270" t="str">
        <f>'ATT H-2A'!B32</f>
        <v>Gross Plant Allocator</v>
      </c>
      <c r="C29" s="270"/>
      <c r="D29" s="221"/>
      <c r="E29" s="186"/>
      <c r="F29" s="238" t="str">
        <f>'ATT H-2A'!F32</f>
        <v>(Line 15 / 8)</v>
      </c>
      <c r="G29" s="146"/>
      <c r="H29" s="146"/>
      <c r="I29" s="146"/>
      <c r="J29" s="146"/>
      <c r="K29" s="146"/>
      <c r="L29" s="146"/>
      <c r="M29" s="146"/>
      <c r="N29" s="146"/>
      <c r="O29" s="146"/>
      <c r="P29" s="146"/>
      <c r="Q29" s="329"/>
    </row>
    <row r="30" spans="1:17" ht="15.5" hidden="1">
      <c r="A30" s="241"/>
      <c r="B30" s="124"/>
      <c r="C30" s="124"/>
      <c r="D30" s="124"/>
      <c r="E30" s="186"/>
      <c r="F30" s="242"/>
      <c r="G30" s="146"/>
      <c r="H30" s="146"/>
      <c r="I30" s="146"/>
      <c r="J30" s="146"/>
      <c r="K30" s="146"/>
      <c r="L30" s="146"/>
      <c r="M30" s="146"/>
      <c r="N30" s="146"/>
      <c r="O30" s="146"/>
      <c r="P30" s="146"/>
      <c r="Q30" s="329"/>
    </row>
    <row r="31" spans="1:17" ht="15.5" hidden="1">
      <c r="A31" s="248">
        <f>'ATT H-2A'!A34</f>
        <v>17</v>
      </c>
      <c r="B31" s="210"/>
      <c r="C31" s="206" t="str">
        <f>'ATT H-2A'!C34</f>
        <v>Transmission Net Plant</v>
      </c>
      <c r="D31" s="195"/>
      <c r="E31" s="247"/>
      <c r="F31" s="238" t="str">
        <f>'ATT H-2A'!F34</f>
        <v>(Line 39 - Line 28)</v>
      </c>
      <c r="G31" s="146"/>
      <c r="H31" s="146"/>
      <c r="I31" s="146"/>
      <c r="J31" s="146"/>
      <c r="K31" s="146"/>
      <c r="L31" s="146"/>
      <c r="M31" s="146"/>
      <c r="N31" s="146"/>
      <c r="O31" s="146"/>
      <c r="P31" s="146"/>
      <c r="Q31" s="329"/>
    </row>
    <row r="32" spans="1:17" ht="15.5" hidden="1">
      <c r="A32" s="239">
        <f>'ATT H-2A'!A35</f>
        <v>18</v>
      </c>
      <c r="B32" s="270" t="str">
        <f>'ATT H-2A'!B35</f>
        <v>Net Plant Allocator</v>
      </c>
      <c r="C32" s="270"/>
      <c r="D32" s="221"/>
      <c r="E32" s="186"/>
      <c r="F32" s="238" t="str">
        <f>'ATT H-2A'!F35</f>
        <v>(Line 17 / 14)</v>
      </c>
      <c r="G32" s="146"/>
      <c r="H32" s="146"/>
      <c r="I32" s="146"/>
      <c r="J32" s="146"/>
      <c r="K32" s="146"/>
      <c r="L32" s="146"/>
      <c r="M32" s="146"/>
      <c r="N32" s="146"/>
      <c r="O32" s="146"/>
      <c r="P32" s="146"/>
      <c r="Q32" s="329"/>
    </row>
    <row r="33" spans="1:17" ht="15.5" hidden="1">
      <c r="A33" s="250"/>
      <c r="B33" s="210"/>
      <c r="C33" s="231"/>
      <c r="D33" s="195"/>
      <c r="E33" s="247"/>
      <c r="F33" s="245"/>
      <c r="G33" s="146"/>
      <c r="H33" s="146"/>
      <c r="I33" s="146"/>
      <c r="J33" s="146"/>
      <c r="K33" s="146"/>
      <c r="L33" s="146"/>
      <c r="M33" s="146"/>
      <c r="N33" s="146"/>
      <c r="O33" s="146"/>
      <c r="P33" s="146"/>
      <c r="Q33" s="329"/>
    </row>
    <row r="34" spans="1:17" ht="15.5" hidden="1">
      <c r="A34" s="251" t="str">
        <f>'ATT H-2A'!A37</f>
        <v>Plant Calculations</v>
      </c>
      <c r="B34" s="196"/>
      <c r="C34" s="197"/>
      <c r="D34" s="197"/>
      <c r="E34" s="198"/>
      <c r="F34" s="252"/>
      <c r="G34" s="146"/>
      <c r="H34" s="146"/>
      <c r="I34" s="146"/>
      <c r="J34" s="146"/>
      <c r="K34" s="146"/>
      <c r="L34" s="146"/>
      <c r="M34" s="146"/>
      <c r="N34" s="146"/>
      <c r="O34" s="146"/>
      <c r="P34" s="146"/>
      <c r="Q34" s="329"/>
    </row>
    <row r="35" spans="1:17" ht="15.5" hidden="1">
      <c r="A35" s="253">
        <f>'ATT H-2A'!A38</f>
        <v>0</v>
      </c>
      <c r="B35" s="199"/>
      <c r="C35" s="195"/>
      <c r="D35" s="195"/>
      <c r="E35" s="200"/>
      <c r="F35" s="243"/>
      <c r="G35" s="146"/>
      <c r="H35" s="146"/>
      <c r="I35" s="146"/>
      <c r="J35" s="146"/>
      <c r="K35" s="146"/>
      <c r="L35" s="146"/>
      <c r="M35" s="146"/>
      <c r="N35" s="146"/>
      <c r="O35" s="146"/>
      <c r="P35" s="146"/>
      <c r="Q35" s="329"/>
    </row>
    <row r="36" spans="1:17" ht="15.5">
      <c r="A36" s="241"/>
      <c r="B36" s="231" t="str">
        <f>'ATT H-2A'!B39</f>
        <v>Plant In Service</v>
      </c>
      <c r="C36" s="124"/>
      <c r="D36" s="124"/>
      <c r="E36" s="247"/>
      <c r="F36" s="249"/>
      <c r="G36" s="146"/>
      <c r="H36" s="146"/>
      <c r="I36" s="146"/>
      <c r="J36" s="146"/>
      <c r="K36" s="146"/>
      <c r="L36" s="146"/>
      <c r="M36" s="146"/>
      <c r="N36" s="146"/>
      <c r="O36" s="146"/>
      <c r="P36" s="146"/>
      <c r="Q36" s="329"/>
    </row>
    <row r="37" spans="1:17" ht="15.5">
      <c r="A37" s="248">
        <f>'ATT H-2A'!A40</f>
        <v>19</v>
      </c>
      <c r="B37" s="210"/>
      <c r="C37" s="217" t="str">
        <f>'ATT H-2A'!C40</f>
        <v>Transmission Plant In Service</v>
      </c>
      <c r="D37" s="124"/>
      <c r="E37" s="194">
        <f>'ATT H-2A'!E40</f>
        <v>0</v>
      </c>
      <c r="F37" s="249" t="str">
        <f>'ATT H-2A'!F40</f>
        <v>Attachment 5</v>
      </c>
      <c r="G37" s="146"/>
      <c r="H37" s="181" t="s">
        <v>492</v>
      </c>
      <c r="I37" s="146"/>
      <c r="J37" s="146"/>
      <c r="K37" s="146"/>
      <c r="L37" s="146"/>
      <c r="M37" s="146"/>
      <c r="N37" s="146"/>
      <c r="O37" s="146"/>
      <c r="P37" s="146"/>
      <c r="Q37" s="329"/>
    </row>
    <row r="38" spans="1:17" ht="15.5">
      <c r="A38" s="248">
        <f>'ATT H-2A'!A42</f>
        <v>21</v>
      </c>
      <c r="B38" s="210"/>
      <c r="C38" s="202" t="str">
        <f>'ATT H-2A'!C42</f>
        <v>New Transmission Plant Additions for Current Calendar Year  (weighted by months in service)</v>
      </c>
      <c r="D38" s="124"/>
      <c r="E38" s="194" t="str">
        <f>'ATT H-2A'!F42</f>
        <v>Attachment 6</v>
      </c>
      <c r="F38" s="249"/>
      <c r="G38" s="146"/>
      <c r="H38" s="181" t="s">
        <v>492</v>
      </c>
      <c r="I38" s="146"/>
      <c r="J38" s="146"/>
      <c r="K38" s="146"/>
      <c r="L38" s="146"/>
      <c r="M38" s="146"/>
      <c r="N38" s="146"/>
      <c r="O38" s="146"/>
      <c r="P38" s="146"/>
      <c r="Q38" s="329"/>
    </row>
    <row r="39" spans="1:17" ht="15.5" hidden="1">
      <c r="A39" s="248">
        <f>'ATT H-2A'!A45</f>
        <v>23</v>
      </c>
      <c r="B39" s="210"/>
      <c r="C39" s="202" t="str">
        <f>'ATT H-2A'!C45</f>
        <v>General &amp; Intangible</v>
      </c>
      <c r="D39" s="124"/>
      <c r="E39" s="186"/>
      <c r="F39" s="249" t="str">
        <f>'ATT H-2A'!F45</f>
        <v>Attachment 5</v>
      </c>
      <c r="G39" s="146"/>
      <c r="H39" s="146"/>
      <c r="I39" s="146"/>
      <c r="J39" s="146"/>
      <c r="K39" s="146"/>
      <c r="L39" s="146"/>
      <c r="M39" s="146"/>
      <c r="N39" s="146"/>
      <c r="O39" s="146"/>
      <c r="P39" s="146"/>
      <c r="Q39" s="329"/>
    </row>
    <row r="40" spans="1:17" ht="15.5">
      <c r="A40" s="248">
        <f>'ATT H-2A'!A46</f>
        <v>24</v>
      </c>
      <c r="B40" s="210"/>
      <c r="C40" s="202" t="str">
        <f>'ATT H-2A'!C46</f>
        <v>Common Plant (Electric Only)</v>
      </c>
      <c r="D40" s="124"/>
      <c r="E40" s="194" t="str">
        <f>'ATT H-2A'!E46</f>
        <v>(Notes A)</v>
      </c>
      <c r="F40" s="249" t="str">
        <f>'ATT H-2A'!F46</f>
        <v>Attachment 5</v>
      </c>
      <c r="G40" s="181" t="s">
        <v>492</v>
      </c>
      <c r="H40" s="181" t="s">
        <v>492</v>
      </c>
      <c r="I40" s="146"/>
      <c r="J40" s="146"/>
      <c r="K40" s="146"/>
      <c r="L40" s="146"/>
      <c r="M40" s="146"/>
      <c r="N40" s="146"/>
      <c r="O40" s="146"/>
      <c r="P40" s="146"/>
      <c r="Q40" s="329"/>
    </row>
    <row r="41" spans="1:17" ht="15.5" hidden="1">
      <c r="A41" s="248">
        <f>'ATT H-2A'!A47</f>
        <v>25</v>
      </c>
      <c r="B41" s="210"/>
      <c r="C41" s="202" t="str">
        <f>'ATT H-2A'!C47</f>
        <v>Total General &amp; Common</v>
      </c>
      <c r="D41" s="124"/>
      <c r="E41" s="186"/>
      <c r="F41" s="238" t="str">
        <f>'ATT H-2A'!F47</f>
        <v>(Line 23 + 24)</v>
      </c>
      <c r="G41" s="146"/>
      <c r="H41" s="146"/>
      <c r="I41" s="146"/>
      <c r="J41" s="146"/>
      <c r="K41" s="146"/>
      <c r="L41" s="146"/>
      <c r="M41" s="146"/>
      <c r="N41" s="146"/>
      <c r="O41" s="146"/>
      <c r="P41" s="146"/>
      <c r="Q41" s="329"/>
    </row>
    <row r="42" spans="1:17" ht="15.5" hidden="1">
      <c r="A42" s="248">
        <f>'ATT H-2A'!A48</f>
        <v>26</v>
      </c>
      <c r="B42" s="210"/>
      <c r="C42" s="212" t="str">
        <f>'ATT H-2A'!C48</f>
        <v>Wage &amp; Salary Allocation Factor</v>
      </c>
      <c r="D42" s="206"/>
      <c r="E42" s="247"/>
      <c r="F42" s="238" t="str">
        <f>'ATT H-2A'!F48</f>
        <v>(Line 5)</v>
      </c>
      <c r="G42" s="146"/>
      <c r="H42" s="146"/>
      <c r="I42" s="146"/>
      <c r="J42" s="146"/>
      <c r="K42" s="146"/>
      <c r="L42" s="146"/>
      <c r="M42" s="146"/>
      <c r="N42" s="146"/>
      <c r="O42" s="146"/>
      <c r="P42" s="146"/>
      <c r="Q42" s="329"/>
    </row>
    <row r="43" spans="1:17" ht="15.5" hidden="1">
      <c r="A43" s="248">
        <f>'ATT H-2A'!A49</f>
        <v>27</v>
      </c>
      <c r="B43" s="221"/>
      <c r="C43" s="231" t="str">
        <f>'ATT H-2A'!C49</f>
        <v>General &amp; Common Plant Allocated to Transmission</v>
      </c>
      <c r="D43" s="185"/>
      <c r="E43" s="203"/>
      <c r="F43" s="238" t="str">
        <f>'ATT H-2A'!F49</f>
        <v>(Line 25 * 26)</v>
      </c>
      <c r="G43" s="146"/>
      <c r="H43" s="146"/>
      <c r="I43" s="146"/>
      <c r="J43" s="146"/>
      <c r="K43" s="146"/>
      <c r="L43" s="146"/>
      <c r="M43" s="146"/>
      <c r="N43" s="146"/>
      <c r="O43" s="146"/>
      <c r="P43" s="146"/>
      <c r="Q43" s="329"/>
    </row>
    <row r="44" spans="1:17" ht="15.5" hidden="1">
      <c r="A44" s="239"/>
      <c r="B44" s="210"/>
      <c r="C44" s="231"/>
      <c r="D44" s="195"/>
      <c r="E44" s="247"/>
      <c r="F44" s="245"/>
      <c r="G44" s="146"/>
      <c r="H44" s="146"/>
      <c r="I44" s="146"/>
      <c r="J44" s="146"/>
      <c r="K44" s="146"/>
      <c r="L44" s="146"/>
      <c r="M44" s="146"/>
      <c r="N44" s="146"/>
      <c r="O44" s="146"/>
      <c r="P44" s="146"/>
      <c r="Q44" s="329"/>
    </row>
    <row r="45" spans="1:17" ht="15.5">
      <c r="A45" s="248">
        <f>'ATT H-2A'!A51</f>
        <v>28</v>
      </c>
      <c r="B45" s="210"/>
      <c r="C45" s="231" t="str">
        <f>'ATT H-2A'!C51</f>
        <v>Plant Held for Future Use (Including Land)</v>
      </c>
      <c r="D45" s="288"/>
      <c r="E45" s="208" t="str">
        <f>'ATT H-2A'!E51</f>
        <v>(Note C)</v>
      </c>
      <c r="F45" s="238" t="str">
        <f>'ATT H-2A'!F51</f>
        <v>Attachment 5</v>
      </c>
      <c r="G45" s="146"/>
      <c r="H45" s="146"/>
      <c r="I45" s="181" t="s">
        <v>492</v>
      </c>
      <c r="J45" s="146"/>
      <c r="K45" s="146"/>
      <c r="L45" s="146"/>
      <c r="M45" s="146"/>
      <c r="N45" s="146"/>
      <c r="O45" s="146"/>
      <c r="P45" s="146"/>
      <c r="Q45" s="329"/>
    </row>
    <row r="46" spans="1:17" ht="15.5" hidden="1">
      <c r="A46" s="239"/>
      <c r="B46" s="210"/>
      <c r="C46" s="231"/>
      <c r="D46" s="195"/>
      <c r="E46" s="247"/>
      <c r="F46" s="245"/>
      <c r="G46" s="146"/>
      <c r="H46" s="146"/>
      <c r="I46" s="146"/>
      <c r="J46" s="146"/>
      <c r="K46" s="146"/>
      <c r="L46" s="146"/>
      <c r="M46" s="146"/>
      <c r="N46" s="146"/>
      <c r="O46" s="146"/>
      <c r="P46" s="146"/>
      <c r="Q46" s="329"/>
    </row>
    <row r="47" spans="1:17" ht="15.5" hidden="1">
      <c r="A47" s="248">
        <f>'ATT H-2A'!A53</f>
        <v>29</v>
      </c>
      <c r="B47" s="270" t="str">
        <f>'ATT H-2A'!B53</f>
        <v>TOTAL Plant In Service</v>
      </c>
      <c r="C47" s="270"/>
      <c r="D47" s="270"/>
      <c r="E47" s="219"/>
      <c r="F47" s="283" t="str">
        <f>'ATT H-2A'!F53</f>
        <v>(Line 22 + 27 + 28)</v>
      </c>
      <c r="G47" s="146"/>
      <c r="H47" s="146"/>
      <c r="I47" s="146"/>
      <c r="J47" s="146"/>
      <c r="K47" s="146"/>
      <c r="L47" s="146"/>
      <c r="M47" s="146"/>
      <c r="N47" s="146"/>
      <c r="O47" s="146"/>
      <c r="P47" s="146"/>
      <c r="Q47" s="329"/>
    </row>
    <row r="48" spans="1:17" ht="15.5" hidden="1">
      <c r="A48" s="239"/>
      <c r="B48" s="210"/>
      <c r="C48" s="231"/>
      <c r="D48" s="195"/>
      <c r="E48" s="247"/>
      <c r="F48" s="245"/>
      <c r="G48" s="146"/>
      <c r="H48" s="146"/>
      <c r="I48" s="146"/>
      <c r="J48" s="146"/>
      <c r="K48" s="146"/>
      <c r="L48" s="146"/>
      <c r="M48" s="146"/>
      <c r="N48" s="146"/>
      <c r="O48" s="146"/>
      <c r="P48" s="146"/>
      <c r="Q48" s="329"/>
    </row>
    <row r="49" spans="1:17" ht="15.5">
      <c r="A49" s="248"/>
      <c r="B49" s="231" t="str">
        <f>'ATT H-2A'!B55</f>
        <v>Accumulated Depreciation</v>
      </c>
      <c r="C49" s="231"/>
      <c r="D49" s="205"/>
      <c r="E49" s="203"/>
      <c r="F49" s="238"/>
      <c r="G49" s="146"/>
      <c r="H49" s="146"/>
      <c r="I49" s="146"/>
      <c r="J49" s="146"/>
      <c r="K49" s="146"/>
      <c r="L49" s="146"/>
      <c r="M49" s="146"/>
      <c r="N49" s="146"/>
      <c r="O49" s="146"/>
      <c r="P49" s="146"/>
      <c r="Q49" s="329"/>
    </row>
    <row r="50" spans="1:17" ht="15.5" hidden="1">
      <c r="A50" s="239"/>
      <c r="B50" s="210"/>
      <c r="C50" s="231"/>
      <c r="D50" s="195"/>
      <c r="E50" s="247"/>
      <c r="F50" s="245"/>
      <c r="G50" s="146"/>
      <c r="H50" s="146"/>
      <c r="I50" s="146"/>
      <c r="J50" s="146"/>
      <c r="K50" s="146"/>
      <c r="L50" s="146"/>
      <c r="M50" s="146"/>
      <c r="N50" s="146"/>
      <c r="O50" s="146"/>
      <c r="P50" s="146"/>
      <c r="Q50" s="329"/>
    </row>
    <row r="51" spans="1:17" ht="15.5" hidden="1">
      <c r="A51" s="248">
        <f>'ATT H-2A'!A57</f>
        <v>30</v>
      </c>
      <c r="B51" s="210"/>
      <c r="C51" s="217" t="str">
        <f>'ATT H-2A'!C57</f>
        <v>Transmission Accumulated Depreciation</v>
      </c>
      <c r="D51" s="124"/>
      <c r="E51" s="186"/>
      <c r="F51" s="249" t="str">
        <f>'ATT H-2A'!F57</f>
        <v>Attachment 5</v>
      </c>
      <c r="G51" s="146"/>
      <c r="H51" s="146"/>
      <c r="I51" s="146"/>
      <c r="J51" s="146"/>
      <c r="K51" s="146"/>
      <c r="L51" s="146"/>
      <c r="M51" s="146"/>
      <c r="N51" s="146"/>
      <c r="O51" s="146"/>
      <c r="P51" s="146"/>
      <c r="Q51" s="329"/>
    </row>
    <row r="52" spans="1:17" ht="15.5">
      <c r="A52" s="248">
        <f>'ATT H-2A'!A57</f>
        <v>30</v>
      </c>
      <c r="B52" s="210"/>
      <c r="C52" s="202" t="str">
        <f>'ATT H-2A'!C57</f>
        <v>Transmission Accumulated Depreciation</v>
      </c>
      <c r="D52" s="124"/>
      <c r="E52" s="292">
        <f>'ATT H-2A'!E57</f>
        <v>0</v>
      </c>
      <c r="F52" s="278" t="str">
        <f>'ATT H-2A'!F57</f>
        <v>Attachment 5</v>
      </c>
      <c r="G52" s="146"/>
      <c r="H52" s="181" t="s">
        <v>492</v>
      </c>
      <c r="I52" s="146"/>
      <c r="J52" s="146"/>
      <c r="K52" s="146"/>
      <c r="L52" s="146"/>
      <c r="M52" s="146"/>
      <c r="N52" s="146"/>
      <c r="O52" s="146"/>
      <c r="P52" s="146"/>
      <c r="Q52" s="329"/>
    </row>
    <row r="53" spans="1:17" ht="15.5" hidden="1">
      <c r="A53" s="248">
        <f>'ATT H-2A'!A59</f>
        <v>31</v>
      </c>
      <c r="B53" s="210"/>
      <c r="C53" s="202" t="str">
        <f>'ATT H-2A'!C59</f>
        <v>Accumulated General Depreciation</v>
      </c>
      <c r="D53" s="124"/>
      <c r="E53" s="186"/>
      <c r="F53" s="249" t="str">
        <f>'ATT H-2A'!F59</f>
        <v>Attachment 5</v>
      </c>
      <c r="G53" s="146"/>
      <c r="H53" s="146"/>
      <c r="I53" s="146"/>
      <c r="J53" s="146"/>
      <c r="K53" s="146"/>
      <c r="L53" s="146"/>
      <c r="M53" s="146"/>
      <c r="N53" s="146"/>
      <c r="O53" s="146"/>
      <c r="P53" s="146"/>
      <c r="Q53" s="329"/>
    </row>
    <row r="54" spans="1:17" ht="15.5" hidden="1">
      <c r="A54" s="248">
        <f>'ATT H-2A'!A60</f>
        <v>32</v>
      </c>
      <c r="B54" s="210"/>
      <c r="C54" s="202" t="str">
        <f>'ATT H-2A'!C60</f>
        <v>Accumulated Intangible Amortization</v>
      </c>
      <c r="D54" s="124"/>
      <c r="E54" s="186"/>
      <c r="F54" s="238" t="str">
        <f>'ATT H-2A'!F60</f>
        <v>Attachment 5</v>
      </c>
      <c r="G54" s="146"/>
      <c r="H54" s="146"/>
      <c r="I54" s="146"/>
      <c r="J54" s="146"/>
      <c r="K54" s="146"/>
      <c r="L54" s="146"/>
      <c r="M54" s="146"/>
      <c r="N54" s="146"/>
      <c r="O54" s="146"/>
      <c r="P54" s="146"/>
      <c r="Q54" s="329"/>
    </row>
    <row r="55" spans="1:17" ht="15.5">
      <c r="A55" s="248">
        <f>'ATT H-2A'!A61</f>
        <v>33</v>
      </c>
      <c r="B55" s="210"/>
      <c r="C55" s="202" t="str">
        <f>'ATT H-2A'!C61</f>
        <v>Accumulated Common Amortization - Electric</v>
      </c>
      <c r="D55" s="124"/>
      <c r="E55" s="194">
        <f>'ATT H-2A'!E61</f>
        <v>0</v>
      </c>
      <c r="F55" s="238" t="str">
        <f>'ATT H-2A'!F61</f>
        <v>(Line 11)</v>
      </c>
      <c r="G55" s="181" t="s">
        <v>492</v>
      </c>
      <c r="H55" s="146"/>
      <c r="I55" s="146"/>
      <c r="J55" s="146"/>
      <c r="K55" s="146"/>
      <c r="L55" s="146"/>
      <c r="M55" s="146"/>
      <c r="N55" s="146"/>
      <c r="O55" s="146"/>
      <c r="P55" s="146"/>
      <c r="Q55" s="329"/>
    </row>
    <row r="56" spans="1:17" ht="15.5">
      <c r="A56" s="248">
        <f>'ATT H-2A'!A62</f>
        <v>34</v>
      </c>
      <c r="B56" s="210"/>
      <c r="C56" s="202" t="str">
        <f>'ATT H-2A'!C62</f>
        <v>Common Plant Accumulated Depreciation (Electric Only)</v>
      </c>
      <c r="D56" s="124"/>
      <c r="E56" s="194" t="str">
        <f>'ATT H-2A'!E62</f>
        <v>(Notes A)</v>
      </c>
      <c r="F56" s="238" t="str">
        <f>'ATT H-2A'!F62</f>
        <v>(Line 12)</v>
      </c>
      <c r="G56" s="181" t="s">
        <v>492</v>
      </c>
      <c r="H56" s="146"/>
      <c r="I56" s="146"/>
      <c r="J56" s="146"/>
      <c r="K56" s="146"/>
      <c r="L56" s="146"/>
      <c r="M56" s="146"/>
      <c r="N56" s="146"/>
      <c r="O56" s="146"/>
      <c r="P56" s="146"/>
      <c r="Q56" s="329"/>
    </row>
    <row r="57" spans="1:17" ht="15.5" hidden="1">
      <c r="A57" s="248">
        <f>'ATT H-2A'!A63</f>
        <v>35</v>
      </c>
      <c r="B57" s="210"/>
      <c r="C57" s="202" t="str">
        <f>'ATT H-2A'!C63</f>
        <v>Total Accumulated Depreciation</v>
      </c>
      <c r="D57" s="124"/>
      <c r="E57" s="203"/>
      <c r="F57" s="238" t="str">
        <f>'ATT H-2A'!F63</f>
        <v>(Sum Lines 31 to 34)</v>
      </c>
      <c r="G57" s="146"/>
      <c r="H57" s="146"/>
      <c r="I57" s="146"/>
      <c r="J57" s="146"/>
      <c r="K57" s="146"/>
      <c r="L57" s="146"/>
      <c r="M57" s="146"/>
      <c r="N57" s="146"/>
      <c r="O57" s="146"/>
      <c r="P57" s="146"/>
      <c r="Q57" s="329"/>
    </row>
    <row r="58" spans="1:17" ht="15.5" hidden="1">
      <c r="A58" s="248">
        <f>'ATT H-2A'!A64</f>
        <v>36</v>
      </c>
      <c r="B58" s="210"/>
      <c r="C58" s="202" t="str">
        <f>'ATT H-2A'!C64</f>
        <v>Wage &amp; Salary Allocation Factor</v>
      </c>
      <c r="D58" s="124"/>
      <c r="E58" s="203"/>
      <c r="F58" s="238" t="str">
        <f>'ATT H-2A'!F64</f>
        <v>(Line 5)</v>
      </c>
      <c r="G58" s="146"/>
      <c r="H58" s="146"/>
      <c r="I58" s="146"/>
      <c r="J58" s="146"/>
      <c r="K58" s="146"/>
      <c r="L58" s="146"/>
      <c r="M58" s="146"/>
      <c r="N58" s="146"/>
      <c r="O58" s="146"/>
      <c r="P58" s="146"/>
      <c r="Q58" s="329"/>
    </row>
    <row r="59" spans="1:17" ht="15.5" hidden="1">
      <c r="A59" s="248">
        <f>'ATT H-2A'!A65</f>
        <v>37</v>
      </c>
      <c r="B59" s="221"/>
      <c r="C59" s="217" t="str">
        <f>'ATT H-2A'!C65</f>
        <v>General &amp; Common Allocated to Transmission</v>
      </c>
      <c r="D59" s="221"/>
      <c r="E59" s="186"/>
      <c r="F59" s="238" t="str">
        <f>'ATT H-2A'!F65</f>
        <v>(Line 35 * 36)</v>
      </c>
      <c r="G59" s="146"/>
      <c r="H59" s="146"/>
      <c r="I59" s="146"/>
      <c r="J59" s="146"/>
      <c r="K59" s="146"/>
      <c r="L59" s="146"/>
      <c r="M59" s="146"/>
      <c r="N59" s="146"/>
      <c r="O59" s="146"/>
      <c r="P59" s="146"/>
      <c r="Q59" s="329"/>
    </row>
    <row r="60" spans="1:17" ht="15.5" hidden="1">
      <c r="A60" s="239"/>
      <c r="B60" s="210"/>
      <c r="C60" s="231"/>
      <c r="D60" s="195"/>
      <c r="E60" s="247"/>
      <c r="F60" s="245"/>
      <c r="G60" s="146"/>
      <c r="H60" s="146"/>
      <c r="I60" s="146"/>
      <c r="J60" s="146"/>
      <c r="K60" s="146"/>
      <c r="L60" s="146"/>
      <c r="M60" s="146"/>
      <c r="N60" s="146"/>
      <c r="O60" s="146"/>
      <c r="P60" s="146"/>
      <c r="Q60" s="329"/>
    </row>
    <row r="61" spans="1:17" ht="15.5" hidden="1">
      <c r="A61" s="248">
        <f>'ATT H-2A'!A67</f>
        <v>38</v>
      </c>
      <c r="B61" s="270" t="str">
        <f>'ATT H-2A'!B67</f>
        <v>TOTAL Accumulated Depreciation</v>
      </c>
      <c r="C61" s="270"/>
      <c r="D61" s="270"/>
      <c r="E61" s="219"/>
      <c r="F61" s="283" t="str">
        <f>'ATT H-2A'!F67</f>
        <v>(Line 30 + 37)</v>
      </c>
      <c r="G61" s="146"/>
      <c r="H61" s="146"/>
      <c r="I61" s="146"/>
      <c r="J61" s="146"/>
      <c r="K61" s="146"/>
      <c r="L61" s="146"/>
      <c r="M61" s="146"/>
      <c r="N61" s="146"/>
      <c r="O61" s="146"/>
      <c r="P61" s="146"/>
      <c r="Q61" s="329"/>
    </row>
    <row r="62" spans="1:17" ht="15.5" hidden="1">
      <c r="A62" s="239"/>
      <c r="B62" s="210"/>
      <c r="C62" s="231"/>
      <c r="D62" s="195"/>
      <c r="E62" s="247"/>
      <c r="F62" s="245"/>
      <c r="G62" s="146"/>
      <c r="H62" s="146"/>
      <c r="I62" s="146"/>
      <c r="J62" s="146"/>
      <c r="K62" s="146"/>
      <c r="L62" s="146"/>
      <c r="M62" s="146"/>
      <c r="N62" s="146"/>
      <c r="O62" s="146"/>
      <c r="P62" s="146"/>
      <c r="Q62" s="329"/>
    </row>
    <row r="63" spans="1:17" ht="15.5" hidden="1">
      <c r="A63" s="248">
        <f>'ATT H-2A'!A69</f>
        <v>39</v>
      </c>
      <c r="B63" s="270" t="str">
        <f>'ATT H-2A'!B69</f>
        <v>TOTAL Net Property, Plant &amp; Equipment</v>
      </c>
      <c r="C63" s="270"/>
      <c r="D63" s="270"/>
      <c r="E63" s="219"/>
      <c r="F63" s="283" t="str">
        <f>'ATT H-2A'!F69</f>
        <v>(Line 29 - 38)</v>
      </c>
      <c r="G63" s="146"/>
      <c r="H63" s="146"/>
      <c r="I63" s="146"/>
      <c r="J63" s="146"/>
      <c r="K63" s="146"/>
      <c r="L63" s="146"/>
      <c r="M63" s="146"/>
      <c r="N63" s="146"/>
      <c r="O63" s="146"/>
      <c r="P63" s="146"/>
      <c r="Q63" s="329"/>
    </row>
    <row r="64" spans="1:17" ht="15.5" hidden="1">
      <c r="A64" s="239"/>
      <c r="B64" s="210"/>
      <c r="C64" s="231"/>
      <c r="D64" s="195"/>
      <c r="E64" s="247"/>
      <c r="F64" s="245"/>
      <c r="G64" s="146"/>
      <c r="H64" s="146"/>
      <c r="I64" s="146"/>
      <c r="J64" s="146"/>
      <c r="K64" s="146"/>
      <c r="L64" s="146"/>
      <c r="M64" s="146"/>
      <c r="N64" s="146"/>
      <c r="O64" s="146"/>
      <c r="P64" s="146"/>
      <c r="Q64" s="329"/>
    </row>
    <row r="65" spans="1:17" ht="15.5" hidden="1">
      <c r="A65" s="251" t="str">
        <f>'ATT H-2A'!A71</f>
        <v>Adjustment To Rate Base</v>
      </c>
      <c r="B65" s="197"/>
      <c r="C65" s="197"/>
      <c r="D65" s="197"/>
      <c r="E65" s="198"/>
      <c r="F65" s="252"/>
      <c r="G65" s="146"/>
      <c r="H65" s="146"/>
      <c r="I65" s="146"/>
      <c r="J65" s="146"/>
      <c r="K65" s="146"/>
      <c r="L65" s="146"/>
      <c r="M65" s="146"/>
      <c r="N65" s="146"/>
      <c r="O65" s="146"/>
      <c r="P65" s="146"/>
      <c r="Q65" s="329"/>
    </row>
    <row r="66" spans="1:17" ht="15.5" hidden="1">
      <c r="A66" s="239"/>
      <c r="B66" s="210"/>
      <c r="C66" s="231"/>
      <c r="D66" s="195"/>
      <c r="E66" s="247"/>
      <c r="F66" s="245"/>
      <c r="G66" s="146"/>
      <c r="H66" s="146"/>
      <c r="I66" s="146"/>
      <c r="J66" s="146"/>
      <c r="K66" s="146"/>
      <c r="L66" s="146"/>
      <c r="M66" s="146"/>
      <c r="N66" s="146"/>
      <c r="O66" s="146"/>
      <c r="P66" s="146"/>
      <c r="Q66" s="329"/>
    </row>
    <row r="67" spans="1:17" ht="15.5">
      <c r="A67" s="254"/>
      <c r="B67" s="204" t="str">
        <f>'ATT H-2A'!B73</f>
        <v>Accumulated Deferred Income Taxes (ADIT)</v>
      </c>
      <c r="C67" s="124"/>
      <c r="D67" s="185"/>
      <c r="E67" s="255"/>
      <c r="F67" s="242"/>
      <c r="G67" s="146"/>
      <c r="H67" s="146"/>
      <c r="I67" s="146"/>
      <c r="J67" s="146"/>
      <c r="K67" s="146"/>
      <c r="L67" s="146"/>
      <c r="M67" s="146"/>
      <c r="N67" s="146"/>
      <c r="O67" s="146"/>
      <c r="P67" s="146"/>
      <c r="Q67" s="329"/>
    </row>
    <row r="68" spans="1:17" ht="15.5" hidden="1">
      <c r="A68" s="254" t="e">
        <f>'ATT H-2A'!#REF!</f>
        <v>#REF!</v>
      </c>
      <c r="B68" s="204"/>
      <c r="C68" s="124" t="e">
        <f>'ATT H-2A'!#REF!</f>
        <v>#REF!</v>
      </c>
      <c r="D68" s="185"/>
      <c r="E68" s="186"/>
      <c r="F68" s="256" t="e">
        <f>'ATT H-2A'!#REF!</f>
        <v>#REF!</v>
      </c>
      <c r="G68" s="146"/>
      <c r="H68" s="146"/>
      <c r="I68" s="146"/>
      <c r="J68" s="146"/>
      <c r="K68" s="146"/>
      <c r="L68" s="146"/>
      <c r="M68" s="146"/>
      <c r="N68" s="146"/>
      <c r="O68" s="146"/>
      <c r="P68" s="146"/>
      <c r="Q68" s="329"/>
    </row>
    <row r="69" spans="1:17" ht="15.5" hidden="1">
      <c r="A69" s="248" t="e">
        <f>'ATT H-2A'!#REF!</f>
        <v>#REF!</v>
      </c>
      <c r="B69" s="185"/>
      <c r="C69" s="206" t="e">
        <f>'ATT H-2A'!#REF!</f>
        <v>#REF!</v>
      </c>
      <c r="D69" s="257"/>
      <c r="E69" s="258"/>
      <c r="F69" s="249" t="e">
        <f>'ATT H-2A'!#REF!</f>
        <v>#REF!</v>
      </c>
      <c r="G69" s="146"/>
      <c r="H69" s="146"/>
      <c r="I69" s="146"/>
      <c r="J69" s="146"/>
      <c r="K69" s="146"/>
      <c r="L69" s="146"/>
      <c r="M69" s="146"/>
      <c r="N69" s="146"/>
      <c r="O69" s="146"/>
      <c r="P69" s="146"/>
      <c r="Q69" s="329"/>
    </row>
    <row r="70" spans="1:17" ht="15.5" hidden="1">
      <c r="A70" s="248" t="e">
        <f>'ATT H-2A'!#REF!</f>
        <v>#REF!</v>
      </c>
      <c r="B70" s="185"/>
      <c r="C70" s="206" t="e">
        <f>'ATT H-2A'!#REF!</f>
        <v>#REF!</v>
      </c>
      <c r="D70" s="257"/>
      <c r="E70" s="258"/>
      <c r="F70" s="249" t="e">
        <f>'ATT H-2A'!#REF!</f>
        <v>#REF!</v>
      </c>
      <c r="G70" s="146"/>
      <c r="H70" s="146"/>
      <c r="I70" s="146"/>
      <c r="J70" s="146"/>
      <c r="K70" s="146"/>
      <c r="L70" s="146"/>
      <c r="M70" s="146"/>
      <c r="N70" s="146"/>
      <c r="O70" s="146"/>
      <c r="P70" s="146"/>
      <c r="Q70" s="329"/>
    </row>
    <row r="71" spans="1:17" ht="15.5">
      <c r="A71" s="248" t="str">
        <f>'ATT H-2A'!A78</f>
        <v>40e</v>
      </c>
      <c r="B71" s="229"/>
      <c r="C71" s="229" t="str">
        <f>'ATT H-2A'!C78</f>
        <v>Account No. 255 (Accum. Deferred Investment Tax Credits)</v>
      </c>
      <c r="D71" s="229"/>
      <c r="E71" s="277" t="str">
        <f>'ATT H-2A'!E78</f>
        <v>(Note T)</v>
      </c>
      <c r="F71" s="249" t="s">
        <v>187</v>
      </c>
      <c r="G71" s="181" t="s">
        <v>492</v>
      </c>
      <c r="H71" s="146"/>
      <c r="I71" s="146"/>
      <c r="J71" s="146"/>
      <c r="K71" s="146"/>
      <c r="L71" s="146"/>
      <c r="M71" s="181" t="s">
        <v>492</v>
      </c>
      <c r="N71" s="146"/>
      <c r="O71" s="146"/>
      <c r="P71" s="146"/>
      <c r="Q71" s="329"/>
    </row>
    <row r="72" spans="1:17" ht="15.5" hidden="1">
      <c r="A72" s="248" t="e">
        <f>'ATT H-2A'!#REF!</f>
        <v>#REF!</v>
      </c>
      <c r="B72" s="185"/>
      <c r="C72" s="212" t="s">
        <v>595</v>
      </c>
      <c r="D72" s="185"/>
      <c r="E72" s="216"/>
      <c r="F72" s="249" t="e">
        <f>'ATT H-2A'!#REF!</f>
        <v>#REF!</v>
      </c>
      <c r="G72" s="146"/>
      <c r="H72" s="146"/>
      <c r="I72" s="146"/>
      <c r="J72" s="146"/>
      <c r="K72" s="146"/>
      <c r="L72" s="146"/>
      <c r="M72" s="146"/>
      <c r="N72" s="146"/>
      <c r="O72" s="146"/>
      <c r="P72" s="146"/>
      <c r="Q72" s="329"/>
    </row>
    <row r="73" spans="1:17" ht="15.5" hidden="1">
      <c r="A73" s="259" t="e">
        <f>'ATT H-2A'!#REF!</f>
        <v>#REF!</v>
      </c>
      <c r="B73" s="185"/>
      <c r="C73" s="204" t="e">
        <f>'ATT H-2A'!#REF!</f>
        <v>#REF!</v>
      </c>
      <c r="D73" s="185"/>
      <c r="E73" s="216"/>
      <c r="F73" s="249" t="e">
        <f>'ATT H-2A'!#REF!</f>
        <v>#REF!</v>
      </c>
      <c r="G73" s="146"/>
      <c r="H73" s="146"/>
      <c r="I73" s="146"/>
      <c r="J73" s="146"/>
      <c r="K73" s="146"/>
      <c r="L73" s="146"/>
      <c r="M73" s="146"/>
      <c r="N73" s="146"/>
      <c r="O73" s="146"/>
      <c r="P73" s="146"/>
      <c r="Q73" s="329"/>
    </row>
    <row r="74" spans="1:17" ht="15.5" hidden="1">
      <c r="A74" s="239"/>
      <c r="B74" s="210"/>
      <c r="C74" s="231"/>
      <c r="D74" s="195"/>
      <c r="E74" s="247"/>
      <c r="F74" s="245"/>
      <c r="G74" s="146"/>
      <c r="H74" s="146"/>
      <c r="I74" s="146"/>
      <c r="J74" s="146"/>
      <c r="K74" s="146"/>
      <c r="L74" s="146"/>
      <c r="M74" s="146"/>
      <c r="N74" s="146"/>
      <c r="O74" s="146"/>
      <c r="P74" s="146"/>
      <c r="Q74" s="329"/>
    </row>
    <row r="75" spans="1:17" ht="15.5" hidden="1">
      <c r="A75" s="239"/>
      <c r="B75" s="210"/>
      <c r="C75" s="231"/>
      <c r="D75" s="195"/>
      <c r="E75" s="247"/>
      <c r="F75" s="245"/>
      <c r="G75" s="146"/>
      <c r="H75" s="146"/>
      <c r="I75" s="146"/>
      <c r="J75" s="146"/>
      <c r="K75" s="146"/>
      <c r="L75" s="146"/>
      <c r="M75" s="146"/>
      <c r="N75" s="146"/>
      <c r="O75" s="146"/>
      <c r="P75" s="146"/>
      <c r="Q75" s="329"/>
    </row>
    <row r="76" spans="1:17" ht="15.5">
      <c r="A76" s="248"/>
      <c r="B76" s="204" t="str">
        <f>'ATT H-2A'!B94</f>
        <v>Prepayments</v>
      </c>
      <c r="C76" s="212"/>
      <c r="D76" s="124"/>
      <c r="E76" s="186"/>
      <c r="F76" s="260"/>
      <c r="G76" s="146"/>
      <c r="H76" s="146"/>
      <c r="I76" s="146"/>
      <c r="J76" s="146"/>
      <c r="K76" s="146"/>
      <c r="L76" s="146"/>
      <c r="M76" s="146"/>
      <c r="N76" s="146"/>
      <c r="O76" s="146"/>
      <c r="P76" s="146"/>
      <c r="Q76" s="329"/>
    </row>
    <row r="77" spans="1:17" ht="15.5">
      <c r="A77" s="248">
        <f>'ATT H-2A'!A95</f>
        <v>45</v>
      </c>
      <c r="B77" s="261"/>
      <c r="C77" s="212" t="str">
        <f>'ATT H-2A'!C95</f>
        <v xml:space="preserve">Prepayments </v>
      </c>
      <c r="D77" s="194"/>
      <c r="E77" s="234" t="str">
        <f>'ATT H-2A'!E95</f>
        <v>(Note A)</v>
      </c>
      <c r="F77" s="262" t="str">
        <f>'ATT H-2A'!F95</f>
        <v>Attachment 5</v>
      </c>
      <c r="G77" s="181" t="s">
        <v>492</v>
      </c>
      <c r="H77" s="146"/>
      <c r="I77" s="146"/>
      <c r="J77" s="146"/>
      <c r="K77" s="146"/>
      <c r="L77" s="146"/>
      <c r="M77" s="146"/>
      <c r="N77" s="146"/>
      <c r="O77" s="146"/>
      <c r="P77" s="146"/>
      <c r="Q77" s="329"/>
    </row>
    <row r="78" spans="1:17" ht="15.5" hidden="1">
      <c r="A78" s="239" t="e">
        <f>'ATT H-2A'!#REF!</f>
        <v>#REF!</v>
      </c>
      <c r="B78" s="263"/>
      <c r="C78" s="212" t="e">
        <f>'ATT H-2A'!#REF!</f>
        <v>#REF!</v>
      </c>
      <c r="D78" s="209"/>
      <c r="E78" s="210"/>
      <c r="F78" s="238" t="e">
        <f>'ATT H-2A'!#REF!</f>
        <v>#REF!</v>
      </c>
      <c r="G78" s="146"/>
      <c r="H78" s="146"/>
      <c r="I78" s="146"/>
      <c r="J78" s="146"/>
      <c r="K78" s="146"/>
      <c r="L78" s="146"/>
      <c r="M78" s="146"/>
      <c r="N78" s="146"/>
      <c r="O78" s="146"/>
      <c r="P78" s="146"/>
      <c r="Q78" s="146"/>
    </row>
    <row r="79" spans="1:17" ht="15.5" hidden="1">
      <c r="A79" s="239">
        <f>'ATT H-2A'!A96</f>
        <v>46</v>
      </c>
      <c r="B79" s="263"/>
      <c r="C79" s="233" t="str">
        <f>'ATT H-2A'!C96</f>
        <v>Total Prepayments Allocated to Transmission</v>
      </c>
      <c r="D79" s="124"/>
      <c r="E79" s="210"/>
      <c r="F79" s="238" t="str">
        <f>'ATT H-2A'!F96</f>
        <v>(Line 45)</v>
      </c>
      <c r="G79" s="146"/>
      <c r="H79" s="146"/>
      <c r="I79" s="146"/>
      <c r="J79" s="146"/>
      <c r="K79" s="146"/>
      <c r="L79" s="146"/>
      <c r="M79" s="146"/>
      <c r="N79" s="146"/>
      <c r="O79" s="146"/>
      <c r="P79" s="146"/>
      <c r="Q79" s="146"/>
    </row>
    <row r="80" spans="1:17" ht="15.5" hidden="1">
      <c r="A80" s="239"/>
      <c r="B80" s="210"/>
      <c r="C80" s="231"/>
      <c r="D80" s="195"/>
      <c r="E80" s="247"/>
      <c r="F80" s="245"/>
      <c r="G80" s="146"/>
      <c r="H80" s="146"/>
      <c r="I80" s="146"/>
      <c r="J80" s="146"/>
      <c r="K80" s="146"/>
      <c r="L80" s="146"/>
      <c r="M80" s="146"/>
      <c r="N80" s="146"/>
      <c r="O80" s="146"/>
      <c r="P80" s="146"/>
      <c r="Q80" s="146"/>
    </row>
    <row r="81" spans="1:17" ht="15.5">
      <c r="A81" s="248"/>
      <c r="B81" s="204" t="str">
        <f>'ATT H-2A'!B98</f>
        <v>Materials and Supplies</v>
      </c>
      <c r="C81" s="185"/>
      <c r="D81" s="185"/>
      <c r="E81" s="264"/>
      <c r="F81" s="265"/>
      <c r="G81" s="146"/>
      <c r="H81" s="146"/>
      <c r="I81" s="146"/>
      <c r="J81" s="146"/>
      <c r="K81" s="146"/>
      <c r="L81" s="146"/>
      <c r="M81" s="146"/>
      <c r="N81" s="146"/>
      <c r="O81" s="146"/>
      <c r="P81" s="146"/>
      <c r="Q81" s="329"/>
    </row>
    <row r="82" spans="1:17" ht="15.5">
      <c r="A82" s="254">
        <f>'ATT H-2A'!A99</f>
        <v>47</v>
      </c>
      <c r="B82" s="185"/>
      <c r="C82" s="185" t="str">
        <f>'ATT H-2A'!C99</f>
        <v>Undistributed Stores Exp</v>
      </c>
      <c r="D82" s="195"/>
      <c r="E82" s="234" t="str">
        <f>'ATT H-2A'!E99</f>
        <v>(Note A)</v>
      </c>
      <c r="F82" s="266" t="str">
        <f>'ATT H-2A'!F99</f>
        <v>p227.6c &amp; 16.c</v>
      </c>
      <c r="G82" s="181" t="s">
        <v>492</v>
      </c>
      <c r="H82" s="146"/>
      <c r="I82" s="146"/>
      <c r="J82" s="146"/>
      <c r="K82" s="146"/>
      <c r="L82" s="146"/>
      <c r="M82" s="146"/>
      <c r="N82" s="146"/>
      <c r="O82" s="146"/>
      <c r="P82" s="146"/>
      <c r="Q82" s="329"/>
    </row>
    <row r="83" spans="1:17" ht="15.5" hidden="1">
      <c r="A83" s="248">
        <f>'ATT H-2A'!A100</f>
        <v>48</v>
      </c>
      <c r="B83" s="263"/>
      <c r="C83" s="212" t="str">
        <f>'ATT H-2A'!C100</f>
        <v>Wage &amp; Salary Allocation Factor</v>
      </c>
      <c r="D83" s="209"/>
      <c r="E83" s="229"/>
      <c r="F83" s="238" t="str">
        <f>'ATT H-2A'!F100</f>
        <v>(Line 5)</v>
      </c>
      <c r="G83" s="146"/>
      <c r="H83" s="146"/>
      <c r="I83" s="146"/>
      <c r="J83" s="146"/>
      <c r="K83" s="146"/>
      <c r="L83" s="146"/>
      <c r="M83" s="146"/>
      <c r="N83" s="146"/>
      <c r="O83" s="146"/>
      <c r="P83" s="146"/>
      <c r="Q83" s="329"/>
    </row>
    <row r="84" spans="1:17" ht="15.5" hidden="1">
      <c r="A84" s="248">
        <f>'ATT H-2A'!A101</f>
        <v>49</v>
      </c>
      <c r="B84" s="263"/>
      <c r="C84" s="212" t="str">
        <f>'ATT H-2A'!C101</f>
        <v>Total Transmission Allocated</v>
      </c>
      <c r="D84" s="195"/>
      <c r="E84" s="216"/>
      <c r="F84" s="238" t="str">
        <f>'ATT H-2A'!F101</f>
        <v>(Line 47 * 48)</v>
      </c>
      <c r="G84" s="146"/>
      <c r="H84" s="146"/>
      <c r="I84" s="146"/>
      <c r="J84" s="146"/>
      <c r="K84" s="146"/>
      <c r="L84" s="146"/>
      <c r="M84" s="146"/>
      <c r="N84" s="146"/>
      <c r="O84" s="146"/>
      <c r="P84" s="146"/>
      <c r="Q84" s="329"/>
    </row>
    <row r="85" spans="1:17" ht="15.5" hidden="1">
      <c r="A85" s="248">
        <f>'ATT H-2A'!A102</f>
        <v>50</v>
      </c>
      <c r="B85" s="263"/>
      <c r="C85" s="212" t="str">
        <f>'ATT H-2A'!C102</f>
        <v>Transmission Materials &amp; Supplies</v>
      </c>
      <c r="D85" s="195"/>
      <c r="E85" s="229"/>
      <c r="F85" s="266" t="str">
        <f>'ATT H-2A'!F102</f>
        <v>(p227.8c + p227.5c)</v>
      </c>
      <c r="G85" s="146"/>
      <c r="H85" s="146"/>
      <c r="I85" s="146"/>
      <c r="J85" s="146"/>
      <c r="K85" s="146"/>
      <c r="L85" s="146"/>
      <c r="M85" s="146"/>
      <c r="N85" s="146"/>
      <c r="O85" s="146"/>
      <c r="P85" s="146"/>
      <c r="Q85" s="329"/>
    </row>
    <row r="86" spans="1:17" ht="15.5" hidden="1">
      <c r="A86" s="248">
        <f>'ATT H-2A'!A103</f>
        <v>51</v>
      </c>
      <c r="B86" s="263"/>
      <c r="C86" s="233" t="str">
        <f>'ATT H-2A'!C103</f>
        <v>Total Materials &amp; Supplies Allocated to Transmission</v>
      </c>
      <c r="D86" s="218"/>
      <c r="E86" s="291"/>
      <c r="F86" s="238" t="str">
        <f>'ATT H-2A'!F103</f>
        <v>(Line 49 + 50)</v>
      </c>
      <c r="G86" s="146"/>
      <c r="H86" s="146"/>
      <c r="I86" s="146"/>
      <c r="J86" s="146"/>
      <c r="K86" s="146"/>
      <c r="L86" s="146"/>
      <c r="M86" s="146"/>
      <c r="N86" s="146"/>
      <c r="O86" s="146"/>
      <c r="P86" s="146"/>
      <c r="Q86" s="329"/>
    </row>
    <row r="87" spans="1:17" ht="15.5" hidden="1">
      <c r="A87" s="239"/>
      <c r="B87" s="210"/>
      <c r="C87" s="231"/>
      <c r="D87" s="195"/>
      <c r="E87" s="247"/>
      <c r="F87" s="245"/>
      <c r="G87" s="146"/>
      <c r="H87" s="146"/>
      <c r="I87" s="146"/>
      <c r="J87" s="146"/>
      <c r="K87" s="146"/>
      <c r="L87" s="146"/>
      <c r="M87" s="146"/>
      <c r="N87" s="146"/>
      <c r="O87" s="146"/>
      <c r="P87" s="146"/>
      <c r="Q87" s="329"/>
    </row>
    <row r="88" spans="1:17" ht="15.5" hidden="1">
      <c r="A88" s="248"/>
      <c r="B88" s="204" t="str">
        <f>'ATT H-2A'!B105</f>
        <v>Cash Working Capital</v>
      </c>
      <c r="C88" s="185"/>
      <c r="D88" s="124"/>
      <c r="E88" s="186"/>
      <c r="F88" s="260"/>
      <c r="G88" s="146"/>
      <c r="H88" s="146"/>
      <c r="I88" s="146"/>
      <c r="J88" s="146"/>
      <c r="K88" s="146"/>
      <c r="L88" s="146"/>
      <c r="M88" s="146"/>
      <c r="N88" s="146"/>
      <c r="O88" s="146"/>
      <c r="P88" s="146"/>
      <c r="Q88" s="329"/>
    </row>
    <row r="89" spans="1:17" ht="15.5" hidden="1">
      <c r="A89" s="248">
        <f>'ATT H-2A'!A106</f>
        <v>52</v>
      </c>
      <c r="B89" s="263"/>
      <c r="C89" s="212" t="str">
        <f>'ATT H-2A'!C106</f>
        <v>Operation &amp; Maintenance Expense</v>
      </c>
      <c r="D89" s="267"/>
      <c r="E89" s="186"/>
      <c r="F89" s="238" t="str">
        <f>'ATT H-2A'!F106</f>
        <v>(Line 84)</v>
      </c>
      <c r="G89" s="146"/>
      <c r="H89" s="146"/>
      <c r="I89" s="146"/>
      <c r="J89" s="146"/>
      <c r="K89" s="146"/>
      <c r="L89" s="146"/>
      <c r="M89" s="146"/>
      <c r="N89" s="146"/>
      <c r="O89" s="146"/>
      <c r="P89" s="146"/>
      <c r="Q89" s="329"/>
    </row>
    <row r="90" spans="1:17" ht="15.5" hidden="1">
      <c r="A90" s="248">
        <f>'ATT H-2A'!A107</f>
        <v>53</v>
      </c>
      <c r="B90" s="263"/>
      <c r="C90" s="209" t="str">
        <f>'ATT H-2A'!C107</f>
        <v>1/8th Rule</v>
      </c>
      <c r="D90" s="267"/>
      <c r="E90" s="186"/>
      <c r="F90" s="262" t="str">
        <f>'ATT H-2A'!F107</f>
        <v>x 1/8</v>
      </c>
      <c r="G90" s="146"/>
      <c r="H90" s="146"/>
      <c r="I90" s="146"/>
      <c r="J90" s="146"/>
      <c r="K90" s="146"/>
      <c r="L90" s="146"/>
      <c r="M90" s="146"/>
      <c r="N90" s="146"/>
      <c r="O90" s="146"/>
      <c r="P90" s="146"/>
      <c r="Q90" s="329"/>
    </row>
    <row r="91" spans="1:17" ht="15.5" hidden="1">
      <c r="A91" s="248">
        <f>'ATT H-2A'!A108</f>
        <v>54</v>
      </c>
      <c r="B91" s="268"/>
      <c r="C91" s="204" t="str">
        <f>'ATT H-2A'!C108</f>
        <v>Total Cash Working Capital Allocated to Transmission</v>
      </c>
      <c r="D91" s="211"/>
      <c r="E91" s="219"/>
      <c r="F91" s="238" t="str">
        <f>'ATT H-2A'!F108</f>
        <v>(Line 52 * 53)</v>
      </c>
      <c r="G91" s="146"/>
      <c r="H91" s="146"/>
      <c r="I91" s="146"/>
      <c r="J91" s="146"/>
      <c r="K91" s="146"/>
      <c r="L91" s="146"/>
      <c r="M91" s="146"/>
      <c r="N91" s="146"/>
      <c r="O91" s="146"/>
      <c r="P91" s="146"/>
      <c r="Q91" s="329"/>
    </row>
    <row r="92" spans="1:17" ht="15.5" hidden="1">
      <c r="A92" s="239"/>
      <c r="B92" s="210"/>
      <c r="C92" s="231"/>
      <c r="D92" s="195"/>
      <c r="E92" s="247"/>
      <c r="F92" s="245"/>
      <c r="G92" s="146"/>
      <c r="H92" s="146"/>
      <c r="I92" s="146"/>
      <c r="J92" s="146"/>
      <c r="K92" s="146"/>
      <c r="L92" s="146"/>
      <c r="M92" s="146"/>
      <c r="N92" s="146"/>
      <c r="O92" s="146"/>
      <c r="P92" s="146"/>
      <c r="Q92" s="329"/>
    </row>
    <row r="93" spans="1:17" ht="15.5">
      <c r="A93" s="269"/>
      <c r="B93" s="204" t="str">
        <f>'ATT H-2A'!B110</f>
        <v>Network Credits</v>
      </c>
      <c r="C93" s="270"/>
      <c r="D93" s="211"/>
      <c r="E93" s="163"/>
      <c r="F93" s="238"/>
      <c r="G93" s="146"/>
      <c r="H93" s="146"/>
      <c r="I93" s="146"/>
      <c r="J93" s="146"/>
      <c r="K93" s="146"/>
      <c r="L93" s="146"/>
      <c r="M93" s="146"/>
      <c r="N93" s="146"/>
      <c r="O93" s="146"/>
      <c r="P93" s="146"/>
      <c r="Q93" s="360" t="s">
        <v>492</v>
      </c>
    </row>
    <row r="94" spans="1:17" ht="15.5">
      <c r="A94" s="248">
        <f>'ATT H-2A'!A111</f>
        <v>55</v>
      </c>
      <c r="B94" s="221"/>
      <c r="C94" s="221" t="str">
        <f>'ATT H-2A'!C111</f>
        <v>Outstanding Network Credits</v>
      </c>
      <c r="D94" s="221"/>
      <c r="E94" s="271" t="str">
        <f>'ATT H-2A'!E111</f>
        <v>(Note N)</v>
      </c>
      <c r="F94" s="242" t="str">
        <f>'ATT H-2A'!F111</f>
        <v>From PJM</v>
      </c>
      <c r="G94" s="146"/>
      <c r="H94" s="146"/>
      <c r="I94" s="146"/>
      <c r="J94" s="146"/>
      <c r="K94" s="146"/>
      <c r="L94" s="146"/>
      <c r="M94" s="146"/>
      <c r="N94" s="146"/>
      <c r="O94" s="146"/>
      <c r="P94" s="146"/>
      <c r="Q94" s="329"/>
    </row>
    <row r="95" spans="1:17" ht="15.5" hidden="1">
      <c r="A95" s="241">
        <f>'ATT H-2A'!A112</f>
        <v>56</v>
      </c>
      <c r="B95" s="221"/>
      <c r="C95" s="221" t="str">
        <f>'ATT H-2A'!C112</f>
        <v xml:space="preserve">    Less Accumulated Depreciation Associated with Facilities with Outstanding Network Credits</v>
      </c>
      <c r="D95" s="221"/>
      <c r="E95" s="186"/>
      <c r="F95" s="242" t="str">
        <f>'ATT H-2A'!F112</f>
        <v>From PJM</v>
      </c>
      <c r="G95" s="146"/>
      <c r="H95" s="146"/>
      <c r="I95" s="146"/>
      <c r="J95" s="146"/>
      <c r="K95" s="146"/>
      <c r="L95" s="146"/>
      <c r="M95" s="146"/>
      <c r="N95" s="146"/>
      <c r="O95" s="146"/>
      <c r="P95" s="146"/>
      <c r="Q95" s="329"/>
    </row>
    <row r="96" spans="1:17" ht="15.5" hidden="1">
      <c r="A96" s="241">
        <f>'ATT H-2A'!A113</f>
        <v>57</v>
      </c>
      <c r="B96" s="221"/>
      <c r="C96" s="221" t="str">
        <f>'ATT H-2A'!C113</f>
        <v>Net Outstanding Credits</v>
      </c>
      <c r="D96" s="221"/>
      <c r="E96" s="186"/>
      <c r="F96" s="238" t="str">
        <f>'ATT H-2A'!F113</f>
        <v>(Line 55 - 56)</v>
      </c>
      <c r="G96" s="146"/>
      <c r="H96" s="146"/>
      <c r="I96" s="146"/>
      <c r="J96" s="146"/>
      <c r="K96" s="146"/>
      <c r="L96" s="146"/>
      <c r="M96" s="146"/>
      <c r="N96" s="146"/>
      <c r="O96" s="146"/>
      <c r="P96" s="146"/>
      <c r="Q96" s="329"/>
    </row>
    <row r="97" spans="1:17" ht="15.5" hidden="1">
      <c r="A97" s="239"/>
      <c r="B97" s="210"/>
      <c r="C97" s="231"/>
      <c r="D97" s="195"/>
      <c r="E97" s="247"/>
      <c r="F97" s="245"/>
      <c r="G97" s="146"/>
      <c r="H97" s="146"/>
      <c r="I97" s="146"/>
      <c r="J97" s="146"/>
      <c r="K97" s="146"/>
      <c r="L97" s="146"/>
      <c r="M97" s="146"/>
      <c r="N97" s="146"/>
      <c r="O97" s="146"/>
      <c r="P97" s="146"/>
      <c r="Q97" s="329"/>
    </row>
    <row r="98" spans="1:17" ht="15.5" hidden="1">
      <c r="A98" s="241">
        <f>'ATT H-2A'!A115</f>
        <v>58</v>
      </c>
      <c r="B98" s="270" t="str">
        <f>'ATT H-2A'!B115</f>
        <v>TOTAL Adjustment to Rate Base</v>
      </c>
      <c r="C98" s="270"/>
      <c r="D98" s="270"/>
      <c r="E98" s="219"/>
      <c r="F98" s="238" t="str">
        <f>'ATT H-2A'!F115</f>
        <v>(Line 43 + 44 + 44a + 46 + 51 + 54 - 57)</v>
      </c>
      <c r="G98" s="146"/>
      <c r="H98" s="146"/>
      <c r="I98" s="146"/>
      <c r="J98" s="146"/>
      <c r="K98" s="146"/>
      <c r="L98" s="146"/>
      <c r="M98" s="146"/>
      <c r="N98" s="146"/>
      <c r="O98" s="146"/>
      <c r="P98" s="146"/>
      <c r="Q98" s="329"/>
    </row>
    <row r="99" spans="1:17" ht="15.5" hidden="1">
      <c r="A99" s="239"/>
      <c r="B99" s="210"/>
      <c r="C99" s="231"/>
      <c r="D99" s="195"/>
      <c r="E99" s="247"/>
      <c r="F99" s="245"/>
      <c r="G99" s="146"/>
      <c r="H99" s="146"/>
      <c r="I99" s="146"/>
      <c r="J99" s="146"/>
      <c r="K99" s="146"/>
      <c r="L99" s="146"/>
      <c r="M99" s="146"/>
      <c r="N99" s="146"/>
      <c r="O99" s="146"/>
      <c r="P99" s="146"/>
      <c r="Q99" s="329"/>
    </row>
    <row r="100" spans="1:17" ht="15.5" hidden="1">
      <c r="A100" s="239">
        <f>'ATT H-2A'!A117</f>
        <v>59</v>
      </c>
      <c r="B100" s="270" t="str">
        <f>'ATT H-2A'!B117</f>
        <v>Rate Base</v>
      </c>
      <c r="C100" s="270"/>
      <c r="D100" s="270"/>
      <c r="E100" s="219"/>
      <c r="F100" s="238" t="str">
        <f>'ATT H-2A'!F117</f>
        <v>(Line 39 + 58)</v>
      </c>
      <c r="G100" s="146"/>
      <c r="H100" s="146"/>
      <c r="I100" s="146"/>
      <c r="J100" s="146"/>
      <c r="K100" s="146"/>
      <c r="L100" s="146"/>
      <c r="M100" s="146"/>
      <c r="N100" s="146"/>
      <c r="O100" s="146"/>
      <c r="P100" s="146"/>
      <c r="Q100" s="329"/>
    </row>
    <row r="101" spans="1:17" ht="15.5" hidden="1">
      <c r="A101" s="239"/>
      <c r="B101" s="210"/>
      <c r="C101" s="231"/>
      <c r="D101" s="195"/>
      <c r="E101" s="247"/>
      <c r="F101" s="245"/>
      <c r="G101" s="146"/>
      <c r="H101" s="146"/>
      <c r="I101" s="146"/>
      <c r="J101" s="146"/>
      <c r="K101" s="146"/>
      <c r="L101" s="146"/>
      <c r="M101" s="146"/>
      <c r="N101" s="146"/>
      <c r="O101" s="146"/>
      <c r="P101" s="146"/>
      <c r="Q101" s="329"/>
    </row>
    <row r="102" spans="1:17" ht="15.5" hidden="1">
      <c r="A102" s="251" t="str">
        <f>'ATT H-2A'!A119</f>
        <v>O&amp;M</v>
      </c>
      <c r="B102" s="196"/>
      <c r="C102" s="272"/>
      <c r="D102" s="197"/>
      <c r="E102" s="198"/>
      <c r="F102" s="252"/>
      <c r="G102" s="146"/>
      <c r="H102" s="146"/>
      <c r="I102" s="146"/>
      <c r="J102" s="146"/>
      <c r="K102" s="146"/>
      <c r="L102" s="146"/>
      <c r="M102" s="146"/>
      <c r="N102" s="146"/>
      <c r="O102" s="146"/>
      <c r="P102" s="146"/>
      <c r="Q102" s="329"/>
    </row>
    <row r="103" spans="1:17" ht="15.5" hidden="1">
      <c r="A103" s="239"/>
      <c r="B103" s="210"/>
      <c r="C103" s="231"/>
      <c r="D103" s="195"/>
      <c r="E103" s="247"/>
      <c r="F103" s="245"/>
      <c r="G103" s="146"/>
      <c r="H103" s="146"/>
      <c r="I103" s="146"/>
      <c r="J103" s="146"/>
      <c r="K103" s="146"/>
      <c r="L103" s="146"/>
      <c r="M103" s="146"/>
      <c r="N103" s="146"/>
      <c r="O103" s="146"/>
      <c r="P103" s="146"/>
      <c r="Q103" s="329"/>
    </row>
    <row r="104" spans="1:17" ht="15.5" hidden="1">
      <c r="A104" s="239">
        <f>'ATT H-2A'!A121</f>
        <v>0</v>
      </c>
      <c r="B104" s="231" t="str">
        <f>'ATT H-2A'!B121</f>
        <v>Transmission O&amp;M</v>
      </c>
      <c r="C104" s="124"/>
      <c r="D104" s="201"/>
      <c r="E104" s="203"/>
      <c r="F104" s="242"/>
      <c r="G104" s="146"/>
      <c r="H104" s="146"/>
      <c r="I104" s="146"/>
      <c r="J104" s="146"/>
      <c r="K104" s="146"/>
      <c r="L104" s="146"/>
      <c r="M104" s="146"/>
      <c r="N104" s="146"/>
      <c r="O104" s="146"/>
      <c r="P104" s="146"/>
      <c r="Q104" s="329"/>
    </row>
    <row r="105" spans="1:17" ht="15.5" hidden="1">
      <c r="A105" s="239">
        <f>'ATT H-2A'!A122</f>
        <v>60</v>
      </c>
      <c r="B105" s="210"/>
      <c r="C105" s="206" t="str">
        <f>'ATT H-2A'!C122</f>
        <v>Transmission O&amp;M</v>
      </c>
      <c r="D105" s="195"/>
      <c r="E105" s="216"/>
      <c r="F105" s="249" t="str">
        <f>'ATT H-2A'!F122</f>
        <v>Attachment 5</v>
      </c>
      <c r="G105" s="146"/>
      <c r="H105" s="146"/>
      <c r="I105" s="146"/>
      <c r="J105" s="146"/>
      <c r="K105" s="146"/>
      <c r="L105" s="146"/>
      <c r="M105" s="146"/>
      <c r="N105" s="146"/>
      <c r="O105" s="146"/>
      <c r="P105" s="146"/>
      <c r="Q105" s="329"/>
    </row>
    <row r="106" spans="1:17" ht="15.5" hidden="1">
      <c r="A106" s="239">
        <f>'ATT H-2A'!A125</f>
        <v>63</v>
      </c>
      <c r="B106" s="210"/>
      <c r="C106" s="206" t="str">
        <f>'ATT H-2A'!C125</f>
        <v xml:space="preserve">     Less Account 565</v>
      </c>
      <c r="D106" s="195"/>
      <c r="E106" s="216"/>
      <c r="F106" s="249" t="str">
        <f>'ATT H-2A'!F125</f>
        <v>p321.96.b</v>
      </c>
      <c r="G106" s="146"/>
      <c r="H106" s="146"/>
      <c r="I106" s="146"/>
      <c r="J106" s="146"/>
      <c r="K106" s="146"/>
      <c r="L106" s="146"/>
      <c r="M106" s="146"/>
      <c r="N106" s="146"/>
      <c r="O106" s="146"/>
      <c r="P106" s="146"/>
      <c r="Q106" s="329"/>
    </row>
    <row r="107" spans="1:17" ht="15.5" hidden="1">
      <c r="A107" s="239">
        <f>'ATT H-2A'!A127</f>
        <v>65</v>
      </c>
      <c r="B107" s="210"/>
      <c r="C107" s="206" t="str">
        <f>'ATT H-2A'!C127</f>
        <v xml:space="preserve">     Plus Transmission Lease Payments</v>
      </c>
      <c r="D107" s="205"/>
      <c r="E107" s="180"/>
      <c r="F107" s="249" t="str">
        <f>'ATT H-2A'!F127</f>
        <v>Attachment 5</v>
      </c>
      <c r="G107" s="146"/>
      <c r="H107" s="146"/>
      <c r="I107" s="146"/>
      <c r="J107" s="146"/>
      <c r="K107" s="146"/>
      <c r="L107" s="146"/>
      <c r="M107" s="146"/>
      <c r="N107" s="146"/>
      <c r="O107" s="146"/>
      <c r="P107" s="146"/>
      <c r="Q107" s="329"/>
    </row>
    <row r="108" spans="1:17" ht="15.5" hidden="1">
      <c r="A108" s="248">
        <f>'ATT H-2A'!A128</f>
        <v>66</v>
      </c>
      <c r="B108" s="195"/>
      <c r="C108" s="231" t="str">
        <f>'ATT H-2A'!C128</f>
        <v>Transmission O&amp;M</v>
      </c>
      <c r="D108" s="195"/>
      <c r="E108" s="216"/>
      <c r="F108" s="249" t="str">
        <f>'ATT H-2A'!F128</f>
        <v>(Lines 60 - 61 + 62 - 63 + 64 + 65)</v>
      </c>
      <c r="G108" s="146"/>
      <c r="H108" s="146"/>
      <c r="I108" s="146"/>
      <c r="J108" s="146"/>
      <c r="K108" s="146"/>
      <c r="L108" s="146"/>
      <c r="M108" s="146"/>
      <c r="N108" s="146"/>
      <c r="O108" s="146"/>
      <c r="P108" s="146"/>
      <c r="Q108" s="329"/>
    </row>
    <row r="109" spans="1:17" ht="15.5" hidden="1">
      <c r="A109" s="239"/>
      <c r="B109" s="210"/>
      <c r="C109" s="231"/>
      <c r="D109" s="195"/>
      <c r="E109" s="247"/>
      <c r="F109" s="245"/>
      <c r="G109" s="146"/>
      <c r="H109" s="146"/>
      <c r="I109" s="146"/>
      <c r="J109" s="146"/>
      <c r="K109" s="146"/>
      <c r="L109" s="146"/>
      <c r="M109" s="146"/>
      <c r="N109" s="146"/>
      <c r="O109" s="146"/>
      <c r="P109" s="146"/>
      <c r="Q109" s="329"/>
    </row>
    <row r="110" spans="1:17" ht="15.5">
      <c r="A110" s="248"/>
      <c r="B110" s="231" t="str">
        <f>'ATT H-2A'!B130</f>
        <v>Allocated General &amp; Common Expenses</v>
      </c>
      <c r="C110" s="195"/>
      <c r="D110" s="195"/>
      <c r="E110" s="247"/>
      <c r="F110" s="273"/>
      <c r="G110" s="146"/>
      <c r="H110" s="146"/>
      <c r="I110" s="146"/>
      <c r="J110" s="146"/>
      <c r="K110" s="146"/>
      <c r="L110" s="146"/>
      <c r="M110" s="146"/>
      <c r="N110" s="146"/>
      <c r="O110" s="146"/>
      <c r="P110" s="146"/>
      <c r="Q110" s="329"/>
    </row>
    <row r="111" spans="1:17" ht="15.5">
      <c r="A111" s="248">
        <f>'ATT H-2A'!A131</f>
        <v>67</v>
      </c>
      <c r="B111" s="229"/>
      <c r="C111" s="206" t="str">
        <f>'ATT H-2A'!C131</f>
        <v>Common Plant O&amp;M</v>
      </c>
      <c r="D111" s="195"/>
      <c r="E111" s="271" t="str">
        <f>'ATT H-2A'!E131</f>
        <v>(Note A)</v>
      </c>
      <c r="F111" s="238" t="str">
        <f>'ATT H-2A'!F131</f>
        <v>p356</v>
      </c>
      <c r="G111" s="181" t="s">
        <v>492</v>
      </c>
      <c r="H111" s="181"/>
      <c r="I111" s="146"/>
      <c r="J111" s="146"/>
      <c r="K111" s="146"/>
      <c r="L111" s="146"/>
      <c r="M111" s="146"/>
      <c r="N111" s="146"/>
      <c r="O111" s="146"/>
      <c r="P111" s="146"/>
      <c r="Q111" s="329"/>
    </row>
    <row r="112" spans="1:17" ht="15.5" hidden="1">
      <c r="A112" s="248">
        <f>'ATT H-2A'!A132</f>
        <v>68</v>
      </c>
      <c r="B112" s="229"/>
      <c r="C112" s="206" t="str">
        <f>'ATT H-2A'!C132</f>
        <v>Total A&amp;G</v>
      </c>
      <c r="D112" s="195"/>
      <c r="E112" s="216"/>
      <c r="F112" s="249" t="str">
        <f>'ATT H-2A'!F132</f>
        <v>Attachment 5</v>
      </c>
      <c r="G112" s="146"/>
      <c r="H112" s="146"/>
      <c r="I112" s="146"/>
      <c r="J112" s="146"/>
      <c r="K112" s="146"/>
      <c r="L112" s="146"/>
      <c r="M112" s="146"/>
      <c r="N112" s="146"/>
      <c r="O112" s="146"/>
      <c r="P112" s="146"/>
      <c r="Q112" s="329"/>
    </row>
    <row r="113" spans="1:17" ht="15.5" hidden="1">
      <c r="A113" s="248">
        <f>'ATT H-2A'!A134</f>
        <v>69</v>
      </c>
      <c r="B113" s="229"/>
      <c r="C113" s="206" t="str">
        <f>'ATT H-2A'!C134</f>
        <v xml:space="preserve">    Less Property Insurance Account 924</v>
      </c>
      <c r="D113" s="205"/>
      <c r="E113" s="216"/>
      <c r="F113" s="274" t="str">
        <f>'ATT H-2A'!F134</f>
        <v>p323.185.b</v>
      </c>
      <c r="G113" s="146"/>
      <c r="H113" s="146"/>
      <c r="I113" s="146"/>
      <c r="J113" s="146"/>
      <c r="K113" s="146"/>
      <c r="L113" s="146"/>
      <c r="M113" s="146"/>
      <c r="N113" s="146"/>
      <c r="O113" s="146"/>
      <c r="P113" s="146"/>
      <c r="Q113" s="329"/>
    </row>
    <row r="114" spans="1:17" ht="15.5">
      <c r="A114" s="248">
        <f>'ATT H-2A'!A135</f>
        <v>70</v>
      </c>
      <c r="B114" s="229"/>
      <c r="C114" s="206" t="str">
        <f>'ATT H-2A'!C135</f>
        <v xml:space="preserve">    Less Regulatory Commission Exp Account 928</v>
      </c>
      <c r="D114" s="205"/>
      <c r="E114" s="271" t="str">
        <f>'ATT H-2A'!E135</f>
        <v>(Note E)</v>
      </c>
      <c r="F114" s="274" t="str">
        <f>'ATT H-2A'!F135</f>
        <v>p323.189.b</v>
      </c>
      <c r="G114" s="146"/>
      <c r="H114" s="146"/>
      <c r="I114" s="146"/>
      <c r="J114" s="146"/>
      <c r="K114" s="181" t="s">
        <v>492</v>
      </c>
      <c r="L114" s="146"/>
      <c r="M114" s="146"/>
      <c r="N114" s="146"/>
      <c r="O114" s="146"/>
      <c r="P114" s="146"/>
      <c r="Q114" s="329"/>
    </row>
    <row r="115" spans="1:17" ht="15.5" hidden="1">
      <c r="A115" s="248">
        <f>'ATT H-2A'!A136</f>
        <v>71</v>
      </c>
      <c r="B115" s="229"/>
      <c r="C115" s="206" t="str">
        <f>'ATT H-2A'!C136</f>
        <v xml:space="preserve">    Less General Advertising Exp Account 930.1</v>
      </c>
      <c r="D115" s="205"/>
      <c r="E115" s="216"/>
      <c r="F115" s="274" t="str">
        <f>'ATT H-2A'!F136</f>
        <v>p323.191.b</v>
      </c>
      <c r="G115" s="146"/>
      <c r="H115" s="146"/>
      <c r="I115" s="146"/>
      <c r="J115" s="146"/>
      <c r="K115" s="146"/>
      <c r="L115" s="146"/>
      <c r="M115" s="146"/>
      <c r="N115" s="146"/>
      <c r="O115" s="146"/>
      <c r="P115" s="146"/>
      <c r="Q115" s="329"/>
    </row>
    <row r="116" spans="1:17" ht="15.5">
      <c r="A116" s="248">
        <f>'ATT H-2A'!A137</f>
        <v>72</v>
      </c>
      <c r="B116" s="229"/>
      <c r="C116" s="206" t="str">
        <f>'ATT H-2A'!C137</f>
        <v xml:space="preserve">    Less EPRI Dues</v>
      </c>
      <c r="D116" s="221"/>
      <c r="E116" s="271" t="str">
        <f>'ATT H-2A'!E137</f>
        <v>(Note D)</v>
      </c>
      <c r="F116" s="249" t="str">
        <f>'ATT H-2A'!F137</f>
        <v>p352-353</v>
      </c>
      <c r="G116" s="146"/>
      <c r="H116" s="146"/>
      <c r="I116" s="146"/>
      <c r="J116" s="181" t="s">
        <v>492</v>
      </c>
      <c r="K116" s="146"/>
      <c r="L116" s="146"/>
      <c r="M116" s="146"/>
      <c r="N116" s="146"/>
      <c r="O116" s="146"/>
      <c r="P116" s="146"/>
      <c r="Q116" s="329"/>
    </row>
    <row r="117" spans="1:17" ht="15.5" hidden="1">
      <c r="A117" s="248">
        <f>'ATT H-2A'!A138</f>
        <v>73</v>
      </c>
      <c r="B117" s="229"/>
      <c r="C117" s="231" t="str">
        <f>'ATT H-2A'!C138</f>
        <v>General &amp; Common Expenses</v>
      </c>
      <c r="D117" s="195"/>
      <c r="E117" s="247"/>
      <c r="F117" s="238" t="str">
        <f>'ATT H-2A'!F138</f>
        <v>(Lines 67 + 68) -  Sum (69 to 72)</v>
      </c>
      <c r="G117" s="146"/>
      <c r="H117" s="146"/>
      <c r="I117" s="146"/>
      <c r="J117" s="146"/>
      <c r="K117" s="146"/>
      <c r="L117" s="146"/>
      <c r="M117" s="146"/>
      <c r="N117" s="146"/>
      <c r="O117" s="146"/>
      <c r="P117" s="146"/>
      <c r="Q117" s="329"/>
    </row>
    <row r="118" spans="1:17" ht="15.5" hidden="1">
      <c r="A118" s="248">
        <f>'ATT H-2A'!A139</f>
        <v>74</v>
      </c>
      <c r="B118" s="229"/>
      <c r="C118" s="212" t="str">
        <f>'ATT H-2A'!C139</f>
        <v>Wage &amp; Salary Allocation Factor</v>
      </c>
      <c r="D118" s="209"/>
      <c r="E118" s="186"/>
      <c r="F118" s="273" t="str">
        <f>'ATT H-2A'!F139</f>
        <v>(Line 5)</v>
      </c>
      <c r="G118" s="146"/>
      <c r="H118" s="146"/>
      <c r="I118" s="146"/>
      <c r="J118" s="146"/>
      <c r="K118" s="146"/>
      <c r="L118" s="146"/>
      <c r="M118" s="146"/>
      <c r="N118" s="146"/>
      <c r="O118" s="146"/>
      <c r="P118" s="146"/>
      <c r="Q118" s="329"/>
    </row>
    <row r="119" spans="1:17" ht="15.5" hidden="1">
      <c r="A119" s="248">
        <f>'ATT H-2A'!A140</f>
        <v>75</v>
      </c>
      <c r="B119" s="229"/>
      <c r="C119" s="231" t="str">
        <f>'ATT H-2A'!C140</f>
        <v>General &amp; Common Expenses Allocated to Transmission</v>
      </c>
      <c r="D119" s="195"/>
      <c r="E119" s="203"/>
      <c r="F119" s="238" t="str">
        <f>'ATT H-2A'!F140</f>
        <v>(Line 73 * 74)</v>
      </c>
      <c r="G119" s="146"/>
      <c r="H119" s="146"/>
      <c r="I119" s="146"/>
      <c r="J119" s="146"/>
      <c r="K119" s="146"/>
      <c r="L119" s="146"/>
      <c r="M119" s="146"/>
      <c r="N119" s="146"/>
      <c r="O119" s="146"/>
      <c r="P119" s="146"/>
      <c r="Q119" s="329"/>
    </row>
    <row r="120" spans="1:17" ht="15.5" hidden="1">
      <c r="A120" s="239"/>
      <c r="B120" s="210"/>
      <c r="C120" s="231"/>
      <c r="D120" s="195"/>
      <c r="E120" s="247"/>
      <c r="F120" s="245"/>
      <c r="G120" s="146"/>
      <c r="H120" s="146"/>
      <c r="I120" s="146"/>
      <c r="J120" s="146"/>
      <c r="K120" s="146"/>
      <c r="L120" s="146"/>
      <c r="M120" s="146"/>
      <c r="N120" s="146"/>
      <c r="O120" s="146"/>
      <c r="P120" s="146"/>
      <c r="Q120" s="329"/>
    </row>
    <row r="121" spans="1:17" ht="15.5">
      <c r="A121" s="248"/>
      <c r="B121" s="231" t="str">
        <f>'ATT H-2A'!B142</f>
        <v>Directly Assigned A&amp;G</v>
      </c>
      <c r="C121" s="185"/>
      <c r="D121" s="195"/>
      <c r="E121" s="203"/>
      <c r="F121" s="245"/>
      <c r="G121" s="146"/>
      <c r="H121" s="146"/>
      <c r="I121" s="146"/>
      <c r="J121" s="146"/>
      <c r="K121" s="146"/>
      <c r="L121" s="146"/>
      <c r="M121" s="146"/>
      <c r="N121" s="146"/>
      <c r="O121" s="146"/>
      <c r="P121" s="146"/>
      <c r="Q121" s="329"/>
    </row>
    <row r="122" spans="1:17" ht="15.5">
      <c r="A122" s="248">
        <f>'ATT H-2A'!A143</f>
        <v>76</v>
      </c>
      <c r="B122" s="263"/>
      <c r="C122" s="212" t="str">
        <f>'ATT H-2A'!C143</f>
        <v>Regulatory Commission Exp Account 928</v>
      </c>
      <c r="D122" s="194"/>
      <c r="E122" s="271" t="str">
        <f>'ATT H-2A'!E143</f>
        <v>(Note G)</v>
      </c>
      <c r="F122" s="266" t="str">
        <f>'ATT H-2A'!F143</f>
        <v>p323.189b</v>
      </c>
      <c r="G122" s="146"/>
      <c r="H122" s="146"/>
      <c r="I122" s="181"/>
      <c r="J122" s="146"/>
      <c r="K122" s="181" t="s">
        <v>492</v>
      </c>
      <c r="L122" s="146"/>
      <c r="M122" s="146"/>
      <c r="N122" s="146"/>
      <c r="O122" s="146"/>
      <c r="P122" s="146"/>
      <c r="Q122" s="329"/>
    </row>
    <row r="123" spans="1:17" ht="15.5">
      <c r="A123" s="239">
        <f>'ATT H-2A'!A144</f>
        <v>77</v>
      </c>
      <c r="B123" s="263"/>
      <c r="C123" s="212" t="str">
        <f>'ATT H-2A'!C144</f>
        <v>General Advertising Exp Account 930.1</v>
      </c>
      <c r="D123" s="288"/>
      <c r="E123" s="194" t="str">
        <f>'ATT H-2A'!E144</f>
        <v>(Note K)</v>
      </c>
      <c r="F123" s="266" t="str">
        <f>'ATT H-2A'!F144</f>
        <v>p323.191.b</v>
      </c>
      <c r="G123" s="146"/>
      <c r="H123" s="146"/>
      <c r="I123" s="146"/>
      <c r="J123" s="146"/>
      <c r="K123" s="146"/>
      <c r="L123" s="146"/>
      <c r="M123" s="146"/>
      <c r="N123" s="181" t="s">
        <v>492</v>
      </c>
      <c r="O123" s="181"/>
      <c r="P123" s="146"/>
      <c r="Q123" s="329"/>
    </row>
    <row r="124" spans="1:17" ht="15.5" hidden="1">
      <c r="A124" s="239">
        <f>'ATT H-2A'!A145</f>
        <v>78</v>
      </c>
      <c r="B124" s="263"/>
      <c r="C124" s="212" t="str">
        <f>'ATT H-2A'!C145</f>
        <v>Subtotal - Transmission Related</v>
      </c>
      <c r="D124" s="195"/>
      <c r="E124" s="264"/>
      <c r="F124" s="238" t="str">
        <f>'ATT H-2A'!F145</f>
        <v>(Line 76 + 77)</v>
      </c>
      <c r="G124" s="146"/>
      <c r="H124" s="146"/>
      <c r="I124" s="146"/>
      <c r="J124" s="146"/>
      <c r="K124" s="146"/>
      <c r="L124" s="146"/>
      <c r="M124" s="146"/>
      <c r="N124" s="146"/>
      <c r="O124" s="146"/>
      <c r="P124" s="146"/>
      <c r="Q124" s="329"/>
    </row>
    <row r="125" spans="1:17" ht="15.5" hidden="1">
      <c r="A125" s="239"/>
      <c r="B125" s="210"/>
      <c r="C125" s="231"/>
      <c r="D125" s="195"/>
      <c r="E125" s="247"/>
      <c r="F125" s="245"/>
      <c r="G125" s="146"/>
      <c r="H125" s="146"/>
      <c r="I125" s="146"/>
      <c r="J125" s="146"/>
      <c r="K125" s="146"/>
      <c r="L125" s="146"/>
      <c r="M125" s="146"/>
      <c r="N125" s="146"/>
      <c r="O125" s="146"/>
      <c r="P125" s="146"/>
      <c r="Q125" s="329"/>
    </row>
    <row r="126" spans="1:17" ht="15.5" hidden="1">
      <c r="A126" s="239">
        <f>'ATT H-2A'!A147</f>
        <v>79</v>
      </c>
      <c r="B126" s="263"/>
      <c r="C126" s="212" t="str">
        <f>'ATT H-2A'!C147</f>
        <v>Property Insurance Account 924</v>
      </c>
      <c r="D126" s="195"/>
      <c r="E126" s="186"/>
      <c r="F126" s="266" t="str">
        <f>'ATT H-2A'!F147</f>
        <v>p323.156b</v>
      </c>
      <c r="G126" s="146"/>
      <c r="H126" s="146"/>
      <c r="I126" s="146"/>
      <c r="J126" s="146"/>
      <c r="K126" s="146"/>
      <c r="L126" s="146"/>
      <c r="M126" s="146"/>
      <c r="N126" s="146"/>
      <c r="O126" s="146"/>
      <c r="P126" s="146"/>
      <c r="Q126" s="329"/>
    </row>
    <row r="127" spans="1:17" ht="15.5">
      <c r="A127" s="239">
        <f>'ATT H-2A'!A148</f>
        <v>80</v>
      </c>
      <c r="B127" s="263"/>
      <c r="C127" s="212" t="str">
        <f>'ATT H-2A'!C148</f>
        <v>General Advertising Exp Account 930.1</v>
      </c>
      <c r="D127" s="195"/>
      <c r="E127" s="194" t="str">
        <f>'ATT H-2A'!E148</f>
        <v>(Note F)</v>
      </c>
      <c r="F127" s="266" t="str">
        <f>'ATT H-2A'!F148</f>
        <v>p323.191.b</v>
      </c>
      <c r="G127" s="146"/>
      <c r="H127" s="146"/>
      <c r="I127" s="146"/>
      <c r="J127" s="146"/>
      <c r="K127" s="146"/>
      <c r="L127" s="181" t="s">
        <v>492</v>
      </c>
      <c r="M127" s="146"/>
      <c r="N127" s="146"/>
      <c r="O127" s="146"/>
      <c r="P127" s="146"/>
      <c r="Q127" s="329"/>
    </row>
    <row r="128" spans="1:17" ht="15.5" hidden="1">
      <c r="A128" s="248">
        <f>'ATT H-2A'!A149</f>
        <v>81</v>
      </c>
      <c r="B128" s="263"/>
      <c r="C128" s="212" t="str">
        <f>'ATT H-2A'!C149</f>
        <v>Total</v>
      </c>
      <c r="D128" s="195"/>
      <c r="E128" s="186"/>
      <c r="F128" s="238" t="str">
        <f>'ATT H-2A'!F149</f>
        <v>(Line 79 + 80)</v>
      </c>
      <c r="G128" s="146"/>
      <c r="H128" s="146"/>
      <c r="I128" s="146"/>
      <c r="J128" s="146"/>
      <c r="K128" s="146"/>
      <c r="L128" s="146"/>
      <c r="M128" s="146"/>
      <c r="N128" s="146"/>
      <c r="O128" s="146"/>
      <c r="P128" s="146"/>
      <c r="Q128" s="329"/>
    </row>
    <row r="129" spans="1:17" ht="15.5" hidden="1">
      <c r="A129" s="239">
        <f>'ATT H-2A'!A150</f>
        <v>82</v>
      </c>
      <c r="B129" s="229"/>
      <c r="C129" s="212" t="str">
        <f>'ATT H-2A'!C150</f>
        <v>Net Plant Allocation Factor</v>
      </c>
      <c r="D129" s="209"/>
      <c r="E129" s="210"/>
      <c r="F129" s="238" t="str">
        <f>'ATT H-2A'!F150</f>
        <v>(Line 18)</v>
      </c>
      <c r="G129" s="146"/>
      <c r="H129" s="146"/>
      <c r="I129" s="146"/>
      <c r="J129" s="146"/>
      <c r="K129" s="146"/>
      <c r="L129" s="146"/>
      <c r="M129" s="146"/>
      <c r="N129" s="146"/>
      <c r="O129" s="146"/>
      <c r="P129" s="146"/>
      <c r="Q129" s="329"/>
    </row>
    <row r="130" spans="1:17" ht="15.5" hidden="1">
      <c r="A130" s="248">
        <f>'ATT H-2A'!A151</f>
        <v>83</v>
      </c>
      <c r="B130" s="229"/>
      <c r="C130" s="231" t="str">
        <f>'ATT H-2A'!C151</f>
        <v>A&amp;G Directly Assigned to Transmission</v>
      </c>
      <c r="D130" s="195"/>
      <c r="E130" s="203"/>
      <c r="F130" s="238" t="str">
        <f>'ATT H-2A'!F151</f>
        <v>(Line 81 * 82)</v>
      </c>
      <c r="G130" s="146"/>
      <c r="H130" s="146"/>
      <c r="I130" s="146"/>
      <c r="J130" s="146"/>
      <c r="K130" s="146"/>
      <c r="L130" s="146"/>
      <c r="M130" s="146"/>
      <c r="N130" s="146"/>
      <c r="O130" s="146"/>
      <c r="P130" s="146"/>
      <c r="Q130" s="329"/>
    </row>
    <row r="131" spans="1:17" ht="15.5" hidden="1">
      <c r="A131" s="239"/>
      <c r="B131" s="210"/>
      <c r="C131" s="231"/>
      <c r="D131" s="195"/>
      <c r="E131" s="247"/>
      <c r="F131" s="245"/>
      <c r="G131" s="146"/>
      <c r="H131" s="146"/>
      <c r="I131" s="146"/>
      <c r="J131" s="146"/>
      <c r="K131" s="146"/>
      <c r="L131" s="146"/>
      <c r="M131" s="146"/>
      <c r="N131" s="146"/>
      <c r="O131" s="146"/>
      <c r="P131" s="146"/>
      <c r="Q131" s="329"/>
    </row>
    <row r="132" spans="1:17" ht="15.5" hidden="1">
      <c r="A132" s="239">
        <f>'ATT H-2A'!A153</f>
        <v>84</v>
      </c>
      <c r="B132" s="210"/>
      <c r="C132" s="231" t="str">
        <f>'ATT H-2A'!C153</f>
        <v>Total Transmission O&amp;M</v>
      </c>
      <c r="D132" s="195"/>
      <c r="E132" s="203"/>
      <c r="F132" s="283" t="str">
        <f>'ATT H-2A'!F153</f>
        <v>(Line 66 + 75 + 78 + 83)</v>
      </c>
      <c r="G132" s="146"/>
      <c r="H132" s="146"/>
      <c r="I132" s="146"/>
      <c r="J132" s="146"/>
      <c r="K132" s="146"/>
      <c r="L132" s="146"/>
      <c r="M132" s="146"/>
      <c r="N132" s="146"/>
      <c r="O132" s="146"/>
      <c r="P132" s="146"/>
      <c r="Q132" s="329"/>
    </row>
    <row r="133" spans="1:17" ht="15.5" hidden="1">
      <c r="A133" s="239"/>
      <c r="B133" s="210"/>
      <c r="C133" s="231"/>
      <c r="D133" s="195"/>
      <c r="E133" s="247"/>
      <c r="F133" s="245"/>
      <c r="G133" s="146"/>
      <c r="H133" s="146"/>
      <c r="I133" s="146"/>
      <c r="J133" s="146"/>
      <c r="K133" s="146"/>
      <c r="L133" s="146"/>
      <c r="M133" s="146"/>
      <c r="N133" s="146"/>
      <c r="O133" s="146"/>
      <c r="P133" s="146"/>
      <c r="Q133" s="329"/>
    </row>
    <row r="134" spans="1:17" ht="15.5" hidden="1">
      <c r="A134" s="251" t="str">
        <f>'ATT H-2A'!A155</f>
        <v>Depreciation &amp; Amortization Expense</v>
      </c>
      <c r="B134" s="196"/>
      <c r="C134" s="272"/>
      <c r="D134" s="197"/>
      <c r="E134" s="198"/>
      <c r="F134" s="252"/>
      <c r="G134" s="146"/>
      <c r="H134" s="146"/>
      <c r="I134" s="146"/>
      <c r="J134" s="146"/>
      <c r="K134" s="146"/>
      <c r="L134" s="146"/>
      <c r="M134" s="146"/>
      <c r="N134" s="146"/>
      <c r="O134" s="146"/>
      <c r="P134" s="146"/>
      <c r="Q134" s="329"/>
    </row>
    <row r="135" spans="1:17" ht="15.5" hidden="1">
      <c r="A135" s="239"/>
      <c r="B135" s="210"/>
      <c r="C135" s="231"/>
      <c r="D135" s="195"/>
      <c r="E135" s="247"/>
      <c r="F135" s="245"/>
      <c r="G135" s="146"/>
      <c r="H135" s="146"/>
      <c r="I135" s="146"/>
      <c r="J135" s="146"/>
      <c r="K135" s="146"/>
      <c r="L135" s="146"/>
      <c r="M135" s="146"/>
      <c r="N135" s="146"/>
      <c r="O135" s="146"/>
      <c r="P135" s="146"/>
      <c r="Q135" s="329"/>
    </row>
    <row r="136" spans="1:17" ht="15.5">
      <c r="A136" s="241"/>
      <c r="B136" s="225" t="str">
        <f>'ATT H-2A'!B157</f>
        <v>Depreciation Expense</v>
      </c>
      <c r="C136" s="221"/>
      <c r="D136" s="124"/>
      <c r="E136" s="186"/>
      <c r="F136" s="275"/>
      <c r="G136" s="146"/>
      <c r="H136" s="146"/>
      <c r="I136" s="146"/>
      <c r="J136" s="146"/>
      <c r="K136" s="146"/>
      <c r="L136" s="146"/>
      <c r="M136" s="146"/>
      <c r="N136" s="146"/>
      <c r="O136" s="146"/>
      <c r="P136" s="146"/>
      <c r="Q136" s="329"/>
    </row>
    <row r="137" spans="1:17" ht="15.5" hidden="1">
      <c r="A137" s="239">
        <f>'ATT H-2A'!A158</f>
        <v>85</v>
      </c>
      <c r="B137" s="276"/>
      <c r="C137" s="213" t="str">
        <f>'ATT H-2A'!C158</f>
        <v>Transmission Depreciation Expense</v>
      </c>
      <c r="D137" s="124"/>
      <c r="E137" s="210"/>
      <c r="F137" s="262" t="str">
        <f>'ATT H-2A'!F158</f>
        <v>Attachment 5</v>
      </c>
      <c r="G137" s="146"/>
      <c r="H137" s="146"/>
      <c r="I137" s="146"/>
      <c r="J137" s="146"/>
      <c r="K137" s="146"/>
      <c r="L137" s="146"/>
      <c r="M137" s="146"/>
      <c r="N137" s="146"/>
      <c r="O137" s="146"/>
      <c r="P137" s="146"/>
      <c r="Q137" s="329"/>
    </row>
    <row r="138" spans="1:17" ht="15.5" hidden="1">
      <c r="A138" s="239"/>
      <c r="B138" s="210"/>
      <c r="C138" s="231"/>
      <c r="D138" s="195"/>
      <c r="E138" s="247"/>
      <c r="F138" s="245"/>
      <c r="G138" s="146"/>
      <c r="H138" s="146"/>
      <c r="I138" s="146"/>
      <c r="J138" s="146"/>
      <c r="K138" s="146"/>
      <c r="L138" s="146"/>
      <c r="M138" s="146"/>
      <c r="N138" s="146"/>
      <c r="O138" s="146"/>
      <c r="P138" s="146"/>
      <c r="Q138" s="329"/>
    </row>
    <row r="139" spans="1:17" ht="15.5" hidden="1">
      <c r="A139" s="239">
        <f>'ATT H-2A'!A161</f>
        <v>86</v>
      </c>
      <c r="B139" s="276"/>
      <c r="C139" s="213" t="str">
        <f>'ATT H-2A'!C161</f>
        <v>General Depreciation</v>
      </c>
      <c r="D139" s="124"/>
      <c r="E139" s="210"/>
      <c r="F139" s="262" t="str">
        <f>'ATT H-2A'!F161</f>
        <v>Attachment 5</v>
      </c>
      <c r="G139" s="146"/>
      <c r="H139" s="146"/>
      <c r="I139" s="146"/>
      <c r="J139" s="146"/>
      <c r="K139" s="146"/>
      <c r="L139" s="146"/>
      <c r="M139" s="146"/>
      <c r="N139" s="146"/>
      <c r="O139" s="146"/>
      <c r="P139" s="146"/>
      <c r="Q139" s="329"/>
    </row>
    <row r="140" spans="1:17" ht="15.5">
      <c r="A140" s="239">
        <f>'ATT H-2A'!A162</f>
        <v>87</v>
      </c>
      <c r="B140" s="276"/>
      <c r="C140" s="213" t="str">
        <f>'ATT H-2A'!C162</f>
        <v>Intangible Amortization</v>
      </c>
      <c r="D140" s="124"/>
      <c r="E140" s="292" t="str">
        <f>'ATT H-2A'!E162</f>
        <v>(Note A)</v>
      </c>
      <c r="F140" s="266" t="str">
        <f>'ATT H-2A'!F162</f>
        <v>Attachment 5</v>
      </c>
      <c r="G140" s="181" t="s">
        <v>492</v>
      </c>
      <c r="H140" s="146"/>
      <c r="J140" s="146"/>
      <c r="K140" s="146"/>
      <c r="L140" s="146"/>
      <c r="M140" s="146"/>
      <c r="N140" s="146"/>
      <c r="O140" s="146"/>
      <c r="P140" s="146"/>
      <c r="Q140" s="329"/>
    </row>
    <row r="141" spans="1:17" ht="15.5" hidden="1">
      <c r="A141" s="239">
        <f>'ATT H-2A'!A163</f>
        <v>88</v>
      </c>
      <c r="B141" s="276"/>
      <c r="C141" s="213" t="str">
        <f>'ATT H-2A'!C163</f>
        <v>Total</v>
      </c>
      <c r="D141" s="124"/>
      <c r="E141" s="210"/>
      <c r="F141" s="238" t="str">
        <f>'ATT H-2A'!F163</f>
        <v>(Line 86 + 87)</v>
      </c>
      <c r="G141" s="146"/>
      <c r="H141" s="146"/>
      <c r="J141" s="146"/>
      <c r="K141" s="146"/>
      <c r="L141" s="146"/>
      <c r="M141" s="146"/>
      <c r="N141" s="146"/>
      <c r="O141" s="146"/>
      <c r="P141" s="146"/>
      <c r="Q141" s="329"/>
    </row>
    <row r="142" spans="1:17" ht="15.5" hidden="1">
      <c r="A142" s="239">
        <f>'ATT H-2A'!A164</f>
        <v>89</v>
      </c>
      <c r="B142" s="276"/>
      <c r="C142" s="212" t="str">
        <f>'ATT H-2A'!C164</f>
        <v>Wage &amp; Salary Allocation Factor</v>
      </c>
      <c r="D142" s="209"/>
      <c r="E142" s="186"/>
      <c r="F142" s="273" t="str">
        <f>'ATT H-2A'!F164</f>
        <v>Line 5</v>
      </c>
      <c r="G142" s="146"/>
      <c r="H142" s="146"/>
      <c r="J142" s="146"/>
      <c r="K142" s="146"/>
      <c r="L142" s="146"/>
      <c r="M142" s="146"/>
      <c r="N142" s="146"/>
      <c r="O142" s="146"/>
      <c r="P142" s="146"/>
      <c r="Q142" s="329"/>
    </row>
    <row r="143" spans="1:17" ht="15.5" hidden="1">
      <c r="A143" s="239">
        <f>'ATT H-2A'!A165</f>
        <v>90</v>
      </c>
      <c r="B143" s="276"/>
      <c r="C143" s="225" t="str">
        <f>'ATT H-2A'!C165</f>
        <v>General Depreciation Allocated to Transmission</v>
      </c>
      <c r="D143" s="124"/>
      <c r="E143" s="210"/>
      <c r="F143" s="238" t="str">
        <f>'ATT H-2A'!F165</f>
        <v>(Line 88 * 89)</v>
      </c>
      <c r="G143" s="146"/>
      <c r="H143" s="146"/>
      <c r="J143" s="146"/>
      <c r="K143" s="146"/>
      <c r="L143" s="146"/>
      <c r="M143" s="146"/>
      <c r="N143" s="146"/>
      <c r="O143" s="146"/>
      <c r="P143" s="146"/>
      <c r="Q143" s="329"/>
    </row>
    <row r="144" spans="1:17" ht="15.5" hidden="1">
      <c r="A144" s="239"/>
      <c r="B144" s="210"/>
      <c r="C144" s="231"/>
      <c r="D144" s="195"/>
      <c r="E144" s="247"/>
      <c r="F144" s="245"/>
      <c r="G144" s="146"/>
      <c r="H144" s="146"/>
      <c r="J144" s="146"/>
      <c r="K144" s="146"/>
      <c r="L144" s="146"/>
      <c r="M144" s="146"/>
      <c r="N144" s="146"/>
      <c r="O144" s="146"/>
      <c r="P144" s="146"/>
      <c r="Q144" s="329"/>
    </row>
    <row r="145" spans="1:17" ht="15.5">
      <c r="A145" s="239">
        <f>'ATT H-2A'!A167</f>
        <v>91</v>
      </c>
      <c r="B145" s="263"/>
      <c r="C145" s="212" t="str">
        <f>'ATT H-2A'!C167</f>
        <v>Common Depreciation - Electric Only</v>
      </c>
      <c r="D145" s="195"/>
      <c r="E145" s="277" t="str">
        <f>'ATT H-2A'!E167</f>
        <v>(Note A)</v>
      </c>
      <c r="F145" s="266" t="str">
        <f>'ATT H-2A'!F167</f>
        <v>Attachment 5</v>
      </c>
      <c r="G145" s="181" t="s">
        <v>492</v>
      </c>
      <c r="H145" s="146"/>
      <c r="J145" s="146"/>
      <c r="K145" s="146"/>
      <c r="L145" s="146"/>
      <c r="M145" s="146"/>
      <c r="N145" s="146"/>
      <c r="O145" s="146"/>
      <c r="P145" s="146"/>
      <c r="Q145" s="329"/>
    </row>
    <row r="146" spans="1:17" ht="15.5">
      <c r="A146" s="248">
        <f>'ATT H-2A'!A168</f>
        <v>92</v>
      </c>
      <c r="B146" s="263"/>
      <c r="C146" s="212" t="str">
        <f>'ATT H-2A'!C168</f>
        <v>Common Amortization - Electric Only</v>
      </c>
      <c r="D146" s="195"/>
      <c r="E146" s="277" t="str">
        <f>'ATT H-2A'!E168</f>
        <v>(Note A)</v>
      </c>
      <c r="F146" s="266" t="str">
        <f>'ATT H-2A'!F168</f>
        <v>Attachment 5</v>
      </c>
      <c r="G146" s="181" t="s">
        <v>492</v>
      </c>
      <c r="H146" s="146"/>
      <c r="J146" s="146"/>
      <c r="K146" s="146"/>
      <c r="L146" s="146"/>
      <c r="M146" s="146"/>
      <c r="N146" s="146"/>
      <c r="O146" s="146"/>
      <c r="P146" s="146"/>
      <c r="Q146" s="329"/>
    </row>
    <row r="147" spans="1:17" ht="15.5" hidden="1">
      <c r="A147" s="248">
        <f>'ATT H-2A'!A169</f>
        <v>93</v>
      </c>
      <c r="B147" s="263"/>
      <c r="C147" s="212" t="str">
        <f>'ATT H-2A'!C169</f>
        <v>Total</v>
      </c>
      <c r="D147" s="195"/>
      <c r="E147" s="229"/>
      <c r="F147" s="238" t="str">
        <f>'ATT H-2A'!F169</f>
        <v>(Line 91 + 92)</v>
      </c>
      <c r="G147" s="146"/>
      <c r="H147" s="146"/>
      <c r="I147" s="146"/>
      <c r="J147" s="146"/>
      <c r="K147" s="146"/>
      <c r="L147" s="146"/>
      <c r="M147" s="146"/>
      <c r="N147" s="146"/>
      <c r="O147" s="146"/>
      <c r="P147" s="146"/>
      <c r="Q147" s="329"/>
    </row>
    <row r="148" spans="1:17" ht="15.5" hidden="1">
      <c r="A148" s="239">
        <f>'ATT H-2A'!A170</f>
        <v>94</v>
      </c>
      <c r="B148" s="263"/>
      <c r="C148" s="212" t="str">
        <f>'ATT H-2A'!C170</f>
        <v>Wage &amp; Salary Allocation Factor</v>
      </c>
      <c r="D148" s="209"/>
      <c r="E148" s="186"/>
      <c r="F148" s="273" t="str">
        <f>'ATT H-2A'!F170</f>
        <v>(Line 5)</v>
      </c>
      <c r="G148" s="146"/>
      <c r="H148" s="146"/>
      <c r="I148" s="146"/>
      <c r="J148" s="146"/>
      <c r="K148" s="146"/>
      <c r="L148" s="146"/>
      <c r="M148" s="146"/>
      <c r="N148" s="146"/>
      <c r="O148" s="146"/>
      <c r="P148" s="146"/>
      <c r="Q148" s="329"/>
    </row>
    <row r="149" spans="1:17" ht="15.5" hidden="1">
      <c r="A149" s="239">
        <f>'ATT H-2A'!A171</f>
        <v>95</v>
      </c>
      <c r="B149" s="263"/>
      <c r="C149" s="225" t="str">
        <f>'ATT H-2A'!C171</f>
        <v>Common Depreciation - Electric Only Allocated to Transmission</v>
      </c>
      <c r="D149" s="195"/>
      <c r="E149" s="229"/>
      <c r="F149" s="238" t="str">
        <f>'ATT H-2A'!F171</f>
        <v>(Line 93 * 94)</v>
      </c>
      <c r="G149" s="146"/>
      <c r="H149" s="146"/>
      <c r="I149" s="146"/>
      <c r="J149" s="146"/>
      <c r="K149" s="146"/>
      <c r="L149" s="146"/>
      <c r="M149" s="146"/>
      <c r="N149" s="146"/>
      <c r="O149" s="146"/>
      <c r="P149" s="146"/>
      <c r="Q149" s="329"/>
    </row>
    <row r="150" spans="1:17" ht="15.5" hidden="1">
      <c r="A150" s="239"/>
      <c r="B150" s="210"/>
      <c r="C150" s="231"/>
      <c r="D150" s="195"/>
      <c r="E150" s="247"/>
      <c r="F150" s="245"/>
      <c r="G150" s="146"/>
      <c r="H150" s="146"/>
      <c r="I150" s="146"/>
      <c r="J150" s="146"/>
      <c r="K150" s="146"/>
      <c r="L150" s="146"/>
      <c r="M150" s="146"/>
      <c r="N150" s="146"/>
      <c r="O150" s="146"/>
      <c r="P150" s="146"/>
      <c r="Q150" s="329"/>
    </row>
    <row r="151" spans="1:17" ht="15.5" hidden="1">
      <c r="A151" s="239"/>
      <c r="B151" s="210"/>
      <c r="C151" s="231"/>
      <c r="D151" s="195"/>
      <c r="E151" s="247"/>
      <c r="F151" s="245"/>
      <c r="G151" s="146"/>
      <c r="H151" s="146"/>
      <c r="I151" s="146"/>
      <c r="J151" s="146"/>
      <c r="K151" s="146"/>
      <c r="L151" s="146"/>
      <c r="M151" s="146"/>
      <c r="N151" s="146"/>
      <c r="O151" s="146"/>
      <c r="P151" s="146"/>
      <c r="Q151" s="329"/>
    </row>
    <row r="152" spans="1:17" ht="15.5" hidden="1">
      <c r="A152" s="239">
        <f>'ATT H-2A'!A174</f>
        <v>96</v>
      </c>
      <c r="B152" s="225" t="str">
        <f>'ATT H-2A'!B174</f>
        <v>Total Transmission Depreciation &amp; Amortization</v>
      </c>
      <c r="C152" s="225"/>
      <c r="D152" s="218"/>
      <c r="E152" s="291"/>
      <c r="F152" s="283" t="str">
        <f>'ATT H-2A'!F174</f>
        <v>(Line 85 + 85a + 90 + 95)</v>
      </c>
      <c r="G152" s="146"/>
      <c r="H152" s="146"/>
      <c r="I152" s="146"/>
      <c r="J152" s="146"/>
      <c r="K152" s="146"/>
      <c r="L152" s="146"/>
      <c r="M152" s="146"/>
      <c r="N152" s="146"/>
      <c r="O152" s="146"/>
      <c r="P152" s="146"/>
      <c r="Q152" s="329"/>
    </row>
    <row r="153" spans="1:17" ht="15.5" hidden="1">
      <c r="A153" s="239"/>
      <c r="B153" s="210"/>
      <c r="C153" s="231"/>
      <c r="D153" s="195"/>
      <c r="E153" s="247"/>
      <c r="F153" s="245"/>
      <c r="G153" s="146"/>
      <c r="H153" s="146"/>
      <c r="I153" s="146"/>
      <c r="J153" s="146"/>
      <c r="K153" s="146"/>
      <c r="L153" s="146"/>
      <c r="M153" s="146"/>
      <c r="N153" s="146"/>
      <c r="O153" s="146"/>
      <c r="P153" s="146"/>
      <c r="Q153" s="329"/>
    </row>
    <row r="154" spans="1:17" ht="15.5" hidden="1">
      <c r="A154" s="251" t="str">
        <f>'ATT H-2A'!A176</f>
        <v xml:space="preserve">Taxes Other than Income                                                    </v>
      </c>
      <c r="B154" s="196"/>
      <c r="C154" s="272"/>
      <c r="D154" s="197"/>
      <c r="E154" s="198"/>
      <c r="F154" s="252"/>
      <c r="G154" s="146"/>
      <c r="H154" s="146"/>
      <c r="I154" s="146"/>
      <c r="J154" s="146"/>
      <c r="K154" s="146"/>
      <c r="L154" s="146"/>
      <c r="M154" s="146"/>
      <c r="N154" s="146"/>
      <c r="O154" s="146"/>
      <c r="P154" s="146"/>
      <c r="Q154" s="329"/>
    </row>
    <row r="155" spans="1:17" ht="15.5" hidden="1">
      <c r="A155" s="239"/>
      <c r="B155" s="210"/>
      <c r="C155" s="231"/>
      <c r="D155" s="195"/>
      <c r="E155" s="247"/>
      <c r="F155" s="245"/>
      <c r="G155" s="146"/>
      <c r="H155" s="146"/>
      <c r="I155" s="146"/>
      <c r="J155" s="146"/>
      <c r="K155" s="146"/>
      <c r="L155" s="146"/>
      <c r="M155" s="146"/>
      <c r="N155" s="146"/>
      <c r="O155" s="146"/>
      <c r="P155" s="146"/>
      <c r="Q155" s="329"/>
    </row>
    <row r="156" spans="1:17" ht="15.5" hidden="1">
      <c r="A156" s="248">
        <f>'ATT H-2A'!A178</f>
        <v>97</v>
      </c>
      <c r="B156" s="204" t="str">
        <f>'ATT H-2A'!B178</f>
        <v>Taxes Other than Income</v>
      </c>
      <c r="C156" s="261"/>
      <c r="D156" s="124"/>
      <c r="E156" s="186"/>
      <c r="F156" s="243" t="str">
        <f>'ATT H-2A'!F178</f>
        <v>Exhibit B</v>
      </c>
      <c r="G156" s="146"/>
      <c r="H156" s="146"/>
      <c r="I156" s="146"/>
      <c r="J156" s="146"/>
      <c r="K156" s="146"/>
      <c r="L156" s="146"/>
      <c r="M156" s="146"/>
      <c r="N156" s="146"/>
      <c r="O156" s="146"/>
      <c r="P156" s="146"/>
      <c r="Q156" s="329"/>
    </row>
    <row r="157" spans="1:17" ht="15.5" hidden="1">
      <c r="A157" s="239"/>
      <c r="B157" s="210"/>
      <c r="C157" s="231"/>
      <c r="D157" s="195"/>
      <c r="E157" s="247"/>
      <c r="F157" s="245"/>
      <c r="G157" s="146"/>
      <c r="H157" s="146"/>
      <c r="I157" s="146"/>
      <c r="J157" s="146"/>
      <c r="K157" s="146"/>
      <c r="L157" s="146"/>
      <c r="M157" s="146"/>
      <c r="N157" s="146"/>
      <c r="O157" s="146"/>
      <c r="P157" s="146"/>
      <c r="Q157" s="329"/>
    </row>
    <row r="158" spans="1:17" ht="15.5" hidden="1">
      <c r="A158" s="248">
        <f>'ATT H-2A'!A180</f>
        <v>98</v>
      </c>
      <c r="B158" s="231" t="str">
        <f>'ATT H-2A'!B180</f>
        <v>Total Taxes Other than Income</v>
      </c>
      <c r="C158" s="231"/>
      <c r="D158" s="218"/>
      <c r="E158" s="219"/>
      <c r="F158" s="283" t="str">
        <f>'ATT H-2A'!F180</f>
        <v>(Line 97)</v>
      </c>
      <c r="G158" s="146"/>
      <c r="H158" s="146"/>
      <c r="I158" s="146"/>
      <c r="J158" s="146"/>
      <c r="K158" s="146"/>
      <c r="L158" s="146"/>
      <c r="M158" s="146"/>
      <c r="N158" s="146"/>
      <c r="O158" s="146"/>
      <c r="P158" s="146"/>
      <c r="Q158" s="329"/>
    </row>
    <row r="159" spans="1:17" ht="15.5" hidden="1">
      <c r="A159" s="239"/>
      <c r="B159" s="210"/>
      <c r="C159" s="231"/>
      <c r="D159" s="195"/>
      <c r="E159" s="247"/>
      <c r="F159" s="245"/>
      <c r="G159" s="146"/>
      <c r="H159" s="146"/>
      <c r="I159" s="146"/>
      <c r="J159" s="146"/>
      <c r="K159" s="146"/>
      <c r="L159" s="146"/>
      <c r="M159" s="146"/>
      <c r="N159" s="146"/>
      <c r="O159" s="146"/>
      <c r="P159" s="146"/>
      <c r="Q159" s="329"/>
    </row>
    <row r="160" spans="1:17" ht="15.5" hidden="1">
      <c r="A160" s="251" t="str">
        <f>'ATT H-2A'!A182</f>
        <v>Return / Capitalization Calculations</v>
      </c>
      <c r="B160" s="196"/>
      <c r="C160" s="272"/>
      <c r="D160" s="197"/>
      <c r="E160" s="198"/>
      <c r="F160" s="252"/>
      <c r="G160" s="146"/>
      <c r="H160" s="146"/>
      <c r="I160" s="146"/>
      <c r="J160" s="146"/>
      <c r="K160" s="146"/>
      <c r="L160" s="146"/>
      <c r="M160" s="146"/>
      <c r="N160" s="146"/>
      <c r="O160" s="146"/>
      <c r="P160" s="146"/>
      <c r="Q160" s="329"/>
    </row>
    <row r="161" spans="1:17" ht="15.5" hidden="1">
      <c r="A161" s="239"/>
      <c r="B161" s="210"/>
      <c r="C161" s="231"/>
      <c r="D161" s="195"/>
      <c r="E161" s="247"/>
      <c r="F161" s="245"/>
      <c r="G161" s="146"/>
      <c r="H161" s="146"/>
      <c r="I161" s="146"/>
      <c r="J161" s="146"/>
      <c r="K161" s="146"/>
      <c r="L161" s="146"/>
      <c r="M161" s="146"/>
      <c r="N161" s="146"/>
      <c r="O161" s="146"/>
      <c r="P161" s="146"/>
      <c r="Q161" s="329"/>
    </row>
    <row r="162" spans="1:17" ht="15.5" hidden="1">
      <c r="A162" s="248"/>
      <c r="B162" s="214" t="str">
        <f>'ATT H-2A'!B184</f>
        <v>Long Term Interest</v>
      </c>
      <c r="C162" s="124"/>
      <c r="D162" s="124"/>
      <c r="E162" s="203"/>
      <c r="F162" s="242"/>
      <c r="G162" s="146"/>
      <c r="H162" s="146"/>
      <c r="I162" s="146"/>
      <c r="J162" s="146"/>
      <c r="K162" s="146"/>
      <c r="L162" s="146"/>
      <c r="M162" s="146"/>
      <c r="N162" s="146"/>
      <c r="O162" s="146"/>
      <c r="P162" s="146"/>
      <c r="Q162" s="329"/>
    </row>
    <row r="163" spans="1:17" ht="15.5" hidden="1">
      <c r="A163" s="248">
        <f>'ATT H-2A'!A185</f>
        <v>99</v>
      </c>
      <c r="B163" s="214"/>
      <c r="C163" s="124" t="str">
        <f>'ATT H-2A'!C185</f>
        <v>Long Term Interest</v>
      </c>
      <c r="D163" s="124"/>
      <c r="E163" s="203"/>
      <c r="F163" s="238" t="str">
        <f>'ATT H-2A'!F185</f>
        <v>p117.62c through 67c</v>
      </c>
      <c r="G163" s="146"/>
      <c r="H163" s="146"/>
      <c r="I163" s="146"/>
      <c r="J163" s="146"/>
      <c r="K163" s="146"/>
      <c r="L163" s="146"/>
      <c r="M163" s="146"/>
      <c r="N163" s="146"/>
      <c r="O163" s="146"/>
      <c r="P163" s="146"/>
      <c r="Q163" s="329"/>
    </row>
    <row r="164" spans="1:17" ht="15.5" hidden="1">
      <c r="A164" s="239">
        <f>'ATT H-2A'!A186</f>
        <v>100</v>
      </c>
      <c r="B164" s="210"/>
      <c r="C164" s="293" t="str">
        <f>'ATT H-2A'!C186</f>
        <v xml:space="preserve">    Less LTD Interest on Securitization Bonds</v>
      </c>
      <c r="D164" s="124"/>
      <c r="E164" s="203"/>
      <c r="F164" s="249" t="str">
        <f>'ATT H-2A'!F186</f>
        <v>Attachment 8</v>
      </c>
      <c r="G164" s="146"/>
      <c r="H164" s="146"/>
      <c r="I164" s="146"/>
      <c r="J164" s="146"/>
      <c r="K164" s="146"/>
      <c r="L164" s="146"/>
      <c r="M164" s="146"/>
      <c r="N164" s="146"/>
      <c r="O164" s="146"/>
      <c r="P164" s="146"/>
      <c r="Q164" s="329"/>
    </row>
    <row r="165" spans="1:17" ht="15.5" hidden="1">
      <c r="A165" s="239">
        <f>'ATT H-2A'!A187</f>
        <v>101</v>
      </c>
      <c r="B165" s="210"/>
      <c r="C165" s="214" t="str">
        <f>'ATT H-2A'!C187</f>
        <v>Long Term Interest</v>
      </c>
      <c r="D165" s="124"/>
      <c r="E165" s="186"/>
      <c r="F165" s="238" t="str">
        <f>'ATT H-2A'!F187</f>
        <v>(Line 99 - 100)</v>
      </c>
      <c r="G165" s="146"/>
      <c r="H165" s="146"/>
      <c r="I165" s="146"/>
      <c r="J165" s="146"/>
      <c r="K165" s="146"/>
      <c r="L165" s="146"/>
      <c r="M165" s="146"/>
      <c r="N165" s="146"/>
      <c r="O165" s="146"/>
      <c r="P165" s="146"/>
      <c r="Q165" s="329"/>
    </row>
    <row r="166" spans="1:17" ht="15.5" hidden="1">
      <c r="A166" s="239"/>
      <c r="B166" s="210"/>
      <c r="C166" s="231"/>
      <c r="D166" s="195"/>
      <c r="E166" s="247"/>
      <c r="F166" s="245"/>
      <c r="G166" s="146"/>
      <c r="H166" s="146"/>
      <c r="I166" s="146"/>
      <c r="J166" s="146"/>
      <c r="K166" s="146"/>
      <c r="L166" s="146"/>
      <c r="M166" s="146"/>
      <c r="N166" s="146"/>
      <c r="O166" s="146"/>
      <c r="P166" s="146"/>
      <c r="Q166" s="329"/>
    </row>
    <row r="167" spans="1:17" ht="15.5" hidden="1">
      <c r="A167" s="239">
        <f>'ATT H-2A'!A189</f>
        <v>102</v>
      </c>
      <c r="B167" s="214" t="str">
        <f>'ATT H-2A'!B189</f>
        <v>Preferred Dividends</v>
      </c>
      <c r="C167" s="124"/>
      <c r="D167" s="124"/>
      <c r="E167" s="203" t="str">
        <f>'ATT H-2A'!E189</f>
        <v xml:space="preserve"> enter positive</v>
      </c>
      <c r="F167" s="238" t="str">
        <f>'ATT H-2A'!F189</f>
        <v>p118.29c</v>
      </c>
      <c r="G167" s="146"/>
      <c r="H167" s="146"/>
      <c r="I167" s="146"/>
      <c r="J167" s="146"/>
      <c r="K167" s="146"/>
      <c r="L167" s="146"/>
      <c r="M167" s="146"/>
      <c r="N167" s="146"/>
      <c r="O167" s="146"/>
      <c r="P167" s="146"/>
      <c r="Q167" s="329"/>
    </row>
    <row r="168" spans="1:17" ht="15.5" hidden="1">
      <c r="A168" s="239"/>
      <c r="B168" s="210"/>
      <c r="C168" s="231"/>
      <c r="D168" s="195"/>
      <c r="E168" s="247"/>
      <c r="F168" s="245"/>
      <c r="G168" s="146"/>
      <c r="H168" s="146"/>
      <c r="I168" s="146"/>
      <c r="J168" s="146"/>
      <c r="K168" s="146"/>
      <c r="L168" s="146"/>
      <c r="M168" s="146"/>
      <c r="N168" s="146"/>
      <c r="O168" s="146"/>
      <c r="P168" s="146"/>
      <c r="Q168" s="329"/>
    </row>
    <row r="169" spans="1:17" ht="15.5" hidden="1">
      <c r="A169" s="239"/>
      <c r="B169" s="217" t="str">
        <f>'ATT H-2A'!B191</f>
        <v>Common Stock</v>
      </c>
      <c r="C169" s="124"/>
      <c r="D169" s="124"/>
      <c r="E169" s="203"/>
      <c r="F169" s="238"/>
      <c r="G169" s="146"/>
      <c r="H169" s="146"/>
      <c r="I169" s="146"/>
      <c r="J169" s="146"/>
      <c r="K169" s="146"/>
      <c r="L169" s="146"/>
      <c r="M169" s="146"/>
      <c r="N169" s="146"/>
      <c r="O169" s="146"/>
      <c r="P169" s="146"/>
      <c r="Q169" s="329"/>
    </row>
    <row r="170" spans="1:17" ht="15.5" hidden="1">
      <c r="A170" s="239">
        <f>'ATT H-2A'!A192</f>
        <v>103</v>
      </c>
      <c r="B170" s="210"/>
      <c r="C170" s="201" t="str">
        <f>'ATT H-2A'!C192</f>
        <v>Proprietary Capital</v>
      </c>
      <c r="D170" s="201"/>
      <c r="E170" s="203"/>
      <c r="F170" s="238" t="str">
        <f>'ATT H-2A'!F192</f>
        <v>p112.16c</v>
      </c>
      <c r="G170" s="146"/>
      <c r="H170" s="146"/>
      <c r="I170" s="146"/>
      <c r="J170" s="146"/>
      <c r="K170" s="146"/>
      <c r="L170" s="146"/>
      <c r="M170" s="146"/>
      <c r="N170" s="146"/>
      <c r="O170" s="146"/>
      <c r="P170" s="146"/>
      <c r="Q170" s="329"/>
    </row>
    <row r="171" spans="1:17" ht="15.5" hidden="1">
      <c r="A171" s="248">
        <f>'ATT H-2A'!A193</f>
        <v>104</v>
      </c>
      <c r="B171" s="229"/>
      <c r="C171" s="205" t="str">
        <f>'ATT H-2A'!C193</f>
        <v xml:space="preserve">    Less Preferred Stock</v>
      </c>
      <c r="D171" s="205"/>
      <c r="E171" s="247" t="str">
        <f>'ATT H-2A'!E193</f>
        <v>enter negative</v>
      </c>
      <c r="F171" s="245" t="str">
        <f>'ATT H-2A'!F193</f>
        <v>(Line 192)</v>
      </c>
      <c r="G171" s="146"/>
      <c r="H171" s="146"/>
      <c r="I171" s="146"/>
      <c r="J171" s="146"/>
      <c r="K171" s="146"/>
      <c r="L171" s="146"/>
      <c r="M171" s="146"/>
      <c r="N171" s="146"/>
      <c r="O171" s="146"/>
      <c r="P171" s="146"/>
      <c r="Q171" s="329"/>
    </row>
    <row r="172" spans="1:17" ht="15.5" hidden="1">
      <c r="A172" s="239">
        <f>'ATT H-2A'!A194</f>
        <v>105</v>
      </c>
      <c r="B172" s="229"/>
      <c r="C172" s="205" t="str">
        <f>'ATT H-2A'!C194</f>
        <v xml:space="preserve">    Plus Securitization Adjustment</v>
      </c>
      <c r="D172" s="247"/>
      <c r="E172" s="203"/>
      <c r="F172" s="249" t="str">
        <f>'ATT H-2A'!F194</f>
        <v>Attachment 8</v>
      </c>
      <c r="G172" s="146"/>
      <c r="H172" s="146"/>
      <c r="I172" s="146"/>
      <c r="J172" s="146"/>
      <c r="K172" s="146"/>
      <c r="L172" s="146"/>
      <c r="M172" s="146"/>
      <c r="N172" s="146"/>
      <c r="O172" s="146"/>
      <c r="P172" s="146"/>
      <c r="Q172" s="329"/>
    </row>
    <row r="173" spans="1:17" ht="15.5" hidden="1">
      <c r="A173" s="239">
        <f>'ATT H-2A'!A195</f>
        <v>105</v>
      </c>
      <c r="B173" s="229"/>
      <c r="C173" s="205" t="str">
        <f>'ATT H-2A'!C195</f>
        <v xml:space="preserve">    Less Account 216.1</v>
      </c>
      <c r="D173" s="205"/>
      <c r="E173" s="247" t="str">
        <f>'ATT H-2A'!E195</f>
        <v>enter negative</v>
      </c>
      <c r="F173" s="249" t="str">
        <f>'ATT H-2A'!F195</f>
        <v>p112.12c</v>
      </c>
      <c r="G173" s="146"/>
      <c r="H173" s="146"/>
      <c r="I173" s="146"/>
      <c r="J173" s="146"/>
      <c r="K173" s="146"/>
      <c r="L173" s="146"/>
      <c r="M173" s="146"/>
      <c r="N173" s="146"/>
      <c r="O173" s="146"/>
      <c r="P173" s="146"/>
      <c r="Q173" s="329"/>
    </row>
    <row r="174" spans="1:17" ht="15.5" hidden="1">
      <c r="A174" s="239">
        <f>'ATT H-2A'!A196</f>
        <v>106</v>
      </c>
      <c r="B174" s="229"/>
      <c r="C174" s="215" t="str">
        <f>'ATT H-2A'!C196</f>
        <v>Common Stock</v>
      </c>
      <c r="D174" s="205"/>
      <c r="E174" s="216"/>
      <c r="F174" s="238" t="str">
        <f>'ATT H-2A'!F196</f>
        <v>(Sum Lines 103 to 105)</v>
      </c>
      <c r="G174" s="146"/>
      <c r="H174" s="146"/>
      <c r="I174" s="146"/>
      <c r="J174" s="146"/>
      <c r="K174" s="146"/>
      <c r="L174" s="146"/>
      <c r="M174" s="146"/>
      <c r="N174" s="146"/>
      <c r="O174" s="146"/>
      <c r="P174" s="146"/>
      <c r="Q174" s="329"/>
    </row>
    <row r="175" spans="1:17" ht="15.5" hidden="1">
      <c r="A175" s="239"/>
      <c r="B175" s="210"/>
      <c r="C175" s="231"/>
      <c r="D175" s="195"/>
      <c r="E175" s="247"/>
      <c r="F175" s="245"/>
      <c r="G175" s="146"/>
      <c r="H175" s="146"/>
      <c r="I175" s="146"/>
      <c r="J175" s="146"/>
      <c r="K175" s="146"/>
      <c r="L175" s="146"/>
      <c r="M175" s="146"/>
      <c r="N175" s="146"/>
      <c r="O175" s="146"/>
      <c r="P175" s="146"/>
      <c r="Q175" s="329"/>
    </row>
    <row r="176" spans="1:17" ht="15.5" hidden="1">
      <c r="A176" s="239"/>
      <c r="B176" s="217" t="str">
        <f>'ATT H-2A'!B198</f>
        <v>Capitalization</v>
      </c>
      <c r="C176" s="124"/>
      <c r="D176" s="124"/>
      <c r="E176" s="203"/>
      <c r="F176" s="238"/>
      <c r="G176" s="146"/>
      <c r="H176" s="146"/>
      <c r="I176" s="146"/>
      <c r="J176" s="146"/>
      <c r="K176" s="146"/>
      <c r="L176" s="146"/>
      <c r="M176" s="146"/>
      <c r="N176" s="146"/>
      <c r="O176" s="146"/>
      <c r="P176" s="146"/>
      <c r="Q176" s="329"/>
    </row>
    <row r="177" spans="1:17" ht="15.5" hidden="1">
      <c r="A177" s="239">
        <f>'ATT H-2A'!A199</f>
        <v>107</v>
      </c>
      <c r="B177" s="210"/>
      <c r="C177" s="202" t="str">
        <f>'ATT H-2A'!C199</f>
        <v>Long Term Debt</v>
      </c>
      <c r="D177" s="124"/>
      <c r="E177" s="210"/>
      <c r="F177" s="278" t="str">
        <f>'ATT H-2A'!F199</f>
        <v>p112.18d through 21d</v>
      </c>
      <c r="G177" s="146"/>
      <c r="H177" s="146"/>
      <c r="I177" s="146"/>
      <c r="J177" s="146"/>
      <c r="K177" s="146"/>
      <c r="L177" s="146"/>
      <c r="M177" s="146"/>
      <c r="N177" s="146"/>
      <c r="O177" s="146"/>
      <c r="P177" s="146"/>
      <c r="Q177" s="329"/>
    </row>
    <row r="178" spans="1:17" ht="15.5" hidden="1">
      <c r="A178" s="248">
        <f>'ATT H-2A'!A200</f>
        <v>108</v>
      </c>
      <c r="B178" s="210"/>
      <c r="C178" s="202" t="str">
        <f>'ATT H-2A'!C200</f>
        <v xml:space="preserve">      Less Loss on Reacquired Debt </v>
      </c>
      <c r="D178" s="124"/>
      <c r="E178" s="203" t="str">
        <f>'ATT H-2A'!E200</f>
        <v>enter negative</v>
      </c>
      <c r="F178" s="274" t="str">
        <f>'ATT H-2A'!F200</f>
        <v>p111.81.c</v>
      </c>
      <c r="G178" s="146"/>
      <c r="H178" s="146"/>
      <c r="I178" s="146"/>
      <c r="J178" s="146"/>
      <c r="K178" s="146"/>
      <c r="L178" s="146"/>
      <c r="M178" s="146"/>
      <c r="N178" s="146"/>
      <c r="O178" s="146"/>
      <c r="P178" s="146"/>
      <c r="Q178" s="329"/>
    </row>
    <row r="179" spans="1:17" ht="15.5" hidden="1">
      <c r="A179" s="248">
        <f>'ATT H-2A'!A201</f>
        <v>109</v>
      </c>
      <c r="B179" s="210"/>
      <c r="C179" s="202" t="str">
        <f>'ATT H-2A'!C201</f>
        <v xml:space="preserve">      Plus Gain on Reacquired Debt</v>
      </c>
      <c r="D179" s="124"/>
      <c r="E179" s="210" t="str">
        <f>'ATT H-2A'!E201</f>
        <v>enter positive</v>
      </c>
      <c r="F179" s="274" t="str">
        <f>'ATT H-2A'!F201</f>
        <v>p113.61c</v>
      </c>
      <c r="G179" s="146"/>
      <c r="H179" s="146"/>
      <c r="I179" s="146"/>
      <c r="J179" s="146"/>
      <c r="K179" s="146"/>
      <c r="L179" s="146"/>
      <c r="M179" s="146"/>
      <c r="N179" s="146"/>
      <c r="O179" s="146"/>
      <c r="P179" s="146"/>
      <c r="Q179" s="329"/>
    </row>
    <row r="180" spans="1:17" ht="15.5" hidden="1">
      <c r="A180" s="239">
        <f>'ATT H-2A'!A203</f>
        <v>111</v>
      </c>
      <c r="B180" s="210"/>
      <c r="C180" s="221" t="str">
        <f>'ATT H-2A'!C203</f>
        <v xml:space="preserve">      Less LTD on Securitization Bonds</v>
      </c>
      <c r="D180" s="221"/>
      <c r="E180" s="203" t="str">
        <f>'ATT H-2A'!E203</f>
        <v>enter negative</v>
      </c>
      <c r="F180" s="249" t="str">
        <f>'ATT H-2A'!F203</f>
        <v>Attachment 8</v>
      </c>
      <c r="G180" s="146"/>
      <c r="H180" s="146"/>
      <c r="I180" s="146"/>
      <c r="J180" s="146"/>
      <c r="K180" s="146"/>
      <c r="L180" s="146"/>
      <c r="M180" s="146"/>
      <c r="N180" s="146"/>
      <c r="O180" s="146"/>
      <c r="P180" s="146"/>
      <c r="Q180" s="329"/>
    </row>
    <row r="181" spans="1:17" ht="15.5" hidden="1">
      <c r="A181" s="239">
        <f>'ATT H-2A'!A204</f>
        <v>112</v>
      </c>
      <c r="B181" s="229"/>
      <c r="C181" s="206" t="str">
        <f>'ATT H-2A'!C204</f>
        <v>Total Long Term Debt</v>
      </c>
      <c r="D181" s="124"/>
      <c r="E181" s="216"/>
      <c r="F181" s="238" t="str">
        <f>'ATT H-2A'!F204</f>
        <v>(Sum Lines 107 to 111)</v>
      </c>
      <c r="G181" s="146"/>
      <c r="H181" s="146"/>
      <c r="I181" s="146"/>
      <c r="J181" s="146"/>
      <c r="K181" s="146"/>
      <c r="L181" s="146"/>
      <c r="M181" s="146"/>
      <c r="N181" s="146"/>
      <c r="O181" s="146"/>
      <c r="P181" s="146"/>
      <c r="Q181" s="329"/>
    </row>
    <row r="182" spans="1:17" ht="15.5" hidden="1">
      <c r="A182" s="239">
        <f>'ATT H-2A'!A205</f>
        <v>113</v>
      </c>
      <c r="B182" s="210"/>
      <c r="C182" s="202" t="str">
        <f>'ATT H-2A'!C205</f>
        <v>Preferred Stock</v>
      </c>
      <c r="D182" s="124"/>
      <c r="E182" s="210"/>
      <c r="F182" s="278" t="str">
        <f>'ATT H-2A'!F205</f>
        <v>p112.3c</v>
      </c>
      <c r="G182" s="146"/>
      <c r="H182" s="146"/>
      <c r="I182" s="146"/>
      <c r="J182" s="146"/>
      <c r="K182" s="146"/>
      <c r="L182" s="146"/>
      <c r="M182" s="146"/>
      <c r="N182" s="146"/>
      <c r="O182" s="146"/>
      <c r="P182" s="146"/>
      <c r="Q182" s="329"/>
    </row>
    <row r="183" spans="1:17" ht="15.5" hidden="1">
      <c r="A183" s="239">
        <f>'ATT H-2A'!A206</f>
        <v>114</v>
      </c>
      <c r="B183" s="210"/>
      <c r="C183" s="202" t="str">
        <f>'ATT H-2A'!C206</f>
        <v>Common Stock</v>
      </c>
      <c r="D183" s="124"/>
      <c r="E183" s="186"/>
      <c r="F183" s="238" t="str">
        <f>'ATT H-2A'!F206</f>
        <v>(Line 106)</v>
      </c>
      <c r="G183" s="146"/>
      <c r="H183" s="146"/>
      <c r="I183" s="146"/>
      <c r="J183" s="146"/>
      <c r="K183" s="146"/>
      <c r="L183" s="146"/>
      <c r="M183" s="146"/>
      <c r="N183" s="146"/>
      <c r="O183" s="146"/>
      <c r="P183" s="146"/>
      <c r="Q183" s="329"/>
    </row>
    <row r="184" spans="1:17" ht="15.5" hidden="1">
      <c r="A184" s="239">
        <f>'ATT H-2A'!A207</f>
        <v>115</v>
      </c>
      <c r="B184" s="210"/>
      <c r="C184" s="217" t="str">
        <f>'ATT H-2A'!C207</f>
        <v>Total  Capitalization</v>
      </c>
      <c r="D184" s="124"/>
      <c r="E184" s="186"/>
      <c r="F184" s="238" t="str">
        <f>'ATT H-2A'!F207</f>
        <v>(Sum Lines 112 to 114)</v>
      </c>
      <c r="G184" s="146"/>
      <c r="H184" s="146"/>
      <c r="I184" s="146"/>
      <c r="J184" s="146"/>
      <c r="K184" s="146"/>
      <c r="L184" s="146"/>
      <c r="M184" s="146"/>
      <c r="N184" s="146"/>
      <c r="O184" s="146"/>
      <c r="P184" s="146"/>
      <c r="Q184" s="329"/>
    </row>
    <row r="185" spans="1:17" ht="15.5" hidden="1">
      <c r="A185" s="239"/>
      <c r="B185" s="210"/>
      <c r="C185" s="231"/>
      <c r="D185" s="195"/>
      <c r="E185" s="247"/>
      <c r="F185" s="245"/>
      <c r="G185" s="146"/>
      <c r="H185" s="146"/>
      <c r="I185" s="146"/>
      <c r="J185" s="146"/>
      <c r="K185" s="146"/>
      <c r="L185" s="146"/>
      <c r="M185" s="146"/>
      <c r="N185" s="146"/>
      <c r="O185" s="146"/>
      <c r="P185" s="146"/>
      <c r="Q185" s="329"/>
    </row>
    <row r="186" spans="1:17" ht="15.5" hidden="1">
      <c r="A186" s="248">
        <f>'ATT H-2A'!A209</f>
        <v>116</v>
      </c>
      <c r="B186" s="210"/>
      <c r="C186" s="213" t="str">
        <f>'ATT H-2A'!C209</f>
        <v>Debt %</v>
      </c>
      <c r="D186" s="206" t="str">
        <f>'ATT H-2A'!D209</f>
        <v>Total Long Term Debt</v>
      </c>
      <c r="E186" s="186"/>
      <c r="F186" s="238" t="str">
        <f>'ATT H-2A'!F209</f>
        <v>(Line 112 / 115)</v>
      </c>
      <c r="G186" s="146"/>
      <c r="H186" s="146"/>
      <c r="I186" s="146"/>
      <c r="J186" s="146"/>
      <c r="K186" s="146"/>
      <c r="L186" s="146"/>
      <c r="M186" s="146"/>
      <c r="N186" s="146"/>
      <c r="O186" s="146"/>
      <c r="P186" s="146"/>
      <c r="Q186" s="329"/>
    </row>
    <row r="187" spans="1:17" ht="15.5" hidden="1">
      <c r="A187" s="248">
        <f>'ATT H-2A'!A210</f>
        <v>117</v>
      </c>
      <c r="B187" s="210"/>
      <c r="C187" s="213" t="str">
        <f>'ATT H-2A'!C210</f>
        <v>Preferred %</v>
      </c>
      <c r="D187" s="202" t="str">
        <f>'ATT H-2A'!D210</f>
        <v>Preferred Stock</v>
      </c>
      <c r="E187" s="186"/>
      <c r="F187" s="238" t="str">
        <f>'ATT H-2A'!F210</f>
        <v>(Line 113 / 115)</v>
      </c>
      <c r="G187" s="146"/>
      <c r="H187" s="146"/>
      <c r="I187" s="146"/>
      <c r="J187" s="146"/>
      <c r="K187" s="146"/>
      <c r="L187" s="146"/>
      <c r="M187" s="146"/>
      <c r="N187" s="146"/>
      <c r="O187" s="146"/>
      <c r="P187" s="146"/>
      <c r="Q187" s="329"/>
    </row>
    <row r="188" spans="1:17" ht="15.5" hidden="1">
      <c r="A188" s="248">
        <f>'ATT H-2A'!A211</f>
        <v>118</v>
      </c>
      <c r="B188" s="210"/>
      <c r="C188" s="213" t="str">
        <f>'ATT H-2A'!C211</f>
        <v>Common %</v>
      </c>
      <c r="D188" s="202" t="str">
        <f>'ATT H-2A'!D211</f>
        <v>Common Stock</v>
      </c>
      <c r="E188" s="186"/>
      <c r="F188" s="238" t="str">
        <f>'ATT H-2A'!F211</f>
        <v>(Line 114 / 115)</v>
      </c>
      <c r="G188" s="146"/>
      <c r="H188" s="146"/>
      <c r="I188" s="146"/>
      <c r="J188" s="146"/>
      <c r="K188" s="146"/>
      <c r="L188" s="146"/>
      <c r="M188" s="146"/>
      <c r="N188" s="146"/>
      <c r="O188" s="146"/>
      <c r="P188" s="146"/>
      <c r="Q188" s="329"/>
    </row>
    <row r="189" spans="1:17" ht="15.5" hidden="1">
      <c r="A189" s="239"/>
      <c r="B189" s="210"/>
      <c r="C189" s="231"/>
      <c r="D189" s="195"/>
      <c r="E189" s="247"/>
      <c r="F189" s="245"/>
      <c r="G189" s="146"/>
      <c r="H189" s="146"/>
      <c r="I189" s="146"/>
      <c r="J189" s="146"/>
      <c r="K189" s="146"/>
      <c r="L189" s="146"/>
      <c r="M189" s="146"/>
      <c r="N189" s="146"/>
      <c r="O189" s="146"/>
      <c r="P189" s="146"/>
      <c r="Q189" s="329"/>
    </row>
    <row r="190" spans="1:17" ht="15.5" hidden="1">
      <c r="A190" s="248">
        <f>'ATT H-2A'!A213</f>
        <v>119</v>
      </c>
      <c r="B190" s="210"/>
      <c r="C190" s="279" t="str">
        <f>'ATT H-2A'!C213</f>
        <v>Debt Cost</v>
      </c>
      <c r="D190" s="206" t="str">
        <f>'ATT H-2A'!D213</f>
        <v>Total Long Term Debt</v>
      </c>
      <c r="E190" s="186"/>
      <c r="F190" s="238" t="str">
        <f>'ATT H-2A'!F213</f>
        <v>(Line 101 / 112)</v>
      </c>
      <c r="G190" s="146"/>
      <c r="H190" s="146"/>
      <c r="I190" s="146"/>
      <c r="J190" s="146"/>
      <c r="K190" s="146"/>
      <c r="L190" s="146"/>
      <c r="M190" s="146"/>
      <c r="N190" s="146"/>
      <c r="O190" s="146"/>
      <c r="P190" s="146"/>
      <c r="Q190" s="329"/>
    </row>
    <row r="191" spans="1:17" ht="15.5" hidden="1">
      <c r="A191" s="248">
        <f>'ATT H-2A'!A214</f>
        <v>120</v>
      </c>
      <c r="B191" s="210"/>
      <c r="C191" s="279" t="str">
        <f>'ATT H-2A'!C214</f>
        <v>Preferred Cost</v>
      </c>
      <c r="D191" s="202" t="str">
        <f>'ATT H-2A'!D214</f>
        <v>Preferred Stock</v>
      </c>
      <c r="E191" s="186"/>
      <c r="F191" s="238" t="str">
        <f>'ATT H-2A'!F214</f>
        <v>(Line 102 / 113)</v>
      </c>
      <c r="G191" s="146"/>
      <c r="H191" s="146"/>
      <c r="I191" s="146"/>
      <c r="J191" s="146"/>
      <c r="K191" s="146"/>
      <c r="L191" s="146"/>
      <c r="M191" s="146"/>
      <c r="N191" s="146"/>
      <c r="O191" s="146"/>
      <c r="P191" s="146"/>
      <c r="Q191" s="329"/>
    </row>
    <row r="192" spans="1:17" ht="15.5" hidden="1">
      <c r="A192" s="248">
        <f>'ATT H-2A'!A215</f>
        <v>121</v>
      </c>
      <c r="B192" s="210"/>
      <c r="C192" s="279" t="str">
        <f>'ATT H-2A'!C215</f>
        <v>Common Cost</v>
      </c>
      <c r="D192" s="202" t="str">
        <f>'ATT H-2A'!D215</f>
        <v>Common Stock</v>
      </c>
      <c r="E192" s="234" t="str">
        <f>'ATT H-2A'!E215</f>
        <v>(Note J)</v>
      </c>
      <c r="F192" s="238" t="str">
        <f>'ATT H-2A'!F215</f>
        <v>Fixed</v>
      </c>
      <c r="G192" s="146"/>
      <c r="H192" s="146"/>
      <c r="I192" s="146"/>
      <c r="J192" s="146"/>
      <c r="K192" s="146"/>
      <c r="L192" s="146"/>
      <c r="M192" s="146"/>
      <c r="N192" s="146"/>
      <c r="O192" s="146"/>
      <c r="P192" s="146"/>
      <c r="Q192" s="329"/>
    </row>
    <row r="193" spans="1:17" ht="15.5" hidden="1">
      <c r="A193" s="239"/>
      <c r="B193" s="210"/>
      <c r="C193" s="231"/>
      <c r="D193" s="195"/>
      <c r="E193" s="247"/>
      <c r="F193" s="245"/>
      <c r="G193" s="146"/>
      <c r="H193" s="146"/>
      <c r="I193" s="146"/>
      <c r="J193" s="146"/>
      <c r="K193" s="146"/>
      <c r="L193" s="146"/>
      <c r="M193" s="146"/>
      <c r="N193" s="146"/>
      <c r="O193" s="146"/>
      <c r="P193" s="146"/>
      <c r="Q193" s="329"/>
    </row>
    <row r="194" spans="1:17" ht="15.5" hidden="1">
      <c r="A194" s="248">
        <f>'ATT H-2A'!A217</f>
        <v>122</v>
      </c>
      <c r="B194" s="210"/>
      <c r="C194" s="213" t="str">
        <f>'ATT H-2A'!C217</f>
        <v>Weighted Cost of Debt</v>
      </c>
      <c r="D194" s="206" t="str">
        <f>'ATT H-2A'!D217</f>
        <v>Total Long Term Debt (WCLTD)</v>
      </c>
      <c r="E194" s="186"/>
      <c r="F194" s="238" t="str">
        <f>'ATT H-2A'!F217</f>
        <v>(Line 116 * 119)</v>
      </c>
      <c r="G194" s="146"/>
      <c r="H194" s="146"/>
      <c r="I194" s="146"/>
      <c r="J194" s="146"/>
      <c r="K194" s="146"/>
      <c r="L194" s="146"/>
      <c r="M194" s="146"/>
      <c r="N194" s="146"/>
      <c r="O194" s="146"/>
      <c r="P194" s="146"/>
      <c r="Q194" s="329"/>
    </row>
    <row r="195" spans="1:17" ht="15.5" hidden="1">
      <c r="A195" s="248">
        <f>'ATT H-2A'!A218</f>
        <v>123</v>
      </c>
      <c r="B195" s="210"/>
      <c r="C195" s="213" t="str">
        <f>'ATT H-2A'!C218</f>
        <v>Weighted Cost of Preferred</v>
      </c>
      <c r="D195" s="202" t="str">
        <f>'ATT H-2A'!D218</f>
        <v>Preferred Stock</v>
      </c>
      <c r="E195" s="186"/>
      <c r="F195" s="238" t="str">
        <f>'ATT H-2A'!F218</f>
        <v>(Line 117 * 120)</v>
      </c>
      <c r="G195" s="146"/>
      <c r="H195" s="146"/>
      <c r="I195" s="146"/>
      <c r="J195" s="146"/>
      <c r="K195" s="146"/>
      <c r="L195" s="146"/>
      <c r="M195" s="146"/>
      <c r="N195" s="146"/>
      <c r="O195" s="146"/>
      <c r="P195" s="146"/>
      <c r="Q195" s="329"/>
    </row>
    <row r="196" spans="1:17" ht="15.5" hidden="1">
      <c r="A196" s="248">
        <f>'ATT H-2A'!A219</f>
        <v>124</v>
      </c>
      <c r="B196" s="210"/>
      <c r="C196" s="213" t="str">
        <f>'ATT H-2A'!C219</f>
        <v>Weighted Cost of Common</v>
      </c>
      <c r="D196" s="202" t="str">
        <f>'ATT H-2A'!D219</f>
        <v>Common Stock</v>
      </c>
      <c r="E196" s="186"/>
      <c r="F196" s="238" t="str">
        <f>'ATT H-2A'!F219</f>
        <v>(Line 118 * 121)</v>
      </c>
      <c r="G196" s="146"/>
      <c r="H196" s="146"/>
      <c r="I196" s="146"/>
      <c r="J196" s="146"/>
      <c r="K196" s="146"/>
      <c r="L196" s="146"/>
      <c r="M196" s="146"/>
      <c r="N196" s="146"/>
      <c r="O196" s="146"/>
      <c r="P196" s="146"/>
      <c r="Q196" s="329"/>
    </row>
    <row r="197" spans="1:17" ht="15.5" hidden="1">
      <c r="A197" s="239">
        <f>'ATT H-2A'!A220</f>
        <v>125</v>
      </c>
      <c r="B197" s="217" t="str">
        <f>'ATT H-2A'!B220</f>
        <v>Total Return ( R )</v>
      </c>
      <c r="C197" s="217"/>
      <c r="D197" s="218"/>
      <c r="E197" s="219"/>
      <c r="F197" s="238" t="str">
        <f>'ATT H-2A'!F220</f>
        <v>(Sum Lines 122 to 124)</v>
      </c>
      <c r="G197" s="146"/>
      <c r="H197" s="146"/>
      <c r="I197" s="146"/>
      <c r="J197" s="146"/>
      <c r="K197" s="146"/>
      <c r="L197" s="146"/>
      <c r="M197" s="146"/>
      <c r="N197" s="146"/>
      <c r="O197" s="146"/>
      <c r="P197" s="146"/>
      <c r="Q197" s="329"/>
    </row>
    <row r="198" spans="1:17" ht="15.5" hidden="1">
      <c r="A198" s="239"/>
      <c r="B198" s="210"/>
      <c r="C198" s="231"/>
      <c r="D198" s="195"/>
      <c r="E198" s="247"/>
      <c r="F198" s="245"/>
      <c r="G198" s="146"/>
      <c r="H198" s="146"/>
      <c r="I198" s="146"/>
      <c r="J198" s="146"/>
      <c r="K198" s="146"/>
      <c r="L198" s="146"/>
      <c r="M198" s="146"/>
      <c r="N198" s="146"/>
      <c r="O198" s="146"/>
      <c r="P198" s="146"/>
      <c r="Q198" s="329"/>
    </row>
    <row r="199" spans="1:17" ht="15.5" hidden="1">
      <c r="A199" s="239">
        <f>'ATT H-2A'!A222</f>
        <v>126</v>
      </c>
      <c r="B199" s="220" t="str">
        <f>'ATT H-2A'!B222</f>
        <v>Investment Return = Rate Base * Rate of Return</v>
      </c>
      <c r="C199" s="221"/>
      <c r="D199" s="218"/>
      <c r="E199" s="294"/>
      <c r="F199" s="283" t="str">
        <f>'ATT H-2A'!F222</f>
        <v>(Line 59 * 125)</v>
      </c>
      <c r="G199" s="146"/>
      <c r="H199" s="146"/>
      <c r="I199" s="146"/>
      <c r="J199" s="146"/>
      <c r="K199" s="146"/>
      <c r="L199" s="146"/>
      <c r="M199" s="146"/>
      <c r="N199" s="146"/>
      <c r="O199" s="146"/>
      <c r="P199" s="146"/>
      <c r="Q199" s="329"/>
    </row>
    <row r="200" spans="1:17" ht="15.5" hidden="1">
      <c r="A200" s="239"/>
      <c r="B200" s="210"/>
      <c r="C200" s="231"/>
      <c r="D200" s="195"/>
      <c r="E200" s="247"/>
      <c r="F200" s="245"/>
      <c r="G200" s="146"/>
      <c r="H200" s="146"/>
      <c r="I200" s="146"/>
      <c r="J200" s="146"/>
      <c r="K200" s="146"/>
      <c r="L200" s="146"/>
      <c r="M200" s="146"/>
      <c r="N200" s="146"/>
      <c r="O200" s="146"/>
      <c r="P200" s="146"/>
      <c r="Q200" s="329"/>
    </row>
    <row r="201" spans="1:17" ht="15.5" hidden="1">
      <c r="A201" s="251" t="str">
        <f>'ATT H-2A'!A224</f>
        <v xml:space="preserve">Composite Income Taxes                                                                                                       </v>
      </c>
      <c r="B201" s="196"/>
      <c r="C201" s="272"/>
      <c r="D201" s="197"/>
      <c r="E201" s="198"/>
      <c r="F201" s="252"/>
      <c r="G201" s="146"/>
      <c r="H201" s="146"/>
      <c r="I201" s="146"/>
      <c r="J201" s="146"/>
      <c r="K201" s="146"/>
      <c r="L201" s="146"/>
      <c r="M201" s="146"/>
      <c r="N201" s="146"/>
      <c r="O201" s="146"/>
      <c r="P201" s="146"/>
      <c r="Q201" s="329"/>
    </row>
    <row r="202" spans="1:17" ht="15.5" hidden="1">
      <c r="A202" s="239"/>
      <c r="B202" s="210"/>
      <c r="C202" s="231"/>
      <c r="D202" s="195"/>
      <c r="E202" s="247"/>
      <c r="F202" s="245"/>
      <c r="G202" s="146"/>
      <c r="H202" s="146"/>
      <c r="I202" s="146"/>
      <c r="J202" s="146"/>
      <c r="K202" s="146"/>
      <c r="L202" s="146"/>
      <c r="M202" s="146"/>
      <c r="N202" s="146"/>
      <c r="O202" s="146"/>
      <c r="P202" s="146"/>
      <c r="Q202" s="329"/>
    </row>
    <row r="203" spans="1:17" ht="15.5">
      <c r="A203" s="239" t="str">
        <f>'ATT H-2A'!A226</f>
        <v xml:space="preserve"> </v>
      </c>
      <c r="B203" s="220" t="str">
        <f>'ATT H-2A'!B226</f>
        <v>Income Tax Rates</v>
      </c>
      <c r="C203" s="124"/>
      <c r="D203" s="124"/>
      <c r="E203" s="203"/>
      <c r="F203" s="238"/>
      <c r="G203" s="146"/>
      <c r="H203" s="146"/>
      <c r="I203" s="146"/>
      <c r="J203" s="146"/>
      <c r="K203" s="146"/>
      <c r="L203" s="146"/>
      <c r="M203" s="146"/>
      <c r="N203" s="146"/>
      <c r="O203" s="146"/>
      <c r="P203" s="146"/>
      <c r="Q203" s="329"/>
    </row>
    <row r="204" spans="1:17" ht="15.5" hidden="1">
      <c r="A204" s="239">
        <f>'ATT H-2A'!A227</f>
        <v>127</v>
      </c>
      <c r="B204" s="210"/>
      <c r="C204" s="124" t="str">
        <f>'ATT H-2A'!C227</f>
        <v>FIT=Federal Income Tax Rate</v>
      </c>
      <c r="D204" s="124"/>
      <c r="E204" s="186"/>
      <c r="F204" s="245">
        <f>'ATT H-2A'!F227</f>
        <v>0</v>
      </c>
      <c r="G204" s="146"/>
      <c r="H204" s="146"/>
      <c r="I204" s="146"/>
      <c r="J204" s="146"/>
      <c r="K204" s="146"/>
      <c r="L204" s="146"/>
      <c r="M204" s="146"/>
      <c r="N204" s="146"/>
      <c r="O204" s="146"/>
      <c r="P204" s="146"/>
      <c r="Q204" s="329"/>
    </row>
    <row r="205" spans="1:17" ht="15.5">
      <c r="A205" s="239">
        <f>'ATT H-2A'!A228</f>
        <v>128</v>
      </c>
      <c r="B205" s="210"/>
      <c r="C205" s="280" t="str">
        <f>'ATT H-2A'!C228</f>
        <v>SIT=State Income Tax Rate or Composite</v>
      </c>
      <c r="D205" s="281"/>
      <c r="E205" s="234" t="str">
        <f>'ATT H-2A'!E228</f>
        <v>(Note I)</v>
      </c>
      <c r="F205" s="245">
        <f>'ATT H-2A'!F228</f>
        <v>0</v>
      </c>
      <c r="G205" s="146"/>
      <c r="H205" s="146"/>
      <c r="I205" s="146"/>
      <c r="J205" s="146"/>
      <c r="K205" s="146"/>
      <c r="L205" s="146"/>
      <c r="M205" s="181" t="s">
        <v>492</v>
      </c>
      <c r="N205" s="146"/>
      <c r="O205" s="146"/>
      <c r="P205" s="146"/>
      <c r="Q205" s="329"/>
    </row>
    <row r="206" spans="1:17" ht="15.5" hidden="1">
      <c r="A206" s="239">
        <f>'ATT H-2A'!A229</f>
        <v>129</v>
      </c>
      <c r="B206" s="210"/>
      <c r="C206" s="280" t="str">
        <f>'ATT H-2A'!C229</f>
        <v>p = percent of federal income tax deductible for state purposes</v>
      </c>
      <c r="D206" s="280">
        <f>'ATT H-2A'!D229</f>
        <v>0</v>
      </c>
      <c r="E206" s="186"/>
      <c r="F206" s="245" t="str">
        <f>'ATT H-2A'!F229</f>
        <v>Per State Tax Code</v>
      </c>
      <c r="G206" s="146"/>
      <c r="H206" s="146"/>
      <c r="I206" s="146"/>
      <c r="J206" s="146"/>
      <c r="K206" s="146"/>
      <c r="L206" s="146"/>
      <c r="M206" s="146"/>
      <c r="N206" s="146"/>
      <c r="O206" s="146"/>
      <c r="P206" s="146"/>
      <c r="Q206" s="329"/>
    </row>
    <row r="207" spans="1:17" ht="15.5" hidden="1">
      <c r="A207" s="239">
        <f>'ATT H-2A'!A230</f>
        <v>130</v>
      </c>
      <c r="B207" s="210"/>
      <c r="C207" s="280" t="str">
        <f>'ATT H-2A'!C230</f>
        <v>T</v>
      </c>
      <c r="D207" s="222" t="str">
        <f>'ATT H-2A'!D230</f>
        <v xml:space="preserve">     T=1 - {[(1 - SIT) * (1 - FIT)] / (1 - SIT * FIT * p)} =</v>
      </c>
      <c r="E207" s="186"/>
      <c r="F207" s="245"/>
      <c r="G207" s="146"/>
      <c r="H207" s="146"/>
      <c r="I207" s="146"/>
      <c r="J207" s="146"/>
      <c r="K207" s="146"/>
      <c r="L207" s="146"/>
      <c r="M207" s="146"/>
      <c r="N207" s="146"/>
      <c r="O207" s="146"/>
      <c r="P207" s="146"/>
      <c r="Q207" s="329"/>
    </row>
    <row r="208" spans="1:17" ht="15.5" hidden="1">
      <c r="A208" s="239" t="str">
        <f>'ATT H-2A'!A231</f>
        <v>131a</v>
      </c>
      <c r="B208" s="210"/>
      <c r="C208" s="280" t="str">
        <f>'ATT H-2A'!C231</f>
        <v>T/ (1-T)</v>
      </c>
      <c r="D208" s="281"/>
      <c r="E208" s="186"/>
      <c r="F208" s="245"/>
      <c r="G208" s="146"/>
      <c r="H208" s="146"/>
      <c r="I208" s="146"/>
      <c r="J208" s="146"/>
      <c r="K208" s="146"/>
      <c r="L208" s="146"/>
      <c r="M208" s="146"/>
      <c r="N208" s="146"/>
      <c r="O208" s="146"/>
      <c r="P208" s="146"/>
      <c r="Q208" s="329"/>
    </row>
    <row r="209" spans="1:17" ht="15.5" hidden="1">
      <c r="A209" s="239"/>
      <c r="B209" s="210"/>
      <c r="C209" s="231"/>
      <c r="D209" s="195"/>
      <c r="E209" s="247"/>
      <c r="F209" s="245"/>
      <c r="G209" s="146"/>
      <c r="H209" s="146"/>
      <c r="I209" s="146"/>
      <c r="J209" s="146"/>
      <c r="K209" s="146"/>
      <c r="L209" s="146"/>
      <c r="M209" s="146"/>
      <c r="N209" s="146"/>
      <c r="O209" s="146"/>
      <c r="P209" s="146"/>
      <c r="Q209" s="329"/>
    </row>
    <row r="210" spans="1:17" ht="15.5">
      <c r="A210" s="239"/>
      <c r="B210" s="220" t="e">
        <f>'ATT H-2A'!#REF!</f>
        <v>#REF!</v>
      </c>
      <c r="C210" s="202"/>
      <c r="D210" s="124"/>
      <c r="E210" s="163"/>
      <c r="F210" s="238"/>
      <c r="G210" s="146"/>
      <c r="H210" s="146"/>
      <c r="I210" s="146"/>
      <c r="J210" s="146"/>
      <c r="K210" s="146"/>
      <c r="L210" s="146"/>
      <c r="M210" s="146"/>
      <c r="N210" s="146"/>
      <c r="O210" s="146"/>
      <c r="P210" s="146"/>
      <c r="Q210" s="329"/>
    </row>
    <row r="211" spans="1:17" ht="15.5">
      <c r="A211" s="239" t="e">
        <f>'ATT H-2A'!#REF!</f>
        <v>#REF!</v>
      </c>
      <c r="B211" s="210"/>
      <c r="C211" s="202" t="e">
        <f>'ATT H-2A'!#REF!</f>
        <v>#REF!</v>
      </c>
      <c r="D211" s="124"/>
      <c r="E211" s="277" t="e">
        <f>'ATT H-2A'!#REF!</f>
        <v>#REF!</v>
      </c>
      <c r="F211" s="262" t="e">
        <f>'ATT H-2A'!#REF!</f>
        <v>#REF!</v>
      </c>
      <c r="G211" s="146"/>
      <c r="H211" s="146"/>
      <c r="I211" s="146"/>
      <c r="J211" s="146"/>
      <c r="K211" s="146"/>
      <c r="L211" s="146"/>
      <c r="M211" s="181" t="s">
        <v>492</v>
      </c>
      <c r="N211" s="146"/>
      <c r="O211" s="146"/>
      <c r="P211" s="146"/>
      <c r="Q211" s="329"/>
    </row>
    <row r="212" spans="1:17" ht="15.5" hidden="1">
      <c r="A212" s="239" t="e">
        <f>'ATT H-2A'!#REF!</f>
        <v>#REF!</v>
      </c>
      <c r="B212" s="210"/>
      <c r="C212" s="202" t="e">
        <f>'ATT H-2A'!#REF!</f>
        <v>#REF!</v>
      </c>
      <c r="D212" s="124"/>
      <c r="E212" s="210"/>
      <c r="F212" s="238" t="e">
        <f>'ATT H-2A'!#REF!</f>
        <v>#REF!</v>
      </c>
      <c r="G212" s="146"/>
      <c r="H212" s="146"/>
      <c r="I212" s="146"/>
      <c r="J212" s="146"/>
      <c r="K212" s="146"/>
      <c r="L212" s="146"/>
      <c r="M212" s="146"/>
      <c r="N212" s="146"/>
      <c r="O212" s="146"/>
      <c r="P212" s="146"/>
      <c r="Q212" s="329"/>
    </row>
    <row r="213" spans="1:17" ht="15.5" hidden="1">
      <c r="A213" s="239" t="e">
        <f>'ATT H-2A'!#REF!</f>
        <v>#REF!</v>
      </c>
      <c r="B213" s="210"/>
      <c r="C213" s="212" t="e">
        <f>'ATT H-2A'!#REF!</f>
        <v>#REF!</v>
      </c>
      <c r="D213" s="209"/>
      <c r="E213" s="210"/>
      <c r="F213" s="238" t="e">
        <f>'ATT H-2A'!#REF!</f>
        <v>#REF!</v>
      </c>
      <c r="G213" s="146"/>
      <c r="H213" s="146"/>
      <c r="I213" s="146"/>
      <c r="J213" s="146"/>
      <c r="K213" s="146"/>
      <c r="L213" s="146"/>
      <c r="M213" s="146"/>
      <c r="N213" s="146"/>
      <c r="O213" s="146"/>
      <c r="P213" s="146"/>
      <c r="Q213" s="329"/>
    </row>
    <row r="214" spans="1:17" ht="15.5" hidden="1">
      <c r="A214" s="239" t="e">
        <f>'ATT H-2A'!#REF!</f>
        <v>#REF!</v>
      </c>
      <c r="B214" s="210"/>
      <c r="C214" s="225" t="e">
        <f>'ATT H-2A'!#REF!</f>
        <v>#REF!</v>
      </c>
      <c r="D214" s="195"/>
      <c r="E214" s="277" t="e">
        <f>'ATT H-2A'!#REF!</f>
        <v>#REF!</v>
      </c>
      <c r="F214" s="238" t="e">
        <f>'ATT H-2A'!#REF!</f>
        <v>#REF!</v>
      </c>
      <c r="G214" s="146"/>
      <c r="H214" s="146"/>
      <c r="I214" s="146"/>
      <c r="J214" s="146"/>
      <c r="K214" s="146"/>
      <c r="L214" s="146"/>
      <c r="M214" s="146"/>
      <c r="N214" s="146"/>
      <c r="O214" s="146"/>
      <c r="P214" s="146"/>
      <c r="Q214" s="329"/>
    </row>
    <row r="215" spans="1:17" ht="15.5" hidden="1">
      <c r="A215" s="239"/>
      <c r="B215" s="210"/>
      <c r="C215" s="231"/>
      <c r="D215" s="195"/>
      <c r="E215" s="247"/>
      <c r="F215" s="245"/>
      <c r="G215" s="146"/>
      <c r="H215" s="146"/>
      <c r="I215" s="146"/>
      <c r="J215" s="146"/>
      <c r="K215" s="146"/>
      <c r="L215" s="146"/>
      <c r="M215" s="146"/>
      <c r="N215" s="146"/>
      <c r="O215" s="146"/>
      <c r="P215" s="146"/>
      <c r="Q215" s="329"/>
    </row>
    <row r="216" spans="1:17" ht="15.5" hidden="1">
      <c r="A216" s="239"/>
      <c r="B216" s="210"/>
      <c r="C216" s="231"/>
      <c r="D216" s="195"/>
      <c r="E216" s="247"/>
      <c r="F216" s="245"/>
      <c r="G216" s="146"/>
      <c r="H216" s="146"/>
      <c r="I216" s="146"/>
      <c r="J216" s="146"/>
      <c r="K216" s="146"/>
      <c r="L216" s="146"/>
      <c r="M216" s="146"/>
      <c r="N216" s="146"/>
      <c r="O216" s="146"/>
      <c r="P216" s="146"/>
      <c r="Q216" s="329"/>
    </row>
    <row r="217" spans="1:17" ht="15.5" hidden="1">
      <c r="A217" s="239"/>
      <c r="B217" s="210"/>
      <c r="C217" s="231"/>
      <c r="D217" s="195"/>
      <c r="E217" s="247"/>
      <c r="F217" s="245"/>
      <c r="G217" s="146"/>
      <c r="H217" s="146"/>
      <c r="I217" s="146"/>
      <c r="J217" s="146"/>
      <c r="K217" s="146"/>
      <c r="L217" s="146"/>
      <c r="M217" s="146"/>
      <c r="N217" s="146"/>
      <c r="O217" s="146"/>
      <c r="P217" s="146"/>
      <c r="Q217" s="329"/>
    </row>
    <row r="218" spans="1:17" ht="15.5" hidden="1">
      <c r="A218" s="239" t="str">
        <f>'ATT H-2A'!A249</f>
        <v>136h</v>
      </c>
      <c r="B218" s="270" t="str">
        <f>'ATT H-2A'!B249</f>
        <v xml:space="preserve">Income Tax Component = </v>
      </c>
      <c r="C218" s="221"/>
      <c r="D218" s="124" t="str">
        <f>'ATT H-2A'!D249</f>
        <v xml:space="preserve">     CIT=(T/1-T) * Investment Return * (1-(WCLTD/R)) =</v>
      </c>
      <c r="E218" s="203"/>
      <c r="F218" s="238" t="str">
        <f>'ATT H-2A'!F249</f>
        <v>[Line 131a * 126 * (1-(122 / 125))]</v>
      </c>
      <c r="G218" s="146"/>
      <c r="H218" s="146"/>
      <c r="I218" s="146"/>
      <c r="J218" s="146"/>
      <c r="K218" s="146"/>
      <c r="L218" s="146"/>
      <c r="M218" s="146"/>
      <c r="N218" s="146"/>
      <c r="O218" s="146"/>
      <c r="P218" s="146"/>
      <c r="Q218" s="329"/>
    </row>
    <row r="219" spans="1:17" ht="15.5" hidden="1">
      <c r="A219" s="239"/>
      <c r="B219" s="210"/>
      <c r="C219" s="231"/>
      <c r="D219" s="195"/>
      <c r="E219" s="247"/>
      <c r="F219" s="245"/>
      <c r="G219" s="146"/>
      <c r="H219" s="146"/>
      <c r="I219" s="146"/>
      <c r="J219" s="146"/>
      <c r="K219" s="146"/>
      <c r="L219" s="146"/>
      <c r="M219" s="146"/>
      <c r="N219" s="146"/>
      <c r="O219" s="146"/>
      <c r="P219" s="146"/>
      <c r="Q219" s="329"/>
    </row>
    <row r="220" spans="1:17" ht="15.5" hidden="1">
      <c r="A220" s="239">
        <f>'ATT H-2A'!A251</f>
        <v>137</v>
      </c>
      <c r="B220" s="220" t="str">
        <f>'ATT H-2A'!B251</f>
        <v>Total Income Taxes</v>
      </c>
      <c r="C220" s="220"/>
      <c r="D220" s="218"/>
      <c r="E220" s="219"/>
      <c r="F220" s="283" t="str">
        <f>'ATT H-2A'!F251</f>
        <v>(Line 135 + 136g + 136h)</v>
      </c>
      <c r="G220" s="146"/>
      <c r="H220" s="146"/>
      <c r="I220" s="146"/>
      <c r="J220" s="146"/>
      <c r="K220" s="146"/>
      <c r="L220" s="146"/>
      <c r="M220" s="146"/>
      <c r="N220" s="146"/>
      <c r="O220" s="146"/>
      <c r="P220" s="146"/>
      <c r="Q220" s="329"/>
    </row>
    <row r="221" spans="1:17" ht="15.5" hidden="1">
      <c r="A221" s="239"/>
      <c r="B221" s="210"/>
      <c r="C221" s="231"/>
      <c r="D221" s="195"/>
      <c r="E221" s="247"/>
      <c r="F221" s="245"/>
      <c r="G221" s="146"/>
      <c r="H221" s="146"/>
      <c r="I221" s="146"/>
      <c r="J221" s="146"/>
      <c r="K221" s="146"/>
      <c r="L221" s="146"/>
      <c r="M221" s="146"/>
      <c r="N221" s="146"/>
      <c r="O221" s="146"/>
      <c r="P221" s="146"/>
      <c r="Q221" s="329"/>
    </row>
    <row r="222" spans="1:17" ht="15.5" hidden="1">
      <c r="A222" s="251" t="str">
        <f>'ATT H-2A'!A253</f>
        <v>REVENUE REQUIREMENT</v>
      </c>
      <c r="B222" s="196"/>
      <c r="C222" s="272"/>
      <c r="D222" s="197"/>
      <c r="E222" s="198"/>
      <c r="F222" s="252"/>
      <c r="G222" s="146"/>
      <c r="H222" s="146"/>
      <c r="I222" s="146"/>
      <c r="J222" s="146"/>
      <c r="K222" s="146"/>
      <c r="L222" s="146"/>
      <c r="M222" s="146"/>
      <c r="N222" s="146"/>
      <c r="O222" s="146"/>
      <c r="P222" s="146"/>
      <c r="Q222" s="329"/>
    </row>
    <row r="223" spans="1:17" ht="15.5" hidden="1">
      <c r="A223" s="239"/>
      <c r="B223" s="210"/>
      <c r="C223" s="231"/>
      <c r="D223" s="195"/>
      <c r="E223" s="247"/>
      <c r="F223" s="245"/>
      <c r="G223" s="146"/>
      <c r="H223" s="146"/>
      <c r="I223" s="146"/>
      <c r="J223" s="146"/>
      <c r="K223" s="146"/>
      <c r="L223" s="146"/>
      <c r="M223" s="146"/>
      <c r="N223" s="146"/>
      <c r="O223" s="146"/>
      <c r="P223" s="146"/>
      <c r="Q223" s="329"/>
    </row>
    <row r="224" spans="1:17" ht="15.5" hidden="1">
      <c r="A224" s="241"/>
      <c r="B224" s="270" t="str">
        <f>'ATT H-2A'!B255</f>
        <v>Summary</v>
      </c>
      <c r="C224" s="221"/>
      <c r="D224" s="221"/>
      <c r="E224" s="186"/>
      <c r="F224" s="242"/>
      <c r="G224" s="146"/>
      <c r="H224" s="146"/>
      <c r="I224" s="146"/>
      <c r="J224" s="146"/>
      <c r="K224" s="146"/>
      <c r="L224" s="146"/>
      <c r="M224" s="146"/>
      <c r="N224" s="146"/>
      <c r="O224" s="146"/>
      <c r="P224" s="146"/>
      <c r="Q224" s="329"/>
    </row>
    <row r="225" spans="1:17" ht="15.5" hidden="1">
      <c r="A225" s="241">
        <f>'ATT H-2A'!A256</f>
        <v>138</v>
      </c>
      <c r="B225" s="221"/>
      <c r="C225" s="221" t="str">
        <f>'ATT H-2A'!C256</f>
        <v>Net Property, Plant &amp; Equipment</v>
      </c>
      <c r="D225" s="221"/>
      <c r="E225" s="186"/>
      <c r="F225" s="238" t="str">
        <f>'ATT H-2A'!F256</f>
        <v>(Line 39)</v>
      </c>
      <c r="G225" s="146"/>
      <c r="H225" s="146"/>
      <c r="I225" s="146"/>
      <c r="J225" s="146"/>
      <c r="K225" s="146"/>
      <c r="L225" s="146"/>
      <c r="M225" s="146"/>
      <c r="N225" s="146"/>
      <c r="O225" s="146"/>
      <c r="P225" s="146"/>
      <c r="Q225" s="329"/>
    </row>
    <row r="226" spans="1:17" ht="15.5" hidden="1">
      <c r="A226" s="239">
        <f>'ATT H-2A'!A257</f>
        <v>139</v>
      </c>
      <c r="B226" s="221"/>
      <c r="C226" s="221" t="str">
        <f>'ATT H-2A'!C257</f>
        <v>Adjustment to Rate Base</v>
      </c>
      <c r="D226" s="221"/>
      <c r="E226" s="186"/>
      <c r="F226" s="238" t="str">
        <f>'ATT H-2A'!F257</f>
        <v>(Line 58)</v>
      </c>
      <c r="G226" s="146"/>
      <c r="H226" s="146"/>
      <c r="I226" s="146"/>
      <c r="J226" s="146"/>
      <c r="K226" s="146"/>
      <c r="L226" s="146"/>
      <c r="M226" s="146"/>
      <c r="N226" s="146"/>
      <c r="O226" s="146"/>
      <c r="P226" s="146"/>
      <c r="Q226" s="329"/>
    </row>
    <row r="227" spans="1:17" ht="15.5" hidden="1">
      <c r="A227" s="239">
        <f>'ATT H-2A'!A258</f>
        <v>140</v>
      </c>
      <c r="B227" s="210"/>
      <c r="C227" s="270" t="str">
        <f>'ATT H-2A'!C258</f>
        <v>Rate Base</v>
      </c>
      <c r="D227" s="295"/>
      <c r="E227" s="294"/>
      <c r="F227" s="238" t="str">
        <f>'ATT H-2A'!F258</f>
        <v>(Line 59)</v>
      </c>
      <c r="G227" s="146"/>
      <c r="H227" s="146"/>
      <c r="I227" s="146"/>
      <c r="J227" s="146"/>
      <c r="K227" s="146"/>
      <c r="L227" s="146"/>
      <c r="M227" s="146"/>
      <c r="N227" s="146"/>
      <c r="O227" s="146"/>
      <c r="P227" s="146"/>
      <c r="Q227" s="329"/>
    </row>
    <row r="228" spans="1:17" ht="15.5" hidden="1">
      <c r="A228" s="239"/>
      <c r="B228" s="210"/>
      <c r="C228" s="231"/>
      <c r="D228" s="195"/>
      <c r="E228" s="247"/>
      <c r="F228" s="245"/>
      <c r="G228" s="146"/>
      <c r="H228" s="146"/>
      <c r="I228" s="146"/>
      <c r="J228" s="146"/>
      <c r="K228" s="146"/>
      <c r="L228" s="146"/>
      <c r="M228" s="146"/>
      <c r="N228" s="146"/>
      <c r="O228" s="146"/>
      <c r="P228" s="146"/>
      <c r="Q228" s="329"/>
    </row>
    <row r="229" spans="1:17" ht="15.5" hidden="1">
      <c r="A229" s="239">
        <f>'ATT H-2A'!A260</f>
        <v>141</v>
      </c>
      <c r="B229" s="124"/>
      <c r="C229" s="206" t="str">
        <f>'ATT H-2A'!C260</f>
        <v>O&amp;M</v>
      </c>
      <c r="D229" s="124"/>
      <c r="E229" s="186"/>
      <c r="F229" s="238" t="str">
        <f>'ATT H-2A'!F260</f>
        <v>(Line 84)</v>
      </c>
      <c r="G229" s="146"/>
      <c r="H229" s="146"/>
      <c r="I229" s="146"/>
      <c r="J229" s="146"/>
      <c r="K229" s="146"/>
      <c r="L229" s="146"/>
      <c r="M229" s="146"/>
      <c r="N229" s="146"/>
      <c r="O229" s="146"/>
      <c r="P229" s="146"/>
      <c r="Q229" s="329"/>
    </row>
    <row r="230" spans="1:17" ht="15.5" hidden="1">
      <c r="A230" s="239">
        <f>'ATT H-2A'!A261</f>
        <v>142</v>
      </c>
      <c r="B230" s="124"/>
      <c r="C230" s="213" t="str">
        <f>'ATT H-2A'!C261</f>
        <v>Depreciation &amp; Amortization</v>
      </c>
      <c r="D230" s="124"/>
      <c r="E230" s="186"/>
      <c r="F230" s="238" t="str">
        <f>'ATT H-2A'!F261</f>
        <v>(Line 96)</v>
      </c>
      <c r="G230" s="146"/>
      <c r="H230" s="146"/>
      <c r="I230" s="146"/>
      <c r="J230" s="146"/>
      <c r="K230" s="146"/>
      <c r="L230" s="146"/>
      <c r="M230" s="146"/>
      <c r="N230" s="146"/>
      <c r="O230" s="146"/>
      <c r="P230" s="146"/>
      <c r="Q230" s="329"/>
    </row>
    <row r="231" spans="1:17" ht="15.5" hidden="1">
      <c r="A231" s="239">
        <f>'ATT H-2A'!A262</f>
        <v>143</v>
      </c>
      <c r="B231" s="210"/>
      <c r="C231" s="206" t="str">
        <f>'ATT H-2A'!C262</f>
        <v>Taxes Other than Income</v>
      </c>
      <c r="D231" s="195"/>
      <c r="E231" s="203"/>
      <c r="F231" s="238" t="str">
        <f>'ATT H-2A'!F262</f>
        <v>(Line 98)</v>
      </c>
      <c r="G231" s="146"/>
      <c r="H231" s="146"/>
      <c r="I231" s="146"/>
      <c r="J231" s="146"/>
      <c r="K231" s="146"/>
      <c r="L231" s="146"/>
      <c r="M231" s="146"/>
      <c r="N231" s="146"/>
      <c r="O231" s="146"/>
      <c r="P231" s="146"/>
      <c r="Q231" s="329"/>
    </row>
    <row r="232" spans="1:17" ht="15.5" hidden="1">
      <c r="A232" s="239">
        <f>'ATT H-2A'!A263</f>
        <v>144</v>
      </c>
      <c r="B232" s="210"/>
      <c r="C232" s="222" t="str">
        <f>'ATT H-2A'!C263</f>
        <v>Investment Return</v>
      </c>
      <c r="D232" s="195"/>
      <c r="E232" s="203"/>
      <c r="F232" s="238" t="str">
        <f>'ATT H-2A'!F263</f>
        <v>(Line 126)</v>
      </c>
      <c r="G232" s="146"/>
      <c r="H232" s="146"/>
      <c r="I232" s="146"/>
      <c r="J232" s="146"/>
      <c r="K232" s="146"/>
      <c r="L232" s="146"/>
      <c r="M232" s="146"/>
      <c r="N232" s="146"/>
      <c r="O232" s="146"/>
      <c r="P232" s="146"/>
      <c r="Q232" s="329"/>
    </row>
    <row r="233" spans="1:17" ht="15.5" hidden="1">
      <c r="A233" s="239">
        <f>'ATT H-2A'!A264</f>
        <v>145</v>
      </c>
      <c r="B233" s="210"/>
      <c r="C233" s="222" t="str">
        <f>'ATT H-2A'!C264</f>
        <v>Income Taxes</v>
      </c>
      <c r="D233" s="195"/>
      <c r="E233" s="203"/>
      <c r="F233" s="238" t="str">
        <f>'ATT H-2A'!F264</f>
        <v>(Line 137)</v>
      </c>
      <c r="G233" s="146"/>
      <c r="H233" s="146"/>
      <c r="I233" s="146"/>
      <c r="J233" s="146"/>
      <c r="K233" s="146"/>
      <c r="L233" s="146"/>
      <c r="M233" s="146"/>
      <c r="N233" s="146"/>
      <c r="O233" s="146"/>
      <c r="P233" s="146"/>
      <c r="Q233" s="329"/>
    </row>
    <row r="234" spans="1:17" ht="15.5" hidden="1">
      <c r="A234" s="239"/>
      <c r="B234" s="210"/>
      <c r="C234" s="222"/>
      <c r="D234" s="195"/>
      <c r="E234" s="203"/>
      <c r="F234" s="245"/>
      <c r="G234" s="146"/>
      <c r="H234" s="146"/>
      <c r="I234" s="146"/>
      <c r="J234" s="146"/>
      <c r="K234" s="146"/>
      <c r="L234" s="146"/>
      <c r="M234" s="146"/>
      <c r="N234" s="146"/>
      <c r="O234" s="146"/>
      <c r="P234" s="146"/>
      <c r="Q234" s="329"/>
    </row>
    <row r="235" spans="1:17" ht="18.5" hidden="1" thickBot="1">
      <c r="A235" s="223">
        <f>'ATT H-2A'!A266</f>
        <v>146</v>
      </c>
      <c r="B235" s="296"/>
      <c r="C235" s="226" t="str">
        <f>'ATT H-2A'!C266</f>
        <v>Gross Revenue Requirement</v>
      </c>
      <c r="D235" s="227"/>
      <c r="E235" s="228"/>
      <c r="F235" s="300" t="str">
        <f>'ATT H-2A'!F266</f>
        <v>(Sum Lines 141 to 145)</v>
      </c>
      <c r="G235" s="146"/>
      <c r="H235" s="146"/>
      <c r="I235" s="146"/>
      <c r="J235" s="146"/>
      <c r="K235" s="146"/>
      <c r="L235" s="146"/>
      <c r="M235" s="146"/>
      <c r="N235" s="146"/>
      <c r="O235" s="146"/>
      <c r="P235" s="146"/>
      <c r="Q235" s="329"/>
    </row>
    <row r="236" spans="1:17" ht="15.5" hidden="1">
      <c r="A236" s="239"/>
      <c r="B236" s="210"/>
      <c r="C236" s="231"/>
      <c r="D236" s="195"/>
      <c r="E236" s="247"/>
      <c r="F236" s="245"/>
      <c r="G236" s="146"/>
      <c r="H236" s="146"/>
      <c r="I236" s="146"/>
      <c r="J236" s="146"/>
      <c r="K236" s="146"/>
      <c r="L236" s="146"/>
      <c r="M236" s="146"/>
      <c r="N236" s="146"/>
      <c r="O236" s="146"/>
      <c r="P236" s="146"/>
      <c r="Q236" s="329"/>
    </row>
    <row r="237" spans="1:17" ht="18">
      <c r="A237" s="282"/>
      <c r="B237" s="182" t="str">
        <f>'ATT H-2A'!B268</f>
        <v>Adjustment to Remove Revenue Requirements Associated with Excluded Transmission Facilities</v>
      </c>
      <c r="C237" s="226"/>
      <c r="D237" s="227"/>
      <c r="E237" s="228"/>
      <c r="F237" s="283"/>
      <c r="G237" s="146"/>
      <c r="H237" s="146"/>
      <c r="I237" s="146"/>
      <c r="J237" s="146"/>
      <c r="K237" s="146"/>
      <c r="L237" s="146"/>
      <c r="M237" s="146"/>
      <c r="N237" s="146"/>
      <c r="O237" s="146"/>
      <c r="P237" s="146"/>
      <c r="Q237" s="329"/>
    </row>
    <row r="238" spans="1:17" ht="18" hidden="1">
      <c r="A238" s="248">
        <f>'ATT H-2A'!A269</f>
        <v>147</v>
      </c>
      <c r="B238" s="229"/>
      <c r="C238" s="206" t="str">
        <f>'ATT H-2A'!C269</f>
        <v>Transmission Plant In Service</v>
      </c>
      <c r="D238" s="227"/>
      <c r="E238" s="228"/>
      <c r="F238" s="238" t="str">
        <f>'ATT H-2A'!F269</f>
        <v>(Line 19)</v>
      </c>
      <c r="G238" s="146"/>
      <c r="H238" s="146"/>
      <c r="I238" s="146"/>
      <c r="J238" s="146"/>
      <c r="K238" s="146"/>
      <c r="L238" s="146"/>
      <c r="M238" s="146"/>
      <c r="N238" s="146"/>
      <c r="O238" s="146"/>
      <c r="P238" s="146"/>
      <c r="Q238" s="329"/>
    </row>
    <row r="239" spans="1:17" ht="18">
      <c r="A239" s="248">
        <f>'ATT H-2A'!A270</f>
        <v>148</v>
      </c>
      <c r="B239" s="229"/>
      <c r="C239" s="206" t="str">
        <f>'ATT H-2A'!C270</f>
        <v>Excluded Transmission Facilities</v>
      </c>
      <c r="D239" s="227"/>
      <c r="E239" s="208" t="str">
        <f>'ATT H-2A'!E270</f>
        <v>(Note M)</v>
      </c>
      <c r="F239" s="249" t="str">
        <f>'ATT H-2A'!F270</f>
        <v>Attachment 5</v>
      </c>
      <c r="G239" s="146"/>
      <c r="H239" s="146"/>
      <c r="I239" s="146"/>
      <c r="J239" s="146"/>
      <c r="K239" s="146"/>
      <c r="L239" s="146"/>
      <c r="M239" s="146"/>
      <c r="N239" s="146"/>
      <c r="O239" s="146"/>
      <c r="P239" s="181" t="s">
        <v>492</v>
      </c>
      <c r="Q239" s="329"/>
    </row>
    <row r="240" spans="1:17" ht="18" hidden="1">
      <c r="A240" s="248">
        <f>'ATT H-2A'!A271</f>
        <v>149</v>
      </c>
      <c r="B240" s="229"/>
      <c r="C240" s="206" t="str">
        <f>'ATT H-2A'!C271</f>
        <v>Included Transmission Facilities</v>
      </c>
      <c r="D240" s="227"/>
      <c r="E240" s="230"/>
      <c r="F240" s="249" t="str">
        <f>'ATT H-2A'!F271</f>
        <v>(Line 147 - 148)</v>
      </c>
      <c r="G240" s="146"/>
      <c r="H240" s="146"/>
      <c r="I240" s="146"/>
      <c r="J240" s="146"/>
      <c r="K240" s="146"/>
      <c r="L240" s="146"/>
      <c r="M240" s="146"/>
      <c r="N240" s="146"/>
      <c r="O240" s="146"/>
      <c r="P240" s="146"/>
      <c r="Q240" s="329"/>
    </row>
    <row r="241" spans="1:17" ht="18" hidden="1">
      <c r="A241" s="248">
        <f>'ATT H-2A'!A272</f>
        <v>150</v>
      </c>
      <c r="B241" s="229"/>
      <c r="C241" s="206" t="str">
        <f>'ATT H-2A'!C272</f>
        <v>Inclusion Ratio</v>
      </c>
      <c r="D241" s="227"/>
      <c r="E241" s="228"/>
      <c r="F241" s="249" t="str">
        <f>'ATT H-2A'!F272</f>
        <v>(Line 149 / 147)</v>
      </c>
      <c r="G241" s="146"/>
      <c r="H241" s="146"/>
      <c r="I241" s="146"/>
      <c r="J241" s="146"/>
      <c r="K241" s="146"/>
      <c r="L241" s="146"/>
      <c r="M241" s="146"/>
      <c r="N241" s="146"/>
      <c r="O241" s="146"/>
      <c r="P241" s="146"/>
      <c r="Q241" s="329"/>
    </row>
    <row r="242" spans="1:17" ht="18" hidden="1">
      <c r="A242" s="248">
        <f>'ATT H-2A'!A273</f>
        <v>151</v>
      </c>
      <c r="B242" s="229"/>
      <c r="C242" s="206" t="str">
        <f>'ATT H-2A'!C273</f>
        <v>Gross Revenue Requirement</v>
      </c>
      <c r="D242" s="227"/>
      <c r="E242" s="228"/>
      <c r="F242" s="249" t="str">
        <f>'ATT H-2A'!F273</f>
        <v>(Line 146)</v>
      </c>
      <c r="G242" s="146"/>
      <c r="H242" s="146"/>
      <c r="I242" s="146"/>
      <c r="J242" s="146"/>
      <c r="K242" s="146"/>
      <c r="L242" s="146"/>
      <c r="M242" s="146"/>
      <c r="N242" s="146"/>
      <c r="O242" s="146"/>
      <c r="P242" s="146"/>
      <c r="Q242" s="329"/>
    </row>
    <row r="243" spans="1:17" ht="18" hidden="1">
      <c r="A243" s="248">
        <f>'ATT H-2A'!A274</f>
        <v>152</v>
      </c>
      <c r="B243" s="229"/>
      <c r="C243" s="231" t="str">
        <f>'ATT H-2A'!C274</f>
        <v>Adjusted Gross Revenue Requirement</v>
      </c>
      <c r="D243" s="227"/>
      <c r="E243" s="228"/>
      <c r="F243" s="249" t="str">
        <f>'ATT H-2A'!F274</f>
        <v>(Line 150 * 151)</v>
      </c>
      <c r="G243" s="146"/>
      <c r="H243" s="146"/>
      <c r="I243" s="146"/>
      <c r="J243" s="146"/>
      <c r="K243" s="146"/>
      <c r="L243" s="146"/>
      <c r="M243" s="146"/>
      <c r="N243" s="146"/>
      <c r="O243" s="146"/>
      <c r="P243" s="146"/>
      <c r="Q243" s="329"/>
    </row>
    <row r="244" spans="1:17" ht="15.5" hidden="1">
      <c r="A244" s="239"/>
      <c r="B244" s="210"/>
      <c r="C244" s="231"/>
      <c r="D244" s="195"/>
      <c r="E244" s="247"/>
      <c r="F244" s="245"/>
      <c r="G244" s="146"/>
      <c r="H244" s="146"/>
      <c r="I244" s="146"/>
      <c r="J244" s="146"/>
      <c r="K244" s="146"/>
      <c r="L244" s="146"/>
      <c r="M244" s="146"/>
      <c r="N244" s="146"/>
      <c r="O244" s="146"/>
      <c r="P244" s="146"/>
      <c r="Q244" s="329"/>
    </row>
    <row r="245" spans="1:17" ht="15.5">
      <c r="A245" s="284"/>
      <c r="B245" s="225" t="str">
        <f>'ATT H-2A'!B276</f>
        <v>Revenue Credits &amp; Interest on Network Credits</v>
      </c>
      <c r="C245" s="206"/>
      <c r="D245" s="195"/>
      <c r="E245" s="203"/>
      <c r="F245" s="245"/>
      <c r="G245" s="146"/>
      <c r="H245" s="146"/>
      <c r="I245" s="146"/>
      <c r="J245" s="146"/>
      <c r="K245" s="146"/>
      <c r="L245" s="146"/>
      <c r="M245" s="146"/>
      <c r="N245" s="146"/>
      <c r="O245" s="146"/>
      <c r="P245" s="146"/>
      <c r="Q245" s="329"/>
    </row>
    <row r="246" spans="1:17" ht="15.5" hidden="1">
      <c r="A246" s="248">
        <f>'ATT H-2A'!A277</f>
        <v>153</v>
      </c>
      <c r="B246" s="221"/>
      <c r="C246" s="225" t="str">
        <f>'ATT H-2A'!C277</f>
        <v>Revenue Credits</v>
      </c>
      <c r="D246" s="195"/>
      <c r="E246" s="203"/>
      <c r="F246" s="245" t="str">
        <f>'ATT H-2A'!F277</f>
        <v>Attachment 3</v>
      </c>
      <c r="G246" s="146"/>
      <c r="H246" s="146"/>
      <c r="I246" s="146"/>
      <c r="J246" s="146"/>
      <c r="K246" s="146"/>
      <c r="L246" s="146"/>
      <c r="M246" s="146"/>
      <c r="N246" s="146"/>
      <c r="O246" s="146"/>
      <c r="P246" s="146"/>
      <c r="Q246" s="329"/>
    </row>
    <row r="247" spans="1:17" ht="15.5">
      <c r="A247" s="248">
        <f>'ATT H-2A'!A278</f>
        <v>154</v>
      </c>
      <c r="B247" s="221"/>
      <c r="C247" s="213" t="str">
        <f>'ATT H-2A'!C278</f>
        <v>Interest on Network Credits</v>
      </c>
      <c r="D247" s="195"/>
      <c r="E247" s="271" t="str">
        <f>'ATT H-2A'!E278</f>
        <v>(Note N)</v>
      </c>
      <c r="F247" s="245" t="str">
        <f>'ATT H-2A'!F278</f>
        <v>PJM Data</v>
      </c>
      <c r="G247" s="146"/>
      <c r="H247" s="146"/>
      <c r="I247" s="146"/>
      <c r="J247" s="146"/>
      <c r="K247" s="146"/>
      <c r="L247" s="146"/>
      <c r="M247" s="146"/>
      <c r="N247" s="146"/>
      <c r="O247" s="146"/>
      <c r="P247" s="146"/>
      <c r="Q247" s="360" t="s">
        <v>492</v>
      </c>
    </row>
    <row r="248" spans="1:17" ht="15.5" hidden="1">
      <c r="A248" s="239"/>
      <c r="B248" s="210"/>
      <c r="C248" s="231"/>
      <c r="D248" s="195"/>
      <c r="E248" s="247"/>
      <c r="F248" s="245"/>
      <c r="G248" s="146"/>
      <c r="H248" s="146"/>
      <c r="I248" s="146"/>
      <c r="J248" s="146"/>
      <c r="K248" s="146"/>
      <c r="L248" s="146"/>
      <c r="M248" s="146"/>
      <c r="N248" s="146"/>
      <c r="O248" s="146"/>
      <c r="P248" s="146"/>
      <c r="Q248" s="329"/>
    </row>
    <row r="249" spans="1:17" ht="18.5" hidden="1" thickBot="1">
      <c r="A249" s="223">
        <f>'ATT H-2A'!A280</f>
        <v>155</v>
      </c>
      <c r="B249" s="270"/>
      <c r="C249" s="297" t="str">
        <f>'ATT H-2A'!C280</f>
        <v>Net Revenue Requirement</v>
      </c>
      <c r="D249" s="298"/>
      <c r="E249" s="299"/>
      <c r="F249" s="300" t="str">
        <f>'ATT H-2A'!F280</f>
        <v>(Line 152 - 153 + 154)</v>
      </c>
      <c r="G249" s="146"/>
      <c r="H249" s="146"/>
      <c r="I249" s="146"/>
      <c r="J249" s="146"/>
      <c r="K249" s="146"/>
      <c r="L249" s="146"/>
      <c r="M249" s="146"/>
      <c r="N249" s="146"/>
      <c r="O249" s="146"/>
      <c r="P249" s="146"/>
      <c r="Q249" s="329"/>
    </row>
    <row r="250" spans="1:17" ht="15.5" hidden="1">
      <c r="A250" s="239"/>
      <c r="B250" s="210"/>
      <c r="C250" s="231"/>
      <c r="D250" s="195"/>
      <c r="E250" s="247"/>
      <c r="F250" s="245"/>
      <c r="G250" s="146"/>
      <c r="H250" s="146"/>
      <c r="I250" s="146"/>
      <c r="J250" s="146"/>
      <c r="K250" s="146"/>
      <c r="L250" s="146"/>
      <c r="M250" s="146"/>
      <c r="N250" s="146"/>
      <c r="O250" s="146"/>
      <c r="P250" s="146"/>
      <c r="Q250" s="329"/>
    </row>
    <row r="251" spans="1:17" ht="15.5" hidden="1">
      <c r="A251" s="239"/>
      <c r="B251" s="233" t="str">
        <f>'ATT H-2A'!B282</f>
        <v>Net Plant Carrying Charge</v>
      </c>
      <c r="C251" s="221"/>
      <c r="D251" s="185"/>
      <c r="E251" s="186"/>
      <c r="F251" s="245"/>
      <c r="G251" s="146"/>
      <c r="H251" s="146"/>
      <c r="I251" s="146"/>
      <c r="J251" s="146"/>
      <c r="K251" s="146"/>
      <c r="L251" s="146"/>
      <c r="M251" s="146"/>
      <c r="N251" s="146"/>
      <c r="O251" s="146"/>
      <c r="P251" s="146"/>
      <c r="Q251" s="329"/>
    </row>
    <row r="252" spans="1:17" ht="15.5" hidden="1">
      <c r="A252" s="259">
        <f>'ATT H-2A'!A283</f>
        <v>156</v>
      </c>
      <c r="B252" s="210"/>
      <c r="C252" s="185" t="str">
        <f>'ATT H-2A'!C283</f>
        <v>Net Revenue Requirement</v>
      </c>
      <c r="D252" s="185"/>
      <c r="E252" s="186"/>
      <c r="F252" s="245" t="str">
        <f>'ATT H-2A'!F283</f>
        <v>(Line 155)</v>
      </c>
      <c r="G252" s="146"/>
      <c r="H252" s="146"/>
      <c r="I252" s="146"/>
      <c r="J252" s="146"/>
      <c r="K252" s="146"/>
      <c r="L252" s="146"/>
      <c r="M252" s="146"/>
      <c r="N252" s="146"/>
      <c r="O252" s="146"/>
      <c r="P252" s="146"/>
      <c r="Q252" s="329"/>
    </row>
    <row r="253" spans="1:17" ht="15.5" hidden="1">
      <c r="A253" s="259">
        <f>'ATT H-2A'!A284</f>
        <v>157</v>
      </c>
      <c r="B253" s="210"/>
      <c r="C253" s="185" t="str">
        <f>'ATT H-2A'!C284</f>
        <v>Net Transmission Plant and Abandoned Plant</v>
      </c>
      <c r="D253" s="185"/>
      <c r="E253" s="186"/>
      <c r="F253" s="245" t="str">
        <f>'ATT H-2A'!F284</f>
        <v>(Line 19 - 30 + 44a)</v>
      </c>
      <c r="G253" s="146"/>
      <c r="H253" s="146"/>
      <c r="I253" s="146"/>
      <c r="J253" s="146"/>
      <c r="K253" s="146"/>
      <c r="L253" s="146"/>
      <c r="M253" s="146"/>
      <c r="N253" s="146"/>
      <c r="O253" s="146"/>
      <c r="P253" s="146"/>
      <c r="Q253" s="329"/>
    </row>
    <row r="254" spans="1:17" ht="15.5" hidden="1">
      <c r="A254" s="259">
        <f>'ATT H-2A'!A285</f>
        <v>158</v>
      </c>
      <c r="B254" s="210"/>
      <c r="C254" s="185" t="str">
        <f>'ATT H-2A'!C285</f>
        <v xml:space="preserve">Net Plant Carrying Charge </v>
      </c>
      <c r="D254" s="185"/>
      <c r="E254" s="186"/>
      <c r="F254" s="245" t="str">
        <f>'ATT H-2A'!F285</f>
        <v>(Line 156 / 157)</v>
      </c>
      <c r="G254" s="146"/>
      <c r="H254" s="146"/>
      <c r="I254" s="146"/>
      <c r="J254" s="146"/>
      <c r="K254" s="146"/>
      <c r="L254" s="146"/>
      <c r="M254" s="146"/>
      <c r="N254" s="146"/>
      <c r="O254" s="146"/>
      <c r="P254" s="146"/>
      <c r="Q254" s="329"/>
    </row>
    <row r="255" spans="1:17" ht="15.5" hidden="1">
      <c r="A255" s="259">
        <f>'ATT H-2A'!A286</f>
        <v>159</v>
      </c>
      <c r="B255" s="210"/>
      <c r="C255" s="185" t="str">
        <f>'ATT H-2A'!C286</f>
        <v>Net Plant Carrying Charge without Depreciation</v>
      </c>
      <c r="D255" s="185"/>
      <c r="E255" s="186"/>
      <c r="F255" s="245" t="str">
        <f>'ATT H-2A'!F286</f>
        <v>(Line 156 - 85) / 157</v>
      </c>
      <c r="G255" s="146"/>
      <c r="H255" s="146"/>
      <c r="I255" s="146"/>
      <c r="J255" s="146"/>
      <c r="K255" s="146"/>
      <c r="L255" s="146"/>
      <c r="M255" s="146"/>
      <c r="N255" s="146"/>
      <c r="O255" s="146"/>
      <c r="P255" s="146"/>
      <c r="Q255" s="329"/>
    </row>
    <row r="256" spans="1:17" ht="15.5" hidden="1">
      <c r="A256" s="259">
        <f>'ATT H-2A'!A287</f>
        <v>160</v>
      </c>
      <c r="B256" s="229"/>
      <c r="C256" s="185" t="str">
        <f>'ATT H-2A'!C287</f>
        <v>Net Plant Carrying Charge without Depreciation, Return, nor Income Taxes</v>
      </c>
      <c r="D256" s="185"/>
      <c r="E256" s="216"/>
      <c r="F256" s="273" t="str">
        <f>'ATT H-2A'!F287</f>
        <v>(Line 156 - 85 - 126 - 137) / 157</v>
      </c>
      <c r="G256" s="146"/>
      <c r="H256" s="146"/>
      <c r="I256" s="146"/>
      <c r="J256" s="146"/>
      <c r="K256" s="146"/>
      <c r="L256" s="146"/>
      <c r="M256" s="146"/>
      <c r="N256" s="146"/>
      <c r="O256" s="146"/>
      <c r="P256" s="146"/>
      <c r="Q256" s="329"/>
    </row>
    <row r="257" spans="1:17" ht="15.5" hidden="1">
      <c r="A257" s="239"/>
      <c r="B257" s="210"/>
      <c r="C257" s="231"/>
      <c r="D257" s="195"/>
      <c r="E257" s="247"/>
      <c r="F257" s="245"/>
      <c r="G257" s="146"/>
      <c r="H257" s="146"/>
      <c r="I257" s="146"/>
      <c r="J257" s="146"/>
      <c r="K257" s="146"/>
      <c r="L257" s="146"/>
      <c r="M257" s="146"/>
      <c r="N257" s="146"/>
      <c r="O257" s="146"/>
      <c r="P257" s="146"/>
      <c r="Q257" s="329"/>
    </row>
    <row r="258" spans="1:17" ht="15.5" hidden="1">
      <c r="A258" s="239"/>
      <c r="B258" s="210"/>
      <c r="C258" s="231"/>
      <c r="D258" s="195"/>
      <c r="E258" s="247"/>
      <c r="F258" s="245"/>
      <c r="G258" s="146"/>
      <c r="H258" s="146"/>
      <c r="I258" s="146"/>
      <c r="J258" s="146"/>
      <c r="K258" s="146"/>
      <c r="L258" s="146"/>
      <c r="M258" s="146"/>
      <c r="N258" s="146"/>
      <c r="O258" s="146"/>
      <c r="P258" s="146"/>
      <c r="Q258" s="329"/>
    </row>
    <row r="259" spans="1:17" ht="15.5" hidden="1">
      <c r="A259" s="248"/>
      <c r="B259" s="233" t="str">
        <f>'ATT H-2A'!B290</f>
        <v>Net Plant Carrying Charge Calculation per 100 basis point increase in ROE</v>
      </c>
      <c r="C259" s="185"/>
      <c r="D259" s="185"/>
      <c r="E259" s="186"/>
      <c r="F259" s="245"/>
      <c r="G259" s="146"/>
      <c r="H259" s="146"/>
      <c r="I259" s="146"/>
      <c r="J259" s="146"/>
      <c r="K259" s="146"/>
      <c r="L259" s="146"/>
      <c r="M259" s="146"/>
      <c r="N259" s="146"/>
      <c r="O259" s="146"/>
      <c r="P259" s="146"/>
      <c r="Q259" s="329"/>
    </row>
    <row r="260" spans="1:17" ht="15.5" hidden="1">
      <c r="A260" s="259">
        <f>'ATT H-2A'!A291</f>
        <v>161</v>
      </c>
      <c r="B260" s="210"/>
      <c r="C260" s="185" t="str">
        <f>'ATT H-2A'!C291</f>
        <v>Net Revenue Requirement Less Return and Taxes</v>
      </c>
      <c r="D260" s="185"/>
      <c r="E260" s="186"/>
      <c r="F260" s="285" t="str">
        <f>'ATT H-2A'!F291</f>
        <v>(Line 155 - 144 - 145)</v>
      </c>
      <c r="G260" s="146"/>
      <c r="H260" s="146"/>
      <c r="I260" s="146"/>
      <c r="J260" s="146"/>
      <c r="K260" s="146"/>
      <c r="L260" s="146"/>
      <c r="M260" s="146"/>
      <c r="N260" s="146"/>
      <c r="O260" s="146"/>
      <c r="P260" s="146"/>
      <c r="Q260" s="329"/>
    </row>
    <row r="261" spans="1:17" ht="15.5" hidden="1">
      <c r="A261" s="259">
        <f>'ATT H-2A'!A292</f>
        <v>162</v>
      </c>
      <c r="B261" s="210"/>
      <c r="C261" s="185" t="str">
        <f>'ATT H-2A'!C292</f>
        <v xml:space="preserve">Return and Taxes per 100 basis point increase in ROE </v>
      </c>
      <c r="D261" s="185"/>
      <c r="E261" s="186"/>
      <c r="F261" s="245" t="str">
        <f>'ATT H-2A'!F292</f>
        <v>Attachment 4</v>
      </c>
      <c r="G261" s="146"/>
      <c r="H261" s="146"/>
      <c r="I261" s="146"/>
      <c r="J261" s="146"/>
      <c r="K261" s="146"/>
      <c r="L261" s="146"/>
      <c r="M261" s="146"/>
      <c r="N261" s="146"/>
      <c r="O261" s="146"/>
      <c r="P261" s="146"/>
      <c r="Q261" s="329"/>
    </row>
    <row r="262" spans="1:17" ht="15.5" hidden="1">
      <c r="A262" s="259">
        <f>'ATT H-2A'!A293</f>
        <v>163</v>
      </c>
      <c r="B262" s="210"/>
      <c r="C262" s="185" t="str">
        <f>'ATT H-2A'!C293</f>
        <v xml:space="preserve">Net Revenue Requirement per 100 basis point increase in ROE </v>
      </c>
      <c r="D262" s="185"/>
      <c r="E262" s="186"/>
      <c r="F262" s="285" t="str">
        <f>'ATT H-2A'!F293</f>
        <v>(Line 161 + 162)</v>
      </c>
      <c r="G262" s="146"/>
      <c r="H262" s="146"/>
      <c r="I262" s="146"/>
      <c r="J262" s="146"/>
      <c r="K262" s="146"/>
      <c r="L262" s="146"/>
      <c r="M262" s="146"/>
      <c r="N262" s="146"/>
      <c r="O262" s="146"/>
      <c r="P262" s="146"/>
      <c r="Q262" s="329"/>
    </row>
    <row r="263" spans="1:17" ht="15.5" hidden="1">
      <c r="A263" s="259">
        <f>'ATT H-2A'!A294</f>
        <v>164</v>
      </c>
      <c r="B263" s="210"/>
      <c r="C263" s="185" t="str">
        <f>'ATT H-2A'!C294</f>
        <v>Net Transmission Plant and Abandoned Plant</v>
      </c>
      <c r="D263" s="185"/>
      <c r="E263" s="186"/>
      <c r="F263" s="245" t="str">
        <f>'ATT H-2A'!F294</f>
        <v>(Line 19 - 30 + 44a)</v>
      </c>
      <c r="G263" s="146"/>
      <c r="H263" s="146"/>
      <c r="I263" s="146"/>
      <c r="J263" s="146"/>
      <c r="K263" s="146"/>
      <c r="L263" s="146"/>
      <c r="M263" s="146"/>
      <c r="N263" s="146"/>
      <c r="O263" s="146"/>
      <c r="P263" s="146"/>
      <c r="Q263" s="329"/>
    </row>
    <row r="264" spans="1:17" ht="15.5" hidden="1">
      <c r="A264" s="259">
        <f>'ATT H-2A'!A295</f>
        <v>165</v>
      </c>
      <c r="B264" s="210"/>
      <c r="C264" s="185" t="str">
        <f>'ATT H-2A'!C295</f>
        <v xml:space="preserve">Net Plant Carrying Charge per 100 basis point increase in ROE </v>
      </c>
      <c r="D264" s="185"/>
      <c r="E264" s="186"/>
      <c r="F264" s="245" t="str">
        <f>'ATT H-2A'!F295</f>
        <v>(Line 163 / 164)</v>
      </c>
      <c r="G264" s="146"/>
      <c r="H264" s="146"/>
      <c r="I264" s="146"/>
      <c r="J264" s="146"/>
      <c r="K264" s="146"/>
      <c r="L264" s="146"/>
      <c r="M264" s="146"/>
      <c r="N264" s="146"/>
      <c r="O264" s="146"/>
      <c r="P264" s="146"/>
      <c r="Q264" s="329"/>
    </row>
    <row r="265" spans="1:17" ht="15.5" hidden="1">
      <c r="A265" s="259">
        <f>'ATT H-2A'!A296</f>
        <v>166</v>
      </c>
      <c r="B265" s="210"/>
      <c r="C265" s="185" t="str">
        <f>'ATT H-2A'!C296</f>
        <v>Net Plant Carrying Charge per 100 basis point increase in ROE without Depreciation</v>
      </c>
      <c r="D265" s="185"/>
      <c r="E265" s="186"/>
      <c r="F265" s="245" t="str">
        <f>'ATT H-2A'!F296</f>
        <v>(Line 162 - 85) / 164</v>
      </c>
      <c r="G265" s="146"/>
      <c r="H265" s="146"/>
      <c r="I265" s="146"/>
      <c r="J265" s="146"/>
      <c r="K265" s="146"/>
      <c r="L265" s="146"/>
      <c r="M265" s="146"/>
      <c r="N265" s="146"/>
      <c r="O265" s="146"/>
      <c r="P265" s="146"/>
      <c r="Q265" s="329"/>
    </row>
    <row r="266" spans="1:17" ht="15.5" hidden="1">
      <c r="A266" s="239"/>
      <c r="B266" s="210"/>
      <c r="C266" s="231"/>
      <c r="D266" s="195"/>
      <c r="E266" s="247"/>
      <c r="F266" s="245"/>
      <c r="G266" s="146"/>
      <c r="H266" s="146"/>
      <c r="I266" s="146"/>
      <c r="J266" s="146"/>
      <c r="K266" s="146"/>
      <c r="L266" s="146"/>
      <c r="M266" s="146"/>
      <c r="N266" s="146"/>
      <c r="O266" s="146"/>
      <c r="P266" s="146"/>
      <c r="Q266" s="329"/>
    </row>
    <row r="267" spans="1:17" ht="15.5" hidden="1">
      <c r="A267" s="259">
        <f>'ATT H-2A'!A298</f>
        <v>167</v>
      </c>
      <c r="B267" s="210"/>
      <c r="C267" s="233" t="str">
        <f>'ATT H-2A'!C298</f>
        <v>Net Revenue Requirement</v>
      </c>
      <c r="D267" s="185"/>
      <c r="E267" s="216"/>
      <c r="F267" s="245" t="str">
        <f>'ATT H-2A'!F298</f>
        <v>(Line 155)</v>
      </c>
      <c r="G267" s="146"/>
      <c r="H267" s="146"/>
      <c r="I267" s="146"/>
      <c r="J267" s="146"/>
      <c r="K267" s="146"/>
      <c r="L267" s="146"/>
      <c r="M267" s="146"/>
      <c r="N267" s="146"/>
      <c r="O267" s="146"/>
      <c r="P267" s="146"/>
      <c r="Q267" s="329"/>
    </row>
    <row r="268" spans="1:17" ht="15.5" hidden="1">
      <c r="A268" s="259" t="e">
        <f>'ATT H-2A'!#REF!</f>
        <v>#REF!</v>
      </c>
      <c r="B268" s="210"/>
      <c r="C268" s="124" t="e">
        <f>'ATT H-2A'!#REF!</f>
        <v>#REF!</v>
      </c>
      <c r="D268" s="185"/>
      <c r="E268" s="216"/>
      <c r="F268" s="245" t="e">
        <f>'ATT H-2A'!#REF!</f>
        <v>#REF!</v>
      </c>
      <c r="G268" s="146"/>
      <c r="H268" s="146"/>
      <c r="I268" s="146"/>
      <c r="J268" s="146"/>
      <c r="K268" s="146"/>
      <c r="L268" s="146"/>
      <c r="M268" s="146"/>
      <c r="N268" s="146"/>
      <c r="O268" s="146"/>
      <c r="P268" s="146"/>
      <c r="Q268" s="329"/>
    </row>
    <row r="269" spans="1:17" ht="15.5" hidden="1">
      <c r="A269" s="259">
        <f>'ATT H-2A'!A302</f>
        <v>171</v>
      </c>
      <c r="B269" s="210"/>
      <c r="C269" s="233" t="str">
        <f>'ATT H-2A'!C302</f>
        <v>Net Zonal Revenue Requirement</v>
      </c>
      <c r="D269" s="185"/>
      <c r="E269" s="216"/>
      <c r="F269" s="245" t="str">
        <f>'ATT H-2A'!F302</f>
        <v>(Line 167 + 168 + 169+ 170)</v>
      </c>
      <c r="G269" s="146"/>
      <c r="H269" s="146"/>
      <c r="I269" s="146"/>
      <c r="J269" s="146"/>
      <c r="K269" s="146"/>
      <c r="L269" s="146"/>
      <c r="M269" s="146"/>
      <c r="N269" s="146"/>
      <c r="O269" s="146"/>
      <c r="P269" s="146"/>
      <c r="Q269" s="329"/>
    </row>
    <row r="270" spans="1:17" ht="15.5" hidden="1">
      <c r="A270" s="239"/>
      <c r="B270" s="210"/>
      <c r="C270" s="231"/>
      <c r="D270" s="195"/>
      <c r="E270" s="247"/>
      <c r="F270" s="245"/>
      <c r="G270" s="146"/>
      <c r="H270" s="146"/>
      <c r="I270" s="146"/>
      <c r="J270" s="146"/>
      <c r="K270" s="146"/>
      <c r="L270" s="146"/>
      <c r="M270" s="146"/>
      <c r="N270" s="146"/>
      <c r="O270" s="146"/>
      <c r="P270" s="146"/>
      <c r="Q270" s="329"/>
    </row>
    <row r="271" spans="1:17" ht="15.5">
      <c r="A271" s="248"/>
      <c r="B271" s="225" t="str">
        <f>'ATT H-2A'!B304</f>
        <v>Network Zonal Service Rate</v>
      </c>
      <c r="C271" s="185"/>
      <c r="D271" s="185"/>
      <c r="E271" s="186"/>
      <c r="F271" s="245"/>
      <c r="G271" s="146"/>
      <c r="H271" s="146"/>
      <c r="I271" s="146"/>
      <c r="J271" s="146"/>
      <c r="K271" s="146"/>
      <c r="L271" s="146"/>
      <c r="M271" s="146"/>
      <c r="N271" s="146"/>
      <c r="O271" s="146"/>
      <c r="P271" s="146"/>
      <c r="Q271" s="329"/>
    </row>
    <row r="272" spans="1:17" ht="16" thickBot="1">
      <c r="A272" s="301">
        <f>'ATT H-2A'!A305</f>
        <v>172</v>
      </c>
      <c r="B272" s="302"/>
      <c r="C272" s="303" t="str">
        <f>'ATT H-2A'!C305</f>
        <v>1 CP Peak</v>
      </c>
      <c r="D272" s="303"/>
      <c r="E272" s="304" t="str">
        <f>'ATT H-2A'!E305</f>
        <v>(Note L)</v>
      </c>
      <c r="F272" s="305" t="str">
        <f>'ATT H-2A'!F305</f>
        <v>PJM Data</v>
      </c>
      <c r="G272" s="330"/>
      <c r="H272" s="330"/>
      <c r="I272" s="330"/>
      <c r="J272" s="330"/>
      <c r="K272" s="330"/>
      <c r="L272" s="330"/>
      <c r="M272" s="330"/>
      <c r="N272" s="330"/>
      <c r="O272" s="344" t="s">
        <v>492</v>
      </c>
      <c r="P272" s="330"/>
      <c r="Q272" s="342"/>
    </row>
    <row r="273" spans="1:17" ht="15.5" hidden="1">
      <c r="A273" s="259">
        <f>'ATT H-2A'!A306</f>
        <v>173</v>
      </c>
      <c r="B273" s="210"/>
      <c r="C273" s="124" t="str">
        <f>'ATT H-2A'!C306</f>
        <v>Rate ($/MW-Year)</v>
      </c>
      <c r="D273" s="286">
        <f>'ATT H-2A'!D306</f>
        <v>0</v>
      </c>
      <c r="E273" s="235"/>
      <c r="F273" s="238" t="str">
        <f>'ATT H-2A'!F306</f>
        <v>(Line 171 / 172)</v>
      </c>
      <c r="G273" s="144"/>
      <c r="H273" s="144"/>
      <c r="I273" s="144"/>
      <c r="J273" s="144"/>
      <c r="K273" s="144"/>
      <c r="L273" s="144"/>
      <c r="M273" s="144"/>
      <c r="N273" s="144"/>
      <c r="O273" s="144"/>
      <c r="P273" s="144"/>
      <c r="Q273" s="144"/>
    </row>
    <row r="274" spans="1:17" ht="15.5" hidden="1">
      <c r="A274" s="239"/>
      <c r="B274" s="210"/>
      <c r="C274" s="231"/>
      <c r="D274" s="195"/>
      <c r="E274" s="247"/>
      <c r="F274" s="245"/>
      <c r="G274" s="144"/>
      <c r="H274" s="144"/>
      <c r="I274" s="144"/>
      <c r="J274" s="144"/>
      <c r="K274" s="144"/>
      <c r="L274" s="144"/>
      <c r="M274" s="144"/>
      <c r="N274" s="144"/>
      <c r="O274" s="144"/>
      <c r="P274" s="144"/>
      <c r="Q274" s="144"/>
    </row>
    <row r="275" spans="1:17" ht="18.5" hidden="1" thickBot="1">
      <c r="A275" s="223">
        <f>'ATT H-2A'!A308</f>
        <v>174</v>
      </c>
      <c r="B275" s="236"/>
      <c r="C275" s="232" t="str">
        <f>'ATT H-2A'!C308</f>
        <v>Network Service Rate ($/MW/Year)</v>
      </c>
      <c r="D275" s="236"/>
      <c r="E275" s="236"/>
      <c r="F275" s="287" t="str">
        <f>'ATT H-2A'!F308</f>
        <v>(Line 173)</v>
      </c>
      <c r="G275" s="144"/>
      <c r="H275" s="144"/>
      <c r="I275" s="144"/>
      <c r="J275" s="144"/>
      <c r="K275" s="144"/>
      <c r="L275" s="144"/>
      <c r="M275" s="144"/>
      <c r="N275" s="144"/>
      <c r="O275" s="144"/>
      <c r="P275" s="144"/>
      <c r="Q275" s="144"/>
    </row>
    <row r="276" spans="1:17" ht="15.5" hidden="1">
      <c r="A276" s="184"/>
      <c r="B276" s="184"/>
      <c r="C276" s="183"/>
      <c r="D276" s="127"/>
      <c r="E276" s="193"/>
      <c r="F276" s="135"/>
      <c r="G276" s="144"/>
      <c r="H276" s="144"/>
      <c r="I276" s="144"/>
      <c r="J276" s="144"/>
      <c r="K276" s="144"/>
      <c r="L276" s="144"/>
      <c r="M276" s="144"/>
      <c r="N276" s="144"/>
      <c r="O276" s="144"/>
      <c r="P276" s="144"/>
      <c r="Q276" s="144"/>
    </row>
    <row r="277" spans="1:17" ht="21.25" hidden="1" customHeight="1">
      <c r="A277" s="224"/>
      <c r="B277" s="225"/>
      <c r="C277" s="124"/>
      <c r="D277" s="124"/>
      <c r="E277" s="125"/>
      <c r="F277" s="126"/>
      <c r="G277" s="144"/>
      <c r="H277" s="144"/>
      <c r="I277" s="144"/>
      <c r="J277" s="144"/>
      <c r="K277" s="144"/>
      <c r="L277" s="144"/>
      <c r="M277" s="144"/>
      <c r="N277" s="144"/>
      <c r="O277" s="144"/>
      <c r="P277" s="144"/>
      <c r="Q277" s="144"/>
    </row>
    <row r="278" spans="1:17" ht="21.25" hidden="1" customHeight="1">
      <c r="A278" s="224"/>
      <c r="B278" s="210"/>
      <c r="D278" s="124"/>
      <c r="E278" s="125"/>
      <c r="F278" s="126"/>
      <c r="G278" s="144"/>
      <c r="H278" s="144"/>
      <c r="I278" s="144"/>
      <c r="J278" s="144"/>
      <c r="K278" s="144"/>
      <c r="L278" s="144"/>
      <c r="M278" s="144"/>
      <c r="N278" s="144"/>
      <c r="O278" s="144"/>
      <c r="P278" s="144"/>
      <c r="Q278" s="144"/>
    </row>
    <row r="279" spans="1:17" ht="21.25" hidden="1" customHeight="1" thickBot="1">
      <c r="A279" s="311" t="s">
        <v>489</v>
      </c>
      <c r="B279" s="210"/>
      <c r="D279" s="124"/>
      <c r="E279" s="125"/>
      <c r="F279" s="126"/>
      <c r="G279" s="144"/>
      <c r="H279" s="144"/>
      <c r="I279" s="144"/>
      <c r="J279" s="144"/>
      <c r="K279" s="144"/>
      <c r="L279" s="144"/>
      <c r="M279" s="144"/>
      <c r="N279" s="144"/>
      <c r="O279" s="144"/>
      <c r="P279" s="144"/>
      <c r="Q279" s="144"/>
    </row>
    <row r="280" spans="1:17" ht="56.25" hidden="1" customHeight="1">
      <c r="A280" s="1535" t="s">
        <v>482</v>
      </c>
      <c r="B280" s="1536"/>
      <c r="C280" s="1536"/>
      <c r="D280" s="1536"/>
      <c r="E280" s="1536"/>
      <c r="F280" s="1536"/>
      <c r="G280" s="343" t="s">
        <v>498</v>
      </c>
      <c r="H280" s="340"/>
      <c r="I280" s="340" t="s">
        <v>483</v>
      </c>
      <c r="J280" s="1526" t="s">
        <v>425</v>
      </c>
      <c r="K280" s="1528"/>
      <c r="L280" s="1528"/>
      <c r="M280" s="1528"/>
      <c r="N280" s="1528"/>
      <c r="O280" s="1528"/>
      <c r="P280" s="1528"/>
      <c r="Q280" s="1528"/>
    </row>
    <row r="281" spans="1:17" ht="15.5" hidden="1">
      <c r="A281" s="241"/>
      <c r="B281" s="231" t="s">
        <v>316</v>
      </c>
      <c r="C281" s="124"/>
      <c r="D281" s="221"/>
      <c r="E281" s="186"/>
      <c r="F281" s="221"/>
      <c r="G281" s="331"/>
      <c r="H281" s="146"/>
      <c r="I281" s="146"/>
      <c r="J281" s="1531"/>
      <c r="K281" s="1520"/>
      <c r="L281" s="1520"/>
      <c r="M281" s="1520"/>
      <c r="N281" s="1520"/>
      <c r="O281" s="1520"/>
      <c r="P281" s="1520"/>
      <c r="Q281" s="1520"/>
    </row>
    <row r="282" spans="1:17" ht="15.5" hidden="1">
      <c r="A282" s="248">
        <v>7</v>
      </c>
      <c r="B282" s="221"/>
      <c r="C282" s="185" t="s">
        <v>213</v>
      </c>
      <c r="D282" s="124"/>
      <c r="E282" s="194" t="s">
        <v>357</v>
      </c>
      <c r="F282" s="205" t="s">
        <v>165</v>
      </c>
      <c r="G282" s="333" t="s">
        <v>501</v>
      </c>
      <c r="H282" s="181"/>
      <c r="I282" s="181" t="s">
        <v>501</v>
      </c>
      <c r="J282" s="1519" t="s">
        <v>500</v>
      </c>
      <c r="K282" s="1520"/>
      <c r="L282" s="1520"/>
      <c r="M282" s="1520"/>
      <c r="N282" s="1520"/>
      <c r="O282" s="1520"/>
      <c r="P282" s="1520"/>
      <c r="Q282" s="1520"/>
    </row>
    <row r="283" spans="1:17" ht="15.5" hidden="1">
      <c r="A283" s="248">
        <v>10</v>
      </c>
      <c r="B283" s="221"/>
      <c r="C283" s="185" t="s">
        <v>341</v>
      </c>
      <c r="D283" s="124"/>
      <c r="E283" s="194" t="s">
        <v>200</v>
      </c>
      <c r="F283" s="201" t="s">
        <v>354</v>
      </c>
      <c r="G283" s="333" t="s">
        <v>501</v>
      </c>
      <c r="H283" s="181"/>
      <c r="I283" s="181" t="s">
        <v>501</v>
      </c>
      <c r="J283" s="1519" t="s">
        <v>500</v>
      </c>
      <c r="K283" s="1520"/>
      <c r="L283" s="1520"/>
      <c r="M283" s="1520"/>
      <c r="N283" s="1520"/>
      <c r="O283" s="1520"/>
      <c r="P283" s="1520"/>
      <c r="Q283" s="1520"/>
    </row>
    <row r="284" spans="1:17" ht="15.5" hidden="1">
      <c r="A284" s="248">
        <v>11</v>
      </c>
      <c r="B284" s="221"/>
      <c r="C284" s="185" t="s">
        <v>311</v>
      </c>
      <c r="D284" s="124"/>
      <c r="E284" s="194" t="s">
        <v>326</v>
      </c>
      <c r="F284" s="201" t="s">
        <v>165</v>
      </c>
      <c r="G284" s="333" t="s">
        <v>501</v>
      </c>
      <c r="H284" s="181"/>
      <c r="I284" s="181" t="s">
        <v>501</v>
      </c>
      <c r="J284" s="1519" t="s">
        <v>500</v>
      </c>
      <c r="K284" s="1520"/>
      <c r="L284" s="1520"/>
      <c r="M284" s="1520"/>
      <c r="N284" s="1520"/>
      <c r="O284" s="1520"/>
      <c r="P284" s="1520"/>
      <c r="Q284" s="1520"/>
    </row>
    <row r="285" spans="1:17" ht="15.5" hidden="1">
      <c r="A285" s="248">
        <v>12</v>
      </c>
      <c r="B285" s="124"/>
      <c r="C285" s="195" t="s">
        <v>342</v>
      </c>
      <c r="D285" s="124"/>
      <c r="E285" s="194" t="s">
        <v>326</v>
      </c>
      <c r="F285" s="201" t="s">
        <v>165</v>
      </c>
      <c r="G285" s="333" t="s">
        <v>501</v>
      </c>
      <c r="H285" s="181"/>
      <c r="I285" s="181" t="s">
        <v>501</v>
      </c>
      <c r="J285" s="1519" t="s">
        <v>500</v>
      </c>
      <c r="K285" s="1520"/>
      <c r="L285" s="1520"/>
      <c r="M285" s="1520"/>
      <c r="N285" s="1520"/>
      <c r="O285" s="1520"/>
      <c r="P285" s="1520"/>
      <c r="Q285" s="1520"/>
    </row>
    <row r="286" spans="1:17" ht="15.5" hidden="1">
      <c r="A286" s="241"/>
      <c r="B286" s="231" t="s">
        <v>263</v>
      </c>
      <c r="C286" s="124"/>
      <c r="D286" s="124"/>
      <c r="E286" s="247"/>
      <c r="F286" s="205"/>
      <c r="G286" s="331"/>
      <c r="H286" s="146"/>
      <c r="I286" s="146"/>
      <c r="J286" s="1519"/>
      <c r="K286" s="1520"/>
      <c r="L286" s="1520"/>
      <c r="M286" s="1520"/>
      <c r="N286" s="1520"/>
      <c r="O286" s="1520"/>
      <c r="P286" s="1520"/>
      <c r="Q286" s="1520"/>
    </row>
    <row r="287" spans="1:17" ht="15.5" hidden="1">
      <c r="A287" s="248">
        <v>21</v>
      </c>
      <c r="B287" s="210"/>
      <c r="C287" s="202" t="s">
        <v>220</v>
      </c>
      <c r="D287" s="124"/>
      <c r="E287" s="194" t="s">
        <v>357</v>
      </c>
      <c r="F287" s="205" t="s">
        <v>165</v>
      </c>
      <c r="G287" s="333" t="s">
        <v>501</v>
      </c>
      <c r="H287" s="181"/>
      <c r="I287" s="181" t="s">
        <v>501</v>
      </c>
      <c r="J287" s="1519" t="s">
        <v>500</v>
      </c>
      <c r="K287" s="1520"/>
      <c r="L287" s="1520"/>
      <c r="M287" s="1520"/>
      <c r="N287" s="1520"/>
      <c r="O287" s="1520"/>
      <c r="P287" s="1520"/>
      <c r="Q287" s="1520"/>
    </row>
    <row r="288" spans="1:17" ht="15.5" hidden="1">
      <c r="A288" s="248"/>
      <c r="B288" s="231" t="s">
        <v>208</v>
      </c>
      <c r="C288" s="231"/>
      <c r="D288" s="205"/>
      <c r="E288" s="203"/>
      <c r="F288" s="201"/>
      <c r="G288" s="331"/>
      <c r="H288" s="146"/>
      <c r="I288" s="146"/>
      <c r="J288" s="1519"/>
      <c r="K288" s="1520"/>
      <c r="L288" s="1520"/>
      <c r="M288" s="1520"/>
      <c r="N288" s="1520"/>
      <c r="O288" s="1520"/>
      <c r="P288" s="1520"/>
      <c r="Q288" s="1520"/>
    </row>
    <row r="289" spans="1:17" ht="15.5" hidden="1">
      <c r="A289" s="248">
        <v>30</v>
      </c>
      <c r="B289" s="210"/>
      <c r="C289" s="202" t="s">
        <v>311</v>
      </c>
      <c r="D289" s="124"/>
      <c r="E289" s="194" t="s">
        <v>326</v>
      </c>
      <c r="F289" s="201" t="s">
        <v>496</v>
      </c>
      <c r="G289" s="333" t="s">
        <v>501</v>
      </c>
      <c r="H289" s="181"/>
      <c r="I289" s="181" t="s">
        <v>501</v>
      </c>
      <c r="J289" s="1519" t="s">
        <v>500</v>
      </c>
      <c r="K289" s="1520"/>
      <c r="L289" s="1520"/>
      <c r="M289" s="1520"/>
      <c r="N289" s="1520"/>
      <c r="O289" s="1520"/>
      <c r="P289" s="1520"/>
      <c r="Q289" s="1520"/>
    </row>
    <row r="290" spans="1:17" ht="15.5" hidden="1">
      <c r="A290" s="248">
        <v>31</v>
      </c>
      <c r="B290" s="210"/>
      <c r="C290" s="202" t="s">
        <v>260</v>
      </c>
      <c r="D290" s="124"/>
      <c r="E290" s="194" t="s">
        <v>326</v>
      </c>
      <c r="F290" s="201" t="s">
        <v>497</v>
      </c>
      <c r="G290" s="333" t="s">
        <v>501</v>
      </c>
      <c r="H290" s="181"/>
      <c r="I290" s="181" t="s">
        <v>501</v>
      </c>
      <c r="J290" s="1519" t="s">
        <v>500</v>
      </c>
      <c r="K290" s="1520"/>
      <c r="L290" s="1520"/>
      <c r="M290" s="1520"/>
      <c r="N290" s="1520"/>
      <c r="O290" s="1520"/>
      <c r="P290" s="1520"/>
      <c r="Q290" s="1520"/>
    </row>
    <row r="291" spans="1:17" ht="15.5" hidden="1">
      <c r="A291" s="254"/>
      <c r="B291" s="204" t="s">
        <v>391</v>
      </c>
      <c r="C291" s="124"/>
      <c r="D291" s="185"/>
      <c r="E291" s="255"/>
      <c r="F291" s="221"/>
      <c r="G291" s="331"/>
      <c r="H291" s="146"/>
      <c r="I291" s="146"/>
      <c r="J291" s="1519"/>
      <c r="K291" s="1520"/>
      <c r="L291" s="1520"/>
      <c r="M291" s="1520"/>
      <c r="N291" s="1520"/>
      <c r="O291" s="1520"/>
      <c r="P291" s="1520"/>
      <c r="Q291" s="1520"/>
    </row>
    <row r="292" spans="1:17" ht="15.5" hidden="1">
      <c r="A292" s="248">
        <v>40</v>
      </c>
      <c r="B292" s="185"/>
      <c r="C292" s="206" t="s">
        <v>358</v>
      </c>
      <c r="D292" s="207"/>
      <c r="E292" s="208" t="s">
        <v>186</v>
      </c>
      <c r="F292" s="205" t="s">
        <v>187</v>
      </c>
      <c r="G292" s="333" t="s">
        <v>501</v>
      </c>
      <c r="H292" s="181"/>
      <c r="I292" s="181" t="s">
        <v>501</v>
      </c>
      <c r="J292" s="1519" t="s">
        <v>500</v>
      </c>
      <c r="K292" s="1520"/>
      <c r="L292" s="1520"/>
      <c r="M292" s="1520"/>
      <c r="N292" s="1520"/>
      <c r="O292" s="1520"/>
      <c r="P292" s="1520"/>
      <c r="Q292" s="1520"/>
    </row>
    <row r="293" spans="1:17" ht="15.5" hidden="1">
      <c r="A293" s="248"/>
      <c r="B293" s="204" t="s">
        <v>209</v>
      </c>
      <c r="C293" s="212"/>
      <c r="D293" s="124"/>
      <c r="E293" s="186"/>
      <c r="F293" s="289"/>
      <c r="G293" s="331"/>
      <c r="H293" s="146"/>
      <c r="I293" s="146"/>
      <c r="J293" s="1519"/>
      <c r="K293" s="1520"/>
      <c r="L293" s="1520"/>
      <c r="M293" s="1520"/>
      <c r="N293" s="1520"/>
      <c r="O293" s="1520"/>
      <c r="P293" s="1520"/>
      <c r="Q293" s="1520"/>
    </row>
    <row r="294" spans="1:17" ht="15.5" hidden="1">
      <c r="A294" s="248">
        <v>43</v>
      </c>
      <c r="B294" s="261"/>
      <c r="C294" s="212" t="s">
        <v>330</v>
      </c>
      <c r="D294" s="194"/>
      <c r="E294" s="234" t="s">
        <v>326</v>
      </c>
      <c r="F294" s="213" t="s">
        <v>345</v>
      </c>
      <c r="G294" s="333" t="s">
        <v>501</v>
      </c>
      <c r="H294" s="181"/>
      <c r="I294" s="181" t="s">
        <v>501</v>
      </c>
      <c r="J294" s="1519" t="s">
        <v>500</v>
      </c>
      <c r="K294" s="1520"/>
      <c r="L294" s="1520"/>
      <c r="M294" s="1520"/>
      <c r="N294" s="1520"/>
      <c r="O294" s="1520"/>
      <c r="P294" s="1520"/>
      <c r="Q294" s="1520"/>
    </row>
    <row r="295" spans="1:17" ht="15.5" hidden="1">
      <c r="A295" s="248"/>
      <c r="B295" s="204" t="s">
        <v>204</v>
      </c>
      <c r="C295" s="185"/>
      <c r="D295" s="185"/>
      <c r="E295" s="264"/>
      <c r="F295" s="290"/>
      <c r="G295" s="331"/>
      <c r="H295" s="146"/>
      <c r="I295" s="146"/>
      <c r="J295" s="1519"/>
      <c r="K295" s="1520"/>
      <c r="L295" s="1520"/>
      <c r="M295" s="1520"/>
      <c r="N295" s="1520"/>
      <c r="O295" s="1520"/>
      <c r="P295" s="1520"/>
      <c r="Q295" s="1520"/>
    </row>
    <row r="296" spans="1:17" ht="15.5" hidden="1">
      <c r="A296" s="254">
        <v>46</v>
      </c>
      <c r="B296" s="185"/>
      <c r="C296" s="185" t="s">
        <v>266</v>
      </c>
      <c r="D296" s="195"/>
      <c r="E296" s="234" t="s">
        <v>326</v>
      </c>
      <c r="F296" s="212" t="s">
        <v>283</v>
      </c>
      <c r="G296" s="333" t="s">
        <v>501</v>
      </c>
      <c r="H296" s="181"/>
      <c r="I296" s="181" t="s">
        <v>501</v>
      </c>
      <c r="J296" s="1519" t="s">
        <v>500</v>
      </c>
      <c r="K296" s="1520"/>
      <c r="L296" s="1520"/>
      <c r="M296" s="1520"/>
      <c r="N296" s="1520"/>
      <c r="O296" s="1520"/>
      <c r="P296" s="1520"/>
      <c r="Q296" s="1520"/>
    </row>
    <row r="297" spans="1:17" ht="15.5" hidden="1">
      <c r="A297" s="248"/>
      <c r="B297" s="231" t="s">
        <v>193</v>
      </c>
      <c r="C297" s="195"/>
      <c r="D297" s="195"/>
      <c r="E297" s="247"/>
      <c r="F297" s="195"/>
      <c r="G297" s="331"/>
      <c r="H297" s="146"/>
      <c r="I297" s="146"/>
      <c r="J297" s="1519"/>
      <c r="K297" s="1520"/>
      <c r="L297" s="1520"/>
      <c r="M297" s="1520"/>
      <c r="N297" s="1520"/>
      <c r="O297" s="1520"/>
      <c r="P297" s="1520"/>
      <c r="Q297" s="1520"/>
    </row>
    <row r="298" spans="1:17" ht="16" hidden="1" thickBot="1">
      <c r="A298" s="301">
        <v>64</v>
      </c>
      <c r="B298" s="306"/>
      <c r="C298" s="307" t="s">
        <v>296</v>
      </c>
      <c r="D298" s="308"/>
      <c r="E298" s="309" t="s">
        <v>326</v>
      </c>
      <c r="F298" s="310" t="s">
        <v>165</v>
      </c>
      <c r="G298" s="338" t="s">
        <v>501</v>
      </c>
      <c r="H298" s="344"/>
      <c r="I298" s="344" t="s">
        <v>501</v>
      </c>
      <c r="J298" s="1521" t="s">
        <v>500</v>
      </c>
      <c r="K298" s="1522"/>
      <c r="L298" s="1522"/>
      <c r="M298" s="1522"/>
      <c r="N298" s="1522"/>
      <c r="O298" s="1522"/>
      <c r="P298" s="1522"/>
      <c r="Q298" s="1522"/>
    </row>
    <row r="299" spans="1:17" ht="21.25" hidden="1" customHeight="1">
      <c r="G299" s="144"/>
      <c r="H299" s="144"/>
      <c r="I299" s="144"/>
      <c r="J299" s="144"/>
      <c r="K299" s="144"/>
      <c r="L299" s="144"/>
      <c r="M299" s="144"/>
      <c r="N299" s="144"/>
      <c r="O299" s="144"/>
      <c r="P299" s="144"/>
      <c r="Q299" s="144"/>
    </row>
    <row r="300" spans="1:17" ht="21.25" hidden="1" customHeight="1">
      <c r="G300" s="144"/>
      <c r="H300" s="144"/>
      <c r="I300" s="144"/>
      <c r="J300" s="144"/>
      <c r="K300" s="144"/>
      <c r="L300" s="144"/>
      <c r="M300" s="144"/>
      <c r="N300" s="144"/>
      <c r="O300" s="144"/>
      <c r="P300" s="144"/>
      <c r="Q300" s="144"/>
    </row>
    <row r="301" spans="1:17" ht="21.25" hidden="1" customHeight="1" thickBot="1">
      <c r="A301" s="311" t="s">
        <v>490</v>
      </c>
      <c r="G301" s="144"/>
      <c r="H301" s="144"/>
      <c r="I301" s="144"/>
      <c r="J301" s="144"/>
      <c r="K301" s="144"/>
      <c r="L301" s="144"/>
      <c r="M301" s="144"/>
      <c r="N301" s="144"/>
      <c r="O301" s="144"/>
      <c r="P301" s="144"/>
      <c r="Q301" s="144"/>
    </row>
    <row r="302" spans="1:17" ht="55.5" hidden="1" customHeight="1">
      <c r="A302" s="1523" t="s">
        <v>482</v>
      </c>
      <c r="B302" s="1524"/>
      <c r="C302" s="1524"/>
      <c r="D302" s="1524"/>
      <c r="E302" s="1524"/>
      <c r="F302" s="1525"/>
      <c r="G302" s="343" t="s">
        <v>498</v>
      </c>
      <c r="H302" s="340"/>
      <c r="I302" s="340" t="s">
        <v>502</v>
      </c>
      <c r="J302" s="1526" t="s">
        <v>425</v>
      </c>
      <c r="K302" s="1528"/>
      <c r="L302" s="1528"/>
      <c r="M302" s="1528"/>
      <c r="N302" s="1528"/>
      <c r="O302" s="1528"/>
      <c r="P302" s="1528"/>
      <c r="Q302" s="1528"/>
    </row>
    <row r="303" spans="1:17" ht="15.5" hidden="1">
      <c r="A303" s="248">
        <v>25</v>
      </c>
      <c r="B303" s="210"/>
      <c r="C303" s="231" t="s">
        <v>419</v>
      </c>
      <c r="D303" s="288"/>
      <c r="E303" s="208" t="s">
        <v>327</v>
      </c>
      <c r="F303" s="238" t="s">
        <v>344</v>
      </c>
      <c r="G303" s="333" t="s">
        <v>501</v>
      </c>
      <c r="H303" s="181"/>
      <c r="I303" s="181" t="s">
        <v>501</v>
      </c>
      <c r="J303" s="1519" t="s">
        <v>500</v>
      </c>
      <c r="K303" s="1520"/>
      <c r="L303" s="1520"/>
      <c r="M303" s="1520"/>
      <c r="N303" s="1520"/>
      <c r="O303" s="1520"/>
      <c r="P303" s="1520"/>
      <c r="Q303" s="1520"/>
    </row>
    <row r="304" spans="1:17" ht="15.5" hidden="1">
      <c r="A304" s="248"/>
      <c r="B304" s="231" t="s">
        <v>192</v>
      </c>
      <c r="C304" s="185"/>
      <c r="D304" s="195"/>
      <c r="E304" s="203"/>
      <c r="F304" s="245"/>
      <c r="G304" s="331"/>
      <c r="H304" s="146"/>
      <c r="I304" s="146"/>
      <c r="J304" s="1519"/>
      <c r="K304" s="1520"/>
      <c r="L304" s="1520"/>
      <c r="M304" s="1520"/>
      <c r="N304" s="1520"/>
      <c r="O304" s="1520"/>
      <c r="P304" s="1520"/>
      <c r="Q304" s="1520"/>
    </row>
    <row r="305" spans="1:17" ht="15.5" hidden="1">
      <c r="A305" s="248">
        <v>73</v>
      </c>
      <c r="B305" s="263"/>
      <c r="C305" s="212" t="s">
        <v>363</v>
      </c>
      <c r="D305" s="194"/>
      <c r="E305" s="234" t="s">
        <v>327</v>
      </c>
      <c r="F305" s="266" t="s">
        <v>158</v>
      </c>
      <c r="G305" s="333" t="s">
        <v>501</v>
      </c>
      <c r="H305" s="181"/>
      <c r="I305" s="181" t="s">
        <v>501</v>
      </c>
      <c r="J305" s="1519" t="s">
        <v>500</v>
      </c>
      <c r="K305" s="1520"/>
      <c r="L305" s="1520"/>
      <c r="M305" s="1520"/>
      <c r="N305" s="1520"/>
      <c r="O305" s="1520"/>
      <c r="P305" s="1520"/>
      <c r="Q305" s="1520"/>
    </row>
    <row r="306" spans="1:17" ht="15.5" hidden="1">
      <c r="A306" s="216"/>
      <c r="B306" s="204"/>
      <c r="C306" s="185"/>
      <c r="D306" s="195"/>
      <c r="E306" s="216"/>
      <c r="F306" s="255"/>
      <c r="G306" s="146"/>
      <c r="H306" s="146"/>
      <c r="I306" s="146"/>
      <c r="J306" s="1519"/>
      <c r="K306" s="1520"/>
      <c r="L306" s="1520"/>
      <c r="M306" s="1520"/>
      <c r="N306" s="1520"/>
      <c r="O306" s="1520"/>
      <c r="P306" s="1520"/>
      <c r="Q306" s="1520"/>
    </row>
    <row r="307" spans="1:17" ht="15.5" hidden="1">
      <c r="A307" s="229"/>
      <c r="B307" s="263"/>
      <c r="C307" s="212"/>
      <c r="D307" s="195"/>
      <c r="E307" s="277"/>
      <c r="F307" s="212"/>
      <c r="G307" s="181" t="s">
        <v>501</v>
      </c>
      <c r="H307" s="181"/>
      <c r="I307" s="181" t="s">
        <v>501</v>
      </c>
      <c r="J307" s="1519" t="s">
        <v>500</v>
      </c>
      <c r="K307" s="1520"/>
      <c r="L307" s="1520"/>
      <c r="M307" s="1520"/>
      <c r="N307" s="1520"/>
      <c r="O307" s="1520"/>
      <c r="P307" s="1520"/>
      <c r="Q307" s="1520"/>
    </row>
    <row r="308" spans="1:17" ht="15.5" hidden="1">
      <c r="A308" s="229"/>
      <c r="B308" s="263"/>
      <c r="C308" s="212"/>
      <c r="D308" s="195"/>
      <c r="E308" s="277"/>
      <c r="F308" s="212"/>
      <c r="G308" s="181" t="s">
        <v>501</v>
      </c>
      <c r="H308" s="181"/>
      <c r="I308" s="181" t="s">
        <v>501</v>
      </c>
      <c r="J308" s="1519" t="s">
        <v>500</v>
      </c>
      <c r="K308" s="1520"/>
      <c r="L308" s="1520"/>
      <c r="M308" s="1520"/>
      <c r="N308" s="1520"/>
      <c r="O308" s="1520"/>
      <c r="P308" s="1520"/>
      <c r="Q308" s="1520"/>
    </row>
    <row r="309" spans="1:17" ht="16" hidden="1" thickBot="1">
      <c r="A309" s="229"/>
      <c r="B309" s="263"/>
      <c r="C309" s="212"/>
      <c r="D309" s="195"/>
      <c r="E309" s="277"/>
      <c r="F309" s="212"/>
      <c r="G309" s="344" t="s">
        <v>501</v>
      </c>
      <c r="H309" s="344"/>
      <c r="I309" s="344" t="s">
        <v>501</v>
      </c>
      <c r="J309" s="1521" t="s">
        <v>500</v>
      </c>
      <c r="K309" s="1522"/>
      <c r="L309" s="1522"/>
      <c r="M309" s="1522"/>
      <c r="N309" s="1522"/>
      <c r="O309" s="1522"/>
      <c r="P309" s="1522"/>
      <c r="Q309" s="1522"/>
    </row>
    <row r="310" spans="1:17" ht="21.25" hidden="1" customHeight="1">
      <c r="A310" s="229"/>
      <c r="B310" s="263"/>
      <c r="C310" s="212"/>
      <c r="D310" s="195"/>
      <c r="E310" s="277"/>
      <c r="F310" s="212"/>
      <c r="G310" s="146"/>
      <c r="H310" s="146"/>
      <c r="I310" s="181"/>
      <c r="J310" s="146"/>
      <c r="K310" s="146"/>
      <c r="L310" s="146"/>
      <c r="M310" s="146"/>
      <c r="N310" s="146"/>
      <c r="O310" s="146"/>
      <c r="P310" s="146"/>
      <c r="Q310" s="146"/>
    </row>
    <row r="311" spans="1:17" ht="21.25" hidden="1" customHeight="1">
      <c r="A311" s="416"/>
      <c r="B311" s="416"/>
      <c r="C311" s="416"/>
      <c r="D311" s="416"/>
      <c r="E311" s="416"/>
      <c r="F311" s="416"/>
      <c r="G311" s="144"/>
      <c r="H311" s="144"/>
      <c r="I311" s="144"/>
      <c r="J311" s="144"/>
      <c r="K311" s="144"/>
      <c r="L311" s="144"/>
      <c r="M311" s="144"/>
      <c r="N311" s="144"/>
      <c r="O311" s="144"/>
      <c r="P311" s="144"/>
      <c r="Q311" s="144"/>
    </row>
    <row r="312" spans="1:17" ht="21.25" hidden="1" customHeight="1" thickBot="1">
      <c r="A312" s="311"/>
      <c r="B312" s="416"/>
      <c r="C312" s="416"/>
      <c r="D312" s="416"/>
      <c r="E312" s="416"/>
      <c r="F312" s="416"/>
      <c r="G312" s="144"/>
      <c r="H312" s="144"/>
      <c r="I312" s="144"/>
      <c r="J312" s="144"/>
      <c r="K312" s="144"/>
      <c r="L312" s="144"/>
      <c r="M312" s="144"/>
      <c r="N312" s="144"/>
      <c r="O312" s="144"/>
      <c r="P312" s="144"/>
      <c r="Q312" s="144"/>
    </row>
    <row r="313" spans="1:17" ht="72" hidden="1" customHeight="1">
      <c r="A313" s="1537"/>
      <c r="B313" s="1537"/>
      <c r="C313" s="1537"/>
      <c r="D313" s="1537"/>
      <c r="E313" s="1537"/>
      <c r="F313" s="1537"/>
      <c r="G313" s="340" t="str">
        <f>+G302</f>
        <v>Form 1 Amount</v>
      </c>
      <c r="H313" s="340"/>
      <c r="I313" s="340" t="s">
        <v>578</v>
      </c>
      <c r="J313" s="1526" t="s">
        <v>425</v>
      </c>
      <c r="K313" s="1528"/>
      <c r="L313" s="1528"/>
      <c r="M313" s="1528"/>
      <c r="N313" s="1528"/>
      <c r="O313" s="1528"/>
      <c r="P313" s="1528"/>
      <c r="Q313" s="1528"/>
    </row>
    <row r="314" spans="1:17" ht="15.5" hidden="1">
      <c r="A314" s="216"/>
      <c r="B314" s="231"/>
      <c r="C314" s="195"/>
      <c r="D314" s="185"/>
      <c r="E314" s="216"/>
      <c r="F314" s="185"/>
      <c r="G314" s="146"/>
      <c r="H314" s="146"/>
      <c r="I314" s="146"/>
      <c r="J314" s="1519"/>
      <c r="K314" s="1520"/>
      <c r="L314" s="1520"/>
      <c r="M314" s="1520"/>
      <c r="N314" s="1520"/>
      <c r="O314" s="1520"/>
      <c r="P314" s="1520"/>
      <c r="Q314" s="1520"/>
    </row>
    <row r="315" spans="1:17" ht="15.5" hidden="1">
      <c r="A315" s="248">
        <v>6</v>
      </c>
      <c r="B315" s="221"/>
      <c r="C315" s="185" t="s">
        <v>333</v>
      </c>
      <c r="D315" s="124"/>
      <c r="E315" s="194" t="s">
        <v>394</v>
      </c>
      <c r="F315" s="243" t="s">
        <v>184</v>
      </c>
      <c r="G315" s="333" t="s">
        <v>501</v>
      </c>
      <c r="H315" s="181"/>
      <c r="I315" s="181" t="s">
        <v>501</v>
      </c>
      <c r="J315" s="1519" t="s">
        <v>500</v>
      </c>
      <c r="K315" s="1520"/>
      <c r="L315" s="1520"/>
      <c r="M315" s="1520"/>
      <c r="N315" s="1520"/>
      <c r="O315" s="1520"/>
      <c r="P315" s="1520"/>
      <c r="Q315" s="1520"/>
    </row>
    <row r="316" spans="1:17" ht="15.5" hidden="1">
      <c r="A316" s="248">
        <v>7</v>
      </c>
      <c r="B316" s="221"/>
      <c r="C316" s="185" t="s">
        <v>213</v>
      </c>
      <c r="D316" s="124"/>
      <c r="E316" s="194" t="s">
        <v>357</v>
      </c>
      <c r="F316" s="249" t="s">
        <v>165</v>
      </c>
      <c r="G316" s="333" t="s">
        <v>501</v>
      </c>
      <c r="H316" s="181"/>
      <c r="I316" s="181" t="s">
        <v>501</v>
      </c>
      <c r="J316" s="1519" t="s">
        <v>500</v>
      </c>
      <c r="K316" s="1520"/>
      <c r="L316" s="1520"/>
      <c r="M316" s="1520"/>
      <c r="N316" s="1520"/>
      <c r="O316" s="1520"/>
      <c r="P316" s="1520"/>
      <c r="Q316" s="1520"/>
    </row>
    <row r="317" spans="1:17" ht="15.5" hidden="1">
      <c r="A317" s="241"/>
      <c r="B317" s="231" t="s">
        <v>263</v>
      </c>
      <c r="C317" s="124"/>
      <c r="D317" s="124"/>
      <c r="E317" s="247"/>
      <c r="F317" s="249"/>
      <c r="G317" s="331"/>
      <c r="H317" s="146"/>
      <c r="I317" s="146"/>
      <c r="J317" s="1519"/>
      <c r="K317" s="1520"/>
      <c r="L317" s="1520"/>
      <c r="M317" s="1520"/>
      <c r="N317" s="1520"/>
      <c r="O317" s="1520"/>
      <c r="P317" s="1520"/>
      <c r="Q317" s="1520"/>
    </row>
    <row r="318" spans="1:17" ht="15.5" hidden="1">
      <c r="A318" s="248">
        <v>19</v>
      </c>
      <c r="B318" s="210"/>
      <c r="C318" s="217" t="s">
        <v>300</v>
      </c>
      <c r="D318" s="124"/>
      <c r="E318" s="194" t="s">
        <v>394</v>
      </c>
      <c r="F318" s="249" t="s">
        <v>185</v>
      </c>
      <c r="G318" s="333" t="s">
        <v>501</v>
      </c>
      <c r="H318" s="181"/>
      <c r="I318" s="181" t="s">
        <v>501</v>
      </c>
      <c r="J318" s="1519" t="s">
        <v>500</v>
      </c>
      <c r="K318" s="1520"/>
      <c r="L318" s="1520"/>
      <c r="M318" s="1520"/>
      <c r="N318" s="1520"/>
      <c r="O318" s="1520"/>
      <c r="P318" s="1520"/>
      <c r="Q318" s="1520"/>
    </row>
    <row r="319" spans="1:17" ht="16" hidden="1" thickBot="1">
      <c r="A319" s="301">
        <v>21</v>
      </c>
      <c r="B319" s="302"/>
      <c r="C319" s="316" t="s">
        <v>220</v>
      </c>
      <c r="D319" s="303"/>
      <c r="E319" s="317" t="s">
        <v>357</v>
      </c>
      <c r="F319" s="318" t="s">
        <v>165</v>
      </c>
      <c r="G319" s="338" t="s">
        <v>501</v>
      </c>
      <c r="H319" s="344"/>
      <c r="I319" s="344" t="s">
        <v>501</v>
      </c>
      <c r="J319" s="1521" t="s">
        <v>500</v>
      </c>
      <c r="K319" s="1522"/>
      <c r="L319" s="1522"/>
      <c r="M319" s="1522"/>
      <c r="N319" s="1522"/>
      <c r="O319" s="1522"/>
      <c r="P319" s="1522"/>
      <c r="Q319" s="1522"/>
    </row>
    <row r="320" spans="1:17" ht="21.25" hidden="1" customHeight="1">
      <c r="G320" s="144"/>
      <c r="H320" s="144"/>
      <c r="I320" s="144"/>
      <c r="J320" s="144"/>
      <c r="K320" s="144"/>
      <c r="L320" s="144"/>
      <c r="M320" s="144"/>
      <c r="N320" s="144"/>
      <c r="O320" s="144"/>
      <c r="P320" s="144"/>
      <c r="Q320" s="144"/>
    </row>
    <row r="321" spans="1:17" ht="21.25" hidden="1" customHeight="1">
      <c r="G321" s="144"/>
      <c r="H321" s="144"/>
      <c r="I321" s="144"/>
      <c r="J321" s="144"/>
      <c r="K321" s="144"/>
      <c r="L321" s="144"/>
      <c r="M321" s="144"/>
      <c r="N321" s="144"/>
      <c r="O321" s="144"/>
      <c r="P321" s="144"/>
      <c r="Q321" s="144"/>
    </row>
    <row r="322" spans="1:17" ht="21.25" hidden="1" customHeight="1" thickBot="1">
      <c r="A322" s="311" t="s">
        <v>488</v>
      </c>
      <c r="G322" s="144"/>
      <c r="H322" s="144"/>
      <c r="I322" s="144"/>
      <c r="J322" s="144"/>
      <c r="K322" s="144"/>
      <c r="L322" s="144"/>
      <c r="M322" s="144"/>
      <c r="N322" s="144"/>
      <c r="O322" s="144"/>
      <c r="P322" s="144"/>
      <c r="Q322" s="144"/>
    </row>
    <row r="323" spans="1:17" ht="38.25" hidden="1" customHeight="1">
      <c r="A323" s="1523" t="s">
        <v>482</v>
      </c>
      <c r="B323" s="1524"/>
      <c r="C323" s="1524"/>
      <c r="D323" s="1524"/>
      <c r="E323" s="1524"/>
      <c r="F323" s="1525"/>
      <c r="G323" s="340" t="str">
        <f>+G313</f>
        <v>Form 1 Amount</v>
      </c>
      <c r="H323" s="340"/>
      <c r="I323" s="340" t="s">
        <v>484</v>
      </c>
      <c r="J323" s="1526" t="s">
        <v>425</v>
      </c>
      <c r="K323" s="1528"/>
      <c r="L323" s="1528"/>
      <c r="M323" s="1528"/>
      <c r="N323" s="1528"/>
      <c r="O323" s="1528"/>
      <c r="P323" s="1528"/>
      <c r="Q323" s="1528"/>
    </row>
    <row r="324" spans="1:17" ht="15.5" hidden="1">
      <c r="A324" s="248"/>
      <c r="B324" s="231" t="s">
        <v>193</v>
      </c>
      <c r="C324" s="195"/>
      <c r="D324" s="195"/>
      <c r="E324" s="247"/>
      <c r="F324" s="273"/>
      <c r="G324" s="146"/>
      <c r="H324" s="146"/>
      <c r="I324" s="146"/>
      <c r="J324" s="1519"/>
      <c r="K324" s="1520"/>
      <c r="L324" s="1520"/>
      <c r="M324" s="1520"/>
      <c r="N324" s="1520"/>
      <c r="O324" s="1520"/>
      <c r="P324" s="1520"/>
      <c r="Q324" s="1520"/>
    </row>
    <row r="325" spans="1:17" ht="16" hidden="1" thickBot="1">
      <c r="A325" s="301">
        <v>69</v>
      </c>
      <c r="B325" s="306"/>
      <c r="C325" s="307" t="s">
        <v>337</v>
      </c>
      <c r="D325" s="319"/>
      <c r="E325" s="320" t="s">
        <v>362</v>
      </c>
      <c r="F325" s="318" t="s">
        <v>312</v>
      </c>
      <c r="G325" s="338" t="s">
        <v>501</v>
      </c>
      <c r="H325" s="344"/>
      <c r="I325" s="344" t="s">
        <v>501</v>
      </c>
      <c r="J325" s="1521" t="s">
        <v>500</v>
      </c>
      <c r="K325" s="1522"/>
      <c r="L325" s="1522"/>
      <c r="M325" s="1522"/>
      <c r="N325" s="1522"/>
      <c r="O325" s="1522"/>
      <c r="P325" s="1522"/>
      <c r="Q325" s="1522"/>
    </row>
    <row r="326" spans="1:17" ht="21.25" hidden="1" customHeight="1">
      <c r="G326" s="144"/>
      <c r="H326" s="144"/>
      <c r="I326" s="144"/>
      <c r="J326" s="144"/>
      <c r="K326" s="144"/>
      <c r="L326" s="144"/>
      <c r="M326" s="144"/>
      <c r="N326" s="144"/>
      <c r="O326" s="144"/>
      <c r="P326" s="144"/>
      <c r="Q326" s="144"/>
    </row>
    <row r="327" spans="1:17" ht="21.25" hidden="1" customHeight="1">
      <c r="G327" s="144"/>
      <c r="H327" s="144"/>
      <c r="I327" s="144"/>
      <c r="J327" s="144"/>
      <c r="K327" s="144"/>
      <c r="L327" s="144"/>
      <c r="M327" s="144"/>
      <c r="N327" s="144"/>
      <c r="O327" s="144"/>
      <c r="P327" s="144"/>
      <c r="Q327" s="144"/>
    </row>
    <row r="328" spans="1:17" ht="21.25" hidden="1" customHeight="1" thickBot="1">
      <c r="A328" s="311" t="s">
        <v>494</v>
      </c>
      <c r="G328" s="144"/>
      <c r="H328" s="144"/>
      <c r="I328" s="144"/>
      <c r="J328" s="144"/>
      <c r="K328" s="144"/>
      <c r="L328" s="144"/>
      <c r="M328" s="144"/>
      <c r="N328" s="144"/>
      <c r="O328" s="144"/>
      <c r="P328" s="144"/>
      <c r="Q328" s="144"/>
    </row>
    <row r="329" spans="1:17" ht="57.25" hidden="1" customHeight="1">
      <c r="A329" s="1523" t="s">
        <v>482</v>
      </c>
      <c r="B329" s="1524"/>
      <c r="C329" s="1524"/>
      <c r="D329" s="1524"/>
      <c r="E329" s="1524"/>
      <c r="F329" s="1525"/>
      <c r="G329" s="343" t="s">
        <v>498</v>
      </c>
      <c r="H329" s="340"/>
      <c r="I329" s="340" t="s">
        <v>502</v>
      </c>
      <c r="J329" s="1526" t="s">
        <v>425</v>
      </c>
      <c r="K329" s="1528"/>
      <c r="L329" s="1528"/>
      <c r="M329" s="1528"/>
      <c r="N329" s="1528"/>
      <c r="O329" s="1528"/>
      <c r="P329" s="1528"/>
      <c r="Q329" s="1528"/>
    </row>
    <row r="330" spans="1:17" ht="15.5" hidden="1">
      <c r="A330" s="248"/>
      <c r="B330" s="231" t="s">
        <v>193</v>
      </c>
      <c r="C330" s="195"/>
      <c r="D330" s="195"/>
      <c r="E330" s="247"/>
      <c r="F330" s="273"/>
      <c r="G330" s="146"/>
      <c r="H330" s="146"/>
      <c r="I330" s="146"/>
      <c r="J330" s="146"/>
      <c r="K330" s="146"/>
      <c r="L330" s="146"/>
      <c r="M330" s="146"/>
      <c r="N330" s="146"/>
      <c r="O330" s="146"/>
      <c r="P330" s="146"/>
      <c r="Q330" s="146"/>
    </row>
    <row r="331" spans="1:17" ht="16" hidden="1" thickBot="1">
      <c r="A331" s="301">
        <v>67</v>
      </c>
      <c r="B331" s="306"/>
      <c r="C331" s="307" t="s">
        <v>360</v>
      </c>
      <c r="D331" s="321"/>
      <c r="E331" s="314" t="s">
        <v>495</v>
      </c>
      <c r="F331" s="322" t="s">
        <v>158</v>
      </c>
      <c r="G331" s="338" t="s">
        <v>501</v>
      </c>
      <c r="H331" s="344"/>
      <c r="I331" s="344" t="s">
        <v>501</v>
      </c>
      <c r="J331" s="1521" t="s">
        <v>500</v>
      </c>
      <c r="K331" s="1522"/>
      <c r="L331" s="1522"/>
      <c r="M331" s="1522"/>
      <c r="N331" s="1522"/>
      <c r="O331" s="1522"/>
      <c r="P331" s="1522"/>
      <c r="Q331" s="1522"/>
    </row>
    <row r="332" spans="1:17" ht="21.25" hidden="1" customHeight="1">
      <c r="G332" s="144"/>
      <c r="H332" s="144"/>
      <c r="I332" s="144"/>
      <c r="J332" s="144"/>
      <c r="K332" s="144"/>
      <c r="L332" s="144"/>
      <c r="M332" s="144"/>
      <c r="N332" s="144"/>
      <c r="O332" s="144"/>
      <c r="P332" s="144"/>
      <c r="Q332" s="144"/>
    </row>
    <row r="333" spans="1:17" ht="21.25" hidden="1" customHeight="1">
      <c r="G333" s="144"/>
      <c r="H333" s="144"/>
      <c r="I333" s="144"/>
      <c r="J333" s="144"/>
      <c r="K333" s="144"/>
      <c r="L333" s="144"/>
      <c r="M333" s="144"/>
      <c r="N333" s="144"/>
      <c r="O333" s="144"/>
      <c r="P333" s="144"/>
      <c r="Q333" s="144"/>
    </row>
    <row r="334" spans="1:17" ht="21.25" hidden="1" customHeight="1" thickBot="1">
      <c r="A334" s="311" t="s">
        <v>576</v>
      </c>
      <c r="G334" s="144"/>
      <c r="H334" s="144"/>
      <c r="I334" s="144"/>
      <c r="J334" s="144"/>
      <c r="K334" s="144"/>
      <c r="L334" s="144"/>
      <c r="M334" s="144"/>
      <c r="N334" s="144"/>
      <c r="O334" s="144"/>
      <c r="P334" s="144"/>
      <c r="Q334" s="144"/>
    </row>
    <row r="335" spans="1:17" ht="35.5" hidden="1" customHeight="1">
      <c r="A335" s="1523" t="s">
        <v>482</v>
      </c>
      <c r="B335" s="1524"/>
      <c r="C335" s="1524"/>
      <c r="D335" s="1524"/>
      <c r="E335" s="1524"/>
      <c r="F335" s="1525"/>
      <c r="G335" s="343" t="s">
        <v>498</v>
      </c>
      <c r="H335" s="340"/>
      <c r="I335" s="340" t="s">
        <v>504</v>
      </c>
      <c r="J335" s="1526" t="s">
        <v>425</v>
      </c>
      <c r="K335" s="1528"/>
      <c r="L335" s="1528"/>
      <c r="M335" s="1528"/>
      <c r="N335" s="1528"/>
      <c r="O335" s="1528"/>
      <c r="P335" s="1528"/>
      <c r="Q335" s="1528"/>
    </row>
    <row r="336" spans="1:17" ht="15.5" hidden="1">
      <c r="A336" s="248"/>
      <c r="B336" s="231" t="s">
        <v>192</v>
      </c>
      <c r="C336" s="185"/>
      <c r="D336" s="195"/>
      <c r="E336" s="203"/>
      <c r="F336" s="245"/>
      <c r="G336" s="146"/>
      <c r="H336" s="146"/>
      <c r="I336" s="146"/>
      <c r="J336" s="146"/>
      <c r="K336" s="146"/>
      <c r="L336" s="146"/>
      <c r="M336" s="146"/>
      <c r="N336" s="146"/>
      <c r="O336" s="146"/>
      <c r="P336" s="146"/>
      <c r="Q336" s="146"/>
    </row>
    <row r="337" spans="1:17" ht="16" hidden="1" thickBot="1">
      <c r="A337" s="323">
        <v>77</v>
      </c>
      <c r="B337" s="312"/>
      <c r="C337" s="313" t="s">
        <v>364</v>
      </c>
      <c r="D337" s="308"/>
      <c r="E337" s="317" t="s">
        <v>366</v>
      </c>
      <c r="F337" s="315" t="s">
        <v>159</v>
      </c>
      <c r="G337" s="338" t="s">
        <v>501</v>
      </c>
      <c r="H337" s="344"/>
      <c r="I337" s="344" t="s">
        <v>501</v>
      </c>
      <c r="J337" s="1521" t="s">
        <v>500</v>
      </c>
      <c r="K337" s="1522"/>
      <c r="L337" s="1522"/>
      <c r="M337" s="1522"/>
      <c r="N337" s="1522"/>
      <c r="O337" s="1522"/>
      <c r="P337" s="1522"/>
      <c r="Q337" s="1522"/>
    </row>
    <row r="338" spans="1:17" ht="21.25" hidden="1" customHeight="1">
      <c r="A338" s="210"/>
      <c r="B338" s="263"/>
      <c r="C338" s="212"/>
      <c r="D338" s="195"/>
      <c r="E338" s="194"/>
      <c r="F338" s="212"/>
      <c r="G338" s="181"/>
      <c r="H338" s="181"/>
      <c r="I338" s="181"/>
      <c r="J338" s="335"/>
      <c r="K338" s="332"/>
      <c r="L338" s="332"/>
      <c r="M338" s="332"/>
      <c r="N338" s="332"/>
      <c r="O338" s="332"/>
      <c r="P338" s="332"/>
      <c r="Q338" s="332"/>
    </row>
    <row r="339" spans="1:17" ht="21.25" hidden="1" customHeight="1">
      <c r="G339" s="144"/>
      <c r="H339" s="144"/>
      <c r="I339" s="144"/>
      <c r="J339" s="144"/>
      <c r="K339" s="144"/>
      <c r="L339" s="144"/>
      <c r="M339" s="144"/>
      <c r="N339" s="144"/>
      <c r="O339" s="144"/>
      <c r="P339" s="144"/>
      <c r="Q339" s="144"/>
    </row>
    <row r="340" spans="1:17" ht="21.25" hidden="1" customHeight="1" thickBot="1">
      <c r="A340" s="311" t="s">
        <v>491</v>
      </c>
      <c r="G340" s="144"/>
      <c r="H340" s="144"/>
      <c r="I340" s="144"/>
      <c r="J340" s="144"/>
      <c r="K340" s="144"/>
      <c r="L340" s="144"/>
      <c r="M340" s="144"/>
      <c r="N340" s="144"/>
      <c r="O340" s="144"/>
      <c r="P340" s="144"/>
      <c r="Q340" s="144"/>
    </row>
    <row r="341" spans="1:17" ht="18" hidden="1">
      <c r="A341" s="1523" t="s">
        <v>482</v>
      </c>
      <c r="B341" s="1524"/>
      <c r="C341" s="1524"/>
      <c r="D341" s="1524"/>
      <c r="E341" s="1524"/>
      <c r="F341" s="1524"/>
      <c r="G341" s="343" t="s">
        <v>508</v>
      </c>
      <c r="H341" s="340"/>
      <c r="I341" s="340" t="s">
        <v>509</v>
      </c>
      <c r="J341" s="340" t="s">
        <v>511</v>
      </c>
      <c r="K341" s="340" t="s">
        <v>512</v>
      </c>
      <c r="L341" s="1526" t="s">
        <v>425</v>
      </c>
      <c r="M341" s="1528"/>
      <c r="N341" s="1528"/>
      <c r="O341" s="1528"/>
      <c r="P341" s="1528"/>
      <c r="Q341" s="1528"/>
    </row>
    <row r="342" spans="1:17" ht="15.5" hidden="1">
      <c r="A342" s="239" t="s">
        <v>166</v>
      </c>
      <c r="B342" s="220" t="s">
        <v>280</v>
      </c>
      <c r="C342" s="124"/>
      <c r="D342" s="124"/>
      <c r="E342" s="203"/>
      <c r="F342" s="201"/>
      <c r="G342" s="331"/>
      <c r="H342" s="146"/>
      <c r="I342" s="146"/>
      <c r="J342" s="146"/>
      <c r="K342" s="146"/>
      <c r="L342" s="146"/>
      <c r="M342" s="146"/>
      <c r="N342" s="146"/>
      <c r="O342" s="146"/>
      <c r="P342" s="146"/>
      <c r="Q342" s="146"/>
    </row>
    <row r="343" spans="1:17" ht="15.5" hidden="1">
      <c r="A343" s="239"/>
      <c r="B343" s="220"/>
      <c r="C343" s="124"/>
      <c r="D343" s="124"/>
      <c r="E343" s="203"/>
      <c r="F343" s="201"/>
      <c r="G343" s="333" t="s">
        <v>505</v>
      </c>
      <c r="H343" s="181"/>
      <c r="I343" s="181" t="s">
        <v>505</v>
      </c>
      <c r="J343" s="181" t="s">
        <v>505</v>
      </c>
      <c r="K343" s="181" t="s">
        <v>505</v>
      </c>
      <c r="L343" s="1519" t="s">
        <v>507</v>
      </c>
      <c r="M343" s="1529"/>
      <c r="N343" s="1529"/>
      <c r="O343" s="1529"/>
      <c r="P343" s="1529"/>
      <c r="Q343" s="1529"/>
    </row>
    <row r="344" spans="1:17" ht="16" hidden="1" thickBot="1">
      <c r="A344" s="323">
        <v>125</v>
      </c>
      <c r="B344" s="302"/>
      <c r="C344" s="324" t="s">
        <v>277</v>
      </c>
      <c r="D344" s="325"/>
      <c r="E344" s="304" t="s">
        <v>328</v>
      </c>
      <c r="F344" s="303" t="s">
        <v>467</v>
      </c>
      <c r="G344" s="338" t="s">
        <v>506</v>
      </c>
      <c r="H344" s="344"/>
      <c r="I344" s="344" t="s">
        <v>506</v>
      </c>
      <c r="J344" s="344" t="s">
        <v>506</v>
      </c>
      <c r="K344" s="344" t="s">
        <v>506</v>
      </c>
      <c r="L344" s="1521" t="s">
        <v>500</v>
      </c>
      <c r="M344" s="1530"/>
      <c r="N344" s="1530"/>
      <c r="O344" s="1530"/>
      <c r="P344" s="1530"/>
      <c r="Q344" s="1530"/>
    </row>
    <row r="345" spans="1:17" ht="21.25" hidden="1" customHeight="1">
      <c r="G345" s="144"/>
      <c r="H345" s="144"/>
      <c r="I345" s="144"/>
      <c r="J345" s="144"/>
      <c r="K345" s="144"/>
      <c r="L345" s="144"/>
      <c r="M345" s="144"/>
      <c r="N345" s="144"/>
      <c r="O345" s="144"/>
      <c r="P345" s="144"/>
      <c r="Q345" s="144"/>
    </row>
    <row r="346" spans="1:17" ht="21.25" hidden="1" customHeight="1">
      <c r="G346" s="144"/>
      <c r="H346" s="144"/>
      <c r="I346" s="144"/>
      <c r="J346" s="144"/>
      <c r="K346" s="144"/>
      <c r="L346" s="144"/>
      <c r="M346" s="144"/>
      <c r="N346" s="144"/>
      <c r="O346" s="144"/>
      <c r="P346" s="144"/>
      <c r="Q346" s="144"/>
    </row>
    <row r="347" spans="1:17" ht="21.25" hidden="1" customHeight="1" thickBot="1">
      <c r="A347" s="311" t="s">
        <v>486</v>
      </c>
      <c r="G347" s="144"/>
      <c r="H347" s="144"/>
      <c r="I347" s="144"/>
      <c r="J347" s="144"/>
      <c r="K347" s="144"/>
      <c r="L347" s="144"/>
      <c r="M347" s="144"/>
      <c r="N347" s="144"/>
      <c r="O347" s="144"/>
      <c r="P347" s="144"/>
      <c r="Q347" s="144"/>
    </row>
    <row r="348" spans="1:17" ht="34.5" hidden="1" customHeight="1">
      <c r="A348" s="1523" t="s">
        <v>482</v>
      </c>
      <c r="B348" s="1524"/>
      <c r="C348" s="1524"/>
      <c r="D348" s="1524"/>
      <c r="E348" s="1524"/>
      <c r="F348" s="1525"/>
      <c r="G348" s="343" t="s">
        <v>498</v>
      </c>
      <c r="H348" s="340"/>
      <c r="I348" s="340" t="s">
        <v>513</v>
      </c>
      <c r="J348" s="1526" t="s">
        <v>425</v>
      </c>
      <c r="K348" s="1528"/>
      <c r="L348" s="1528"/>
      <c r="M348" s="1528"/>
      <c r="N348" s="1528"/>
      <c r="O348" s="1528"/>
      <c r="P348" s="1528"/>
      <c r="Q348" s="1528"/>
    </row>
    <row r="349" spans="1:17" ht="15.5" hidden="1">
      <c r="A349" s="248"/>
      <c r="B349" s="231" t="s">
        <v>192</v>
      </c>
      <c r="C349" s="185"/>
      <c r="D349" s="195"/>
      <c r="E349" s="203"/>
      <c r="F349" s="245"/>
      <c r="G349" s="146"/>
      <c r="H349" s="146"/>
      <c r="I349" s="146"/>
      <c r="J349" s="146"/>
      <c r="K349" s="146"/>
      <c r="L349" s="146"/>
      <c r="M349" s="146"/>
      <c r="N349" s="146"/>
      <c r="O349" s="146"/>
      <c r="P349" s="146"/>
      <c r="Q349" s="146"/>
    </row>
    <row r="350" spans="1:17" ht="16" hidden="1" thickBot="1">
      <c r="A350" s="323">
        <v>74</v>
      </c>
      <c r="B350" s="312"/>
      <c r="C350" s="313" t="s">
        <v>364</v>
      </c>
      <c r="D350" s="326"/>
      <c r="E350" s="317" t="s">
        <v>140</v>
      </c>
      <c r="F350" s="315" t="s">
        <v>159</v>
      </c>
      <c r="G350" s="338" t="s">
        <v>501</v>
      </c>
      <c r="H350" s="344"/>
      <c r="I350" s="344" t="s">
        <v>501</v>
      </c>
      <c r="J350" s="1521" t="s">
        <v>500</v>
      </c>
      <c r="K350" s="1522"/>
      <c r="L350" s="1522"/>
      <c r="M350" s="1522"/>
      <c r="N350" s="1522"/>
      <c r="O350" s="1522"/>
      <c r="P350" s="1522"/>
      <c r="Q350" s="1522"/>
    </row>
    <row r="351" spans="1:17" ht="21.25" hidden="1" customHeight="1">
      <c r="G351" s="144"/>
      <c r="H351" s="144"/>
      <c r="I351" s="144"/>
      <c r="J351" s="144"/>
      <c r="K351" s="144"/>
      <c r="L351" s="144"/>
      <c r="M351" s="144"/>
      <c r="N351" s="144"/>
      <c r="O351" s="144"/>
      <c r="P351" s="144"/>
      <c r="Q351" s="144"/>
    </row>
    <row r="352" spans="1:17" ht="21.25" hidden="1" customHeight="1">
      <c r="G352" s="144"/>
      <c r="H352" s="144"/>
      <c r="I352" s="144"/>
      <c r="J352" s="144"/>
      <c r="K352" s="144"/>
      <c r="L352" s="144"/>
      <c r="M352" s="144"/>
      <c r="N352" s="144"/>
      <c r="O352" s="144"/>
      <c r="P352" s="144"/>
      <c r="Q352" s="144"/>
    </row>
    <row r="353" spans="1:17" ht="21.25" hidden="1" customHeight="1" thickBot="1">
      <c r="A353" s="311" t="s">
        <v>487</v>
      </c>
      <c r="G353" s="144"/>
      <c r="H353" s="144"/>
      <c r="I353" s="144"/>
      <c r="J353" s="144"/>
      <c r="K353" s="144"/>
      <c r="L353" s="144"/>
      <c r="M353" s="144"/>
      <c r="N353" s="144"/>
      <c r="O353" s="144"/>
      <c r="P353" s="144"/>
      <c r="Q353" s="144"/>
    </row>
    <row r="354" spans="1:17" ht="71.5" hidden="1" customHeight="1">
      <c r="A354" s="1523" t="s">
        <v>482</v>
      </c>
      <c r="B354" s="1524"/>
      <c r="C354" s="1524"/>
      <c r="D354" s="1524"/>
      <c r="E354" s="1524"/>
      <c r="F354" s="1525"/>
      <c r="G354" s="343" t="str">
        <f>+C356</f>
        <v>Excluded Transmission Facilities</v>
      </c>
      <c r="H354" s="340"/>
      <c r="I354" s="1526" t="s">
        <v>516</v>
      </c>
      <c r="J354" s="1527"/>
      <c r="K354" s="1527"/>
      <c r="L354" s="1527"/>
      <c r="M354" s="1527"/>
      <c r="N354" s="1527"/>
      <c r="O354" s="1527"/>
      <c r="P354" s="1527"/>
      <c r="Q354" s="1527"/>
    </row>
    <row r="355" spans="1:17" ht="18" hidden="1">
      <c r="A355" s="282"/>
      <c r="B355" s="225" t="s">
        <v>195</v>
      </c>
      <c r="C355" s="226"/>
      <c r="D355" s="227"/>
      <c r="E355" s="228"/>
      <c r="F355" s="283"/>
      <c r="G355" s="331"/>
      <c r="H355" s="146"/>
      <c r="I355" s="146"/>
      <c r="J355" s="146"/>
      <c r="K355" s="146"/>
      <c r="L355" s="146"/>
      <c r="M355" s="146"/>
      <c r="N355" s="146"/>
      <c r="O355" s="146"/>
      <c r="P355" s="146"/>
      <c r="Q355" s="146"/>
    </row>
    <row r="356" spans="1:17" ht="18" hidden="1">
      <c r="A356" s="248">
        <v>145</v>
      </c>
      <c r="B356" s="229"/>
      <c r="C356" s="206" t="s">
        <v>196</v>
      </c>
      <c r="D356" s="227"/>
      <c r="E356" s="208" t="s">
        <v>321</v>
      </c>
      <c r="F356" s="249" t="s">
        <v>206</v>
      </c>
      <c r="G356" s="334" t="s">
        <v>517</v>
      </c>
      <c r="H356" s="359"/>
      <c r="I356" s="1519" t="s">
        <v>519</v>
      </c>
      <c r="J356" s="1520"/>
      <c r="K356" s="1520"/>
      <c r="L356" s="1520"/>
      <c r="M356" s="1520"/>
      <c r="N356" s="1520"/>
      <c r="O356" s="1520"/>
      <c r="P356" s="1520"/>
      <c r="Q356" s="1520"/>
    </row>
    <row r="357" spans="1:17" ht="18" hidden="1">
      <c r="A357" s="248"/>
      <c r="B357" s="229"/>
      <c r="C357" s="206"/>
      <c r="D357" s="227"/>
      <c r="E357" s="208"/>
      <c r="F357" s="249"/>
      <c r="G357" s="331"/>
      <c r="H357" s="146"/>
      <c r="I357" s="146"/>
      <c r="J357" s="146"/>
      <c r="K357" s="146"/>
      <c r="L357" s="146"/>
      <c r="M357" s="146"/>
      <c r="N357" s="146"/>
      <c r="O357" s="146"/>
      <c r="P357" s="181"/>
      <c r="Q357" s="146"/>
    </row>
    <row r="358" spans="1:17" ht="18" hidden="1" customHeight="1">
      <c r="A358" s="248"/>
      <c r="B358" s="229"/>
      <c r="C358" s="206"/>
      <c r="D358" s="227"/>
      <c r="E358" s="208"/>
      <c r="F358" s="249"/>
      <c r="G358" s="333" t="s">
        <v>515</v>
      </c>
      <c r="H358" s="181"/>
      <c r="I358" s="1519" t="s">
        <v>520</v>
      </c>
      <c r="J358" s="1520"/>
      <c r="K358" s="1520"/>
      <c r="L358" s="1520"/>
      <c r="M358" s="1520"/>
      <c r="N358" s="1520"/>
      <c r="O358" s="1520"/>
      <c r="P358" s="1520"/>
      <c r="Q358" s="1520"/>
    </row>
    <row r="359" spans="1:17" ht="18" hidden="1" customHeight="1">
      <c r="A359" s="248"/>
      <c r="B359" s="229"/>
      <c r="C359" s="206"/>
      <c r="D359" s="227"/>
      <c r="E359" s="208"/>
      <c r="F359" s="249"/>
      <c r="G359" s="333" t="s">
        <v>515</v>
      </c>
      <c r="H359" s="181"/>
      <c r="I359" s="1519" t="s">
        <v>520</v>
      </c>
      <c r="J359" s="1520"/>
      <c r="K359" s="1520"/>
      <c r="L359" s="1520"/>
      <c r="M359" s="1520"/>
      <c r="N359" s="1520"/>
      <c r="O359" s="1520"/>
      <c r="P359" s="1520"/>
      <c r="Q359" s="1520"/>
    </row>
    <row r="360" spans="1:17" ht="18" hidden="1" customHeight="1">
      <c r="A360" s="248"/>
      <c r="B360" s="229"/>
      <c r="C360" s="206"/>
      <c r="D360" s="227"/>
      <c r="E360" s="208"/>
      <c r="F360" s="249"/>
      <c r="G360" s="333" t="s">
        <v>515</v>
      </c>
      <c r="H360" s="181"/>
      <c r="I360" s="1519" t="s">
        <v>520</v>
      </c>
      <c r="J360" s="1520"/>
      <c r="K360" s="1520"/>
      <c r="L360" s="1520"/>
      <c r="M360" s="1520"/>
      <c r="N360" s="1520"/>
      <c r="O360" s="1520"/>
      <c r="P360" s="1520"/>
      <c r="Q360" s="1520"/>
    </row>
    <row r="361" spans="1:17" ht="18" hidden="1" customHeight="1">
      <c r="A361" s="248"/>
      <c r="B361" s="229"/>
      <c r="C361" s="206"/>
      <c r="D361" s="227"/>
      <c r="E361" s="208"/>
      <c r="F361" s="249"/>
      <c r="G361" s="333" t="s">
        <v>515</v>
      </c>
      <c r="H361" s="181"/>
      <c r="I361" s="1519" t="s">
        <v>520</v>
      </c>
      <c r="J361" s="1520"/>
      <c r="K361" s="1520"/>
      <c r="L361" s="1520"/>
      <c r="M361" s="1520"/>
      <c r="N361" s="1520"/>
      <c r="O361" s="1520"/>
      <c r="P361" s="1520"/>
      <c r="Q361" s="1520"/>
    </row>
    <row r="362" spans="1:17" ht="18" hidden="1" customHeight="1">
      <c r="A362" s="162"/>
      <c r="B362" s="163"/>
      <c r="C362" s="163"/>
      <c r="D362" s="163"/>
      <c r="E362" s="163"/>
      <c r="F362" s="164"/>
      <c r="G362" s="333" t="s">
        <v>515</v>
      </c>
      <c r="H362" s="181"/>
      <c r="I362" s="1519" t="s">
        <v>520</v>
      </c>
      <c r="J362" s="1520"/>
      <c r="K362" s="1520"/>
      <c r="L362" s="1520"/>
      <c r="M362" s="1520"/>
      <c r="N362" s="1520"/>
      <c r="O362" s="1520"/>
      <c r="P362" s="1520"/>
      <c r="Q362" s="1520"/>
    </row>
    <row r="363" spans="1:17" ht="18" hidden="1" customHeight="1">
      <c r="A363" s="162"/>
      <c r="B363" s="163"/>
      <c r="C363" s="163"/>
      <c r="D363" s="163"/>
      <c r="E363" s="163"/>
      <c r="F363" s="164"/>
      <c r="G363" s="333" t="s">
        <v>515</v>
      </c>
      <c r="H363" s="181"/>
      <c r="I363" s="1519" t="s">
        <v>520</v>
      </c>
      <c r="J363" s="1520"/>
      <c r="K363" s="1520"/>
      <c r="L363" s="1520"/>
      <c r="M363" s="1520"/>
      <c r="N363" s="1520"/>
      <c r="O363" s="1520"/>
      <c r="P363" s="1520"/>
      <c r="Q363" s="1520"/>
    </row>
    <row r="364" spans="1:17" ht="18" hidden="1" customHeight="1">
      <c r="A364" s="162"/>
      <c r="B364" s="163"/>
      <c r="C364" s="163"/>
      <c r="D364" s="163"/>
      <c r="E364" s="163"/>
      <c r="F364" s="164"/>
      <c r="G364" s="333" t="s">
        <v>515</v>
      </c>
      <c r="H364" s="181"/>
      <c r="I364" s="1519" t="s">
        <v>520</v>
      </c>
      <c r="J364" s="1520"/>
      <c r="K364" s="1520"/>
      <c r="L364" s="1520"/>
      <c r="M364" s="1520"/>
      <c r="N364" s="1520"/>
      <c r="O364" s="1520"/>
      <c r="P364" s="1520"/>
      <c r="Q364" s="1520"/>
    </row>
    <row r="365" spans="1:17" ht="18" hidden="1" customHeight="1">
      <c r="A365" s="162"/>
      <c r="B365" s="163"/>
      <c r="C365" s="163"/>
      <c r="D365" s="163"/>
      <c r="E365" s="163"/>
      <c r="F365" s="164"/>
      <c r="G365" s="333" t="s">
        <v>515</v>
      </c>
      <c r="H365" s="181"/>
      <c r="I365" s="1519" t="s">
        <v>520</v>
      </c>
      <c r="J365" s="1520"/>
      <c r="K365" s="1520"/>
      <c r="L365" s="1520"/>
      <c r="M365" s="1520"/>
      <c r="N365" s="1520"/>
      <c r="O365" s="1520"/>
      <c r="P365" s="1520"/>
      <c r="Q365" s="1520"/>
    </row>
    <row r="366" spans="1:17" ht="18" hidden="1" customHeight="1">
      <c r="A366" s="162"/>
      <c r="B366" s="163"/>
      <c r="C366" s="163"/>
      <c r="D366" s="163"/>
      <c r="E366" s="163"/>
      <c r="F366" s="164"/>
      <c r="G366" s="333" t="s">
        <v>515</v>
      </c>
      <c r="H366" s="181"/>
      <c r="I366" s="1519" t="s">
        <v>520</v>
      </c>
      <c r="J366" s="1520"/>
      <c r="K366" s="1520"/>
      <c r="L366" s="1520"/>
      <c r="M366" s="1520"/>
      <c r="N366" s="1520"/>
      <c r="O366" s="1520"/>
      <c r="P366" s="1520"/>
      <c r="Q366" s="1520"/>
    </row>
    <row r="367" spans="1:17" ht="18" hidden="1" customHeight="1">
      <c r="A367" s="162"/>
      <c r="B367" s="163"/>
      <c r="C367" s="163"/>
      <c r="D367" s="163"/>
      <c r="E367" s="163"/>
      <c r="F367" s="164"/>
      <c r="G367" s="333" t="s">
        <v>515</v>
      </c>
      <c r="H367" s="181"/>
      <c r="I367" s="1519" t="s">
        <v>520</v>
      </c>
      <c r="J367" s="1520"/>
      <c r="K367" s="1520"/>
      <c r="L367" s="1520"/>
      <c r="M367" s="1520"/>
      <c r="N367" s="1520"/>
      <c r="O367" s="1520"/>
      <c r="P367" s="1520"/>
      <c r="Q367" s="1520"/>
    </row>
    <row r="368" spans="1:17" ht="18" hidden="1" customHeight="1" thickBot="1">
      <c r="A368" s="165"/>
      <c r="B368" s="166"/>
      <c r="C368" s="166"/>
      <c r="D368" s="166"/>
      <c r="E368" s="166"/>
      <c r="F368" s="167"/>
      <c r="G368" s="336"/>
      <c r="H368" s="330"/>
      <c r="I368" s="330"/>
      <c r="J368" s="330"/>
      <c r="K368" s="345" t="s">
        <v>518</v>
      </c>
      <c r="L368" s="330"/>
      <c r="M368" s="330"/>
      <c r="N368" s="330"/>
      <c r="O368" s="330"/>
      <c r="P368" s="330"/>
      <c r="Q368" s="330"/>
    </row>
    <row r="369" spans="1:17" ht="21.25" hidden="1" customHeight="1">
      <c r="A369" s="163"/>
      <c r="B369" s="163"/>
      <c r="C369" s="163"/>
      <c r="D369" s="163"/>
      <c r="E369" s="163"/>
      <c r="F369" s="163"/>
      <c r="G369" s="146"/>
      <c r="H369" s="146"/>
      <c r="I369" s="146"/>
      <c r="J369" s="146"/>
      <c r="K369" s="147"/>
      <c r="L369" s="146"/>
      <c r="M369" s="146"/>
      <c r="N369" s="146"/>
      <c r="O369" s="146"/>
      <c r="P369" s="146"/>
      <c r="Q369" s="146"/>
    </row>
    <row r="370" spans="1:17" ht="21.25" hidden="1" customHeight="1">
      <c r="A370" s="163"/>
      <c r="B370" s="163"/>
      <c r="C370" s="163"/>
      <c r="D370" s="163"/>
      <c r="E370" s="163"/>
      <c r="F370" s="163"/>
      <c r="G370" s="146"/>
      <c r="H370" s="146"/>
      <c r="I370" s="146"/>
      <c r="J370" s="146"/>
      <c r="K370" s="147"/>
      <c r="L370" s="146"/>
      <c r="M370" s="146"/>
      <c r="N370" s="146"/>
      <c r="O370" s="146"/>
      <c r="P370" s="146"/>
      <c r="Q370" s="146"/>
    </row>
    <row r="371" spans="1:17" ht="21.25" hidden="1" customHeight="1" thickBot="1">
      <c r="A371" s="311" t="s">
        <v>485</v>
      </c>
      <c r="G371" s="144"/>
      <c r="H371" s="144"/>
      <c r="I371" s="144"/>
      <c r="J371" s="144"/>
      <c r="K371" s="144"/>
      <c r="L371" s="144"/>
      <c r="M371" s="144"/>
      <c r="N371" s="144"/>
      <c r="O371" s="144"/>
      <c r="P371" s="144"/>
      <c r="Q371" s="144"/>
    </row>
    <row r="372" spans="1:17" ht="51.75" hidden="1" customHeight="1">
      <c r="A372" s="1523" t="s">
        <v>482</v>
      </c>
      <c r="B372" s="1524"/>
      <c r="C372" s="1524"/>
      <c r="D372" s="1524"/>
      <c r="E372" s="1524"/>
      <c r="F372" s="1525"/>
      <c r="G372" s="343" t="str">
        <f>+C374</f>
        <v>Outstanding Network Credits</v>
      </c>
      <c r="H372" s="340"/>
      <c r="I372" s="1526" t="s">
        <v>523</v>
      </c>
      <c r="J372" s="1527"/>
      <c r="K372" s="1527"/>
      <c r="L372" s="1527"/>
      <c r="M372" s="1527"/>
      <c r="N372" s="1527"/>
      <c r="O372" s="1527"/>
      <c r="P372" s="1527"/>
      <c r="Q372" s="1527"/>
    </row>
    <row r="373" spans="1:17" ht="15.5" hidden="1">
      <c r="A373" s="269"/>
      <c r="B373" s="204" t="s">
        <v>469</v>
      </c>
      <c r="C373" s="270"/>
      <c r="D373" s="211"/>
      <c r="E373" s="271"/>
      <c r="F373" s="238"/>
      <c r="G373" s="331"/>
      <c r="H373" s="146"/>
      <c r="I373" s="146"/>
      <c r="J373" s="146"/>
      <c r="K373" s="146"/>
      <c r="L373" s="146"/>
      <c r="M373" s="146"/>
      <c r="N373" s="146"/>
      <c r="O373" s="146"/>
      <c r="P373" s="146"/>
      <c r="Q373" s="146"/>
    </row>
    <row r="374" spans="1:17" ht="15.5" hidden="1">
      <c r="A374" s="248">
        <f>+A94</f>
        <v>55</v>
      </c>
      <c r="B374" s="229"/>
      <c r="C374" s="229" t="str">
        <f>+C94</f>
        <v>Outstanding Network Credits</v>
      </c>
      <c r="D374" s="229"/>
      <c r="E374" s="277" t="str">
        <f>+E94</f>
        <v>(Note N)</v>
      </c>
      <c r="F374" s="327" t="str">
        <f>+F94</f>
        <v>From PJM</v>
      </c>
      <c r="G374" s="334" t="s">
        <v>517</v>
      </c>
      <c r="H374" s="359"/>
      <c r="I374" s="1519" t="s">
        <v>521</v>
      </c>
      <c r="J374" s="1520"/>
      <c r="K374" s="1520"/>
      <c r="L374" s="1520"/>
      <c r="M374" s="1520"/>
      <c r="N374" s="1520"/>
      <c r="O374" s="1520"/>
      <c r="P374" s="1520"/>
      <c r="Q374" s="1520"/>
    </row>
    <row r="375" spans="1:17" ht="15.5" hidden="1">
      <c r="A375" s="248"/>
      <c r="B375" s="229"/>
      <c r="C375" s="229"/>
      <c r="D375" s="229"/>
      <c r="E375" s="277"/>
      <c r="F375" s="327"/>
      <c r="G375" s="331"/>
      <c r="H375" s="146"/>
      <c r="I375" s="146"/>
      <c r="J375" s="146"/>
      <c r="K375" s="146"/>
      <c r="L375" s="146"/>
      <c r="M375" s="146"/>
      <c r="N375" s="146"/>
      <c r="O375" s="146"/>
      <c r="P375" s="181"/>
      <c r="Q375" s="146"/>
    </row>
    <row r="376" spans="1:17" ht="15.5" hidden="1">
      <c r="A376" s="248"/>
      <c r="B376" s="229"/>
      <c r="C376" s="229"/>
      <c r="D376" s="229"/>
      <c r="E376" s="277"/>
      <c r="F376" s="327"/>
      <c r="G376" s="333" t="s">
        <v>515</v>
      </c>
      <c r="H376" s="181"/>
      <c r="I376" s="1519" t="s">
        <v>522</v>
      </c>
      <c r="J376" s="1520"/>
      <c r="K376" s="1520"/>
      <c r="L376" s="1520"/>
      <c r="M376" s="1520"/>
      <c r="N376" s="1520"/>
      <c r="O376" s="1520"/>
      <c r="P376" s="1520"/>
      <c r="Q376" s="1520"/>
    </row>
    <row r="377" spans="1:17" ht="15.75" hidden="1" customHeight="1">
      <c r="A377" s="248"/>
      <c r="B377" s="229"/>
      <c r="C377" s="229"/>
      <c r="D377" s="229"/>
      <c r="E377" s="277"/>
      <c r="F377" s="327"/>
      <c r="G377" s="333" t="s">
        <v>515</v>
      </c>
      <c r="H377" s="181"/>
      <c r="I377" s="1519" t="s">
        <v>522</v>
      </c>
      <c r="J377" s="1520"/>
      <c r="K377" s="1520"/>
      <c r="L377" s="1520"/>
      <c r="M377" s="1520"/>
      <c r="N377" s="1520"/>
      <c r="O377" s="1520"/>
      <c r="P377" s="1520"/>
      <c r="Q377" s="1520"/>
    </row>
    <row r="378" spans="1:17" ht="15.75" hidden="1" customHeight="1">
      <c r="A378" s="248"/>
      <c r="B378" s="229"/>
      <c r="C378" s="229"/>
      <c r="D378" s="229"/>
      <c r="E378" s="277"/>
      <c r="F378" s="327"/>
      <c r="G378" s="333" t="s">
        <v>515</v>
      </c>
      <c r="H378" s="181"/>
      <c r="I378" s="1519" t="s">
        <v>522</v>
      </c>
      <c r="J378" s="1520"/>
      <c r="K378" s="1520"/>
      <c r="L378" s="1520"/>
      <c r="M378" s="1520"/>
      <c r="N378" s="1520"/>
      <c r="O378" s="1520"/>
      <c r="P378" s="1520"/>
      <c r="Q378" s="1520"/>
    </row>
    <row r="379" spans="1:17" ht="15.75" hidden="1" customHeight="1">
      <c r="A379" s="248"/>
      <c r="B379" s="229"/>
      <c r="C379" s="229"/>
      <c r="D379" s="229"/>
      <c r="E379" s="277"/>
      <c r="F379" s="327"/>
      <c r="G379" s="333" t="s">
        <v>515</v>
      </c>
      <c r="H379" s="181"/>
      <c r="I379" s="1519" t="s">
        <v>522</v>
      </c>
      <c r="J379" s="1520"/>
      <c r="K379" s="1520"/>
      <c r="L379" s="1520"/>
      <c r="M379" s="1520"/>
      <c r="N379" s="1520"/>
      <c r="O379" s="1520"/>
      <c r="P379" s="1520"/>
      <c r="Q379" s="1520"/>
    </row>
    <row r="380" spans="1:17" ht="15.75" hidden="1" customHeight="1">
      <c r="A380" s="248"/>
      <c r="B380" s="229"/>
      <c r="C380" s="229"/>
      <c r="D380" s="229"/>
      <c r="E380" s="277"/>
      <c r="F380" s="327"/>
      <c r="G380" s="333" t="s">
        <v>515</v>
      </c>
      <c r="H380" s="181"/>
      <c r="I380" s="1519" t="s">
        <v>522</v>
      </c>
      <c r="J380" s="1520"/>
      <c r="K380" s="1520"/>
      <c r="L380" s="1520"/>
      <c r="M380" s="1520"/>
      <c r="N380" s="1520"/>
      <c r="O380" s="1520"/>
      <c r="P380" s="1520"/>
      <c r="Q380" s="1520"/>
    </row>
    <row r="381" spans="1:17" ht="15.75" hidden="1" customHeight="1">
      <c r="A381" s="248"/>
      <c r="B381" s="229"/>
      <c r="C381" s="229"/>
      <c r="D381" s="229"/>
      <c r="E381" s="277"/>
      <c r="F381" s="327"/>
      <c r="G381" s="333" t="s">
        <v>515</v>
      </c>
      <c r="H381" s="181"/>
      <c r="I381" s="1519" t="s">
        <v>522</v>
      </c>
      <c r="J381" s="1520"/>
      <c r="K381" s="1520"/>
      <c r="L381" s="1520"/>
      <c r="M381" s="1520"/>
      <c r="N381" s="1520"/>
      <c r="O381" s="1520"/>
      <c r="P381" s="1520"/>
      <c r="Q381" s="1520"/>
    </row>
    <row r="382" spans="1:17" ht="15.75" hidden="1" customHeight="1">
      <c r="A382" s="248"/>
      <c r="B382" s="229"/>
      <c r="C382" s="229"/>
      <c r="D382" s="229"/>
      <c r="E382" s="277"/>
      <c r="F382" s="327"/>
      <c r="G382" s="333" t="s">
        <v>515</v>
      </c>
      <c r="H382" s="181"/>
      <c r="I382" s="1519" t="s">
        <v>522</v>
      </c>
      <c r="J382" s="1520"/>
      <c r="K382" s="1520"/>
      <c r="L382" s="1520"/>
      <c r="M382" s="1520"/>
      <c r="N382" s="1520"/>
      <c r="O382" s="1520"/>
      <c r="P382" s="1520"/>
      <c r="Q382" s="1520"/>
    </row>
    <row r="383" spans="1:17" ht="16" hidden="1" thickBot="1">
      <c r="A383" s="301"/>
      <c r="B383" s="306"/>
      <c r="C383" s="306"/>
      <c r="D383" s="306"/>
      <c r="E383" s="314"/>
      <c r="F383" s="328"/>
      <c r="G383" s="336"/>
      <c r="H383" s="330"/>
      <c r="I383" s="330"/>
      <c r="J383" s="330"/>
      <c r="K383" s="345" t="s">
        <v>518</v>
      </c>
      <c r="L383" s="330"/>
      <c r="M383" s="330"/>
      <c r="N383" s="330"/>
      <c r="O383" s="330"/>
      <c r="P383" s="330"/>
      <c r="Q383" s="330"/>
    </row>
    <row r="384" spans="1:17" ht="21.25" hidden="1" customHeight="1">
      <c r="A384" s="229"/>
      <c r="B384" s="229"/>
      <c r="C384" s="229"/>
      <c r="D384" s="229"/>
      <c r="E384" s="277"/>
      <c r="F384" s="229"/>
      <c r="G384" s="146"/>
      <c r="H384" s="146"/>
      <c r="I384" s="146"/>
      <c r="J384" s="146"/>
      <c r="K384" s="147"/>
      <c r="L384" s="146"/>
      <c r="M384" s="146"/>
      <c r="N384" s="146"/>
      <c r="O384" s="146"/>
      <c r="P384" s="146"/>
      <c r="Q384" s="146"/>
    </row>
    <row r="385" spans="1:17" ht="21.25" hidden="1" customHeight="1">
      <c r="A385" s="229"/>
      <c r="B385" s="229"/>
      <c r="C385" s="229"/>
      <c r="D385" s="229"/>
      <c r="E385" s="277"/>
      <c r="F385" s="229"/>
      <c r="G385" s="146"/>
      <c r="H385" s="146"/>
      <c r="I385" s="146"/>
      <c r="J385" s="146"/>
      <c r="K385" s="147"/>
      <c r="L385" s="146"/>
      <c r="M385" s="146"/>
      <c r="N385" s="146"/>
      <c r="O385" s="146"/>
      <c r="P385" s="146"/>
      <c r="Q385" s="146"/>
    </row>
    <row r="386" spans="1:17" ht="21.25" hidden="1" customHeight="1">
      <c r="A386" s="229"/>
      <c r="B386" s="229"/>
      <c r="C386" s="229"/>
      <c r="D386" s="229"/>
      <c r="E386" s="277"/>
      <c r="F386" s="229"/>
      <c r="G386" s="146"/>
      <c r="H386" s="146"/>
      <c r="I386" s="146"/>
      <c r="J386" s="146"/>
      <c r="K386" s="147"/>
      <c r="L386" s="146"/>
      <c r="M386" s="146"/>
      <c r="N386" s="146"/>
      <c r="O386" s="146"/>
      <c r="P386" s="146"/>
      <c r="Q386" s="146"/>
    </row>
    <row r="387" spans="1:17" ht="21.25" hidden="1" customHeight="1" thickBot="1">
      <c r="A387" s="311" t="s">
        <v>525</v>
      </c>
      <c r="G387" s="144"/>
      <c r="H387" s="144"/>
      <c r="I387" s="144"/>
      <c r="J387" s="144"/>
      <c r="K387" s="144"/>
      <c r="L387" s="144"/>
      <c r="M387" s="144"/>
      <c r="N387" s="144"/>
      <c r="O387" s="144"/>
      <c r="P387" s="144"/>
      <c r="Q387" s="144"/>
    </row>
    <row r="388" spans="1:17" ht="50.25" hidden="1" customHeight="1">
      <c r="A388" s="1523" t="s">
        <v>482</v>
      </c>
      <c r="B388" s="1524"/>
      <c r="C388" s="1524"/>
      <c r="D388" s="1524"/>
      <c r="E388" s="1524"/>
      <c r="F388" s="1525"/>
      <c r="G388" s="343" t="str">
        <f>+C390</f>
        <v>Interest on Network Credits</v>
      </c>
      <c r="H388" s="340"/>
      <c r="I388" s="1526" t="s">
        <v>526</v>
      </c>
      <c r="J388" s="1527"/>
      <c r="K388" s="1527"/>
      <c r="L388" s="1527"/>
      <c r="M388" s="1527"/>
      <c r="N388" s="1527"/>
      <c r="O388" s="1527"/>
      <c r="P388" s="1527"/>
      <c r="Q388" s="1527"/>
    </row>
    <row r="389" spans="1:17" ht="21.25" hidden="1" customHeight="1">
      <c r="A389" s="248"/>
      <c r="B389" s="204" t="str">
        <f>+B245</f>
        <v>Revenue Credits &amp; Interest on Network Credits</v>
      </c>
      <c r="C389" s="229"/>
      <c r="D389" s="229"/>
      <c r="E389" s="229"/>
      <c r="F389" s="327"/>
      <c r="G389" s="331"/>
      <c r="H389" s="146"/>
      <c r="I389" s="146"/>
      <c r="J389" s="146"/>
      <c r="K389" s="146"/>
      <c r="L389" s="146"/>
      <c r="M389" s="146"/>
      <c r="N389" s="146"/>
      <c r="O389" s="146"/>
      <c r="P389" s="146"/>
      <c r="Q389" s="146"/>
    </row>
    <row r="390" spans="1:17" ht="21.25" hidden="1" customHeight="1">
      <c r="A390" s="248">
        <f>+A247</f>
        <v>154</v>
      </c>
      <c r="B390" s="229"/>
      <c r="C390" s="229" t="str">
        <f>+C247</f>
        <v>Interest on Network Credits</v>
      </c>
      <c r="D390" s="229"/>
      <c r="E390" s="277" t="str">
        <f>+E247</f>
        <v>(Note N)</v>
      </c>
      <c r="F390" s="327" t="str">
        <f>+F247</f>
        <v>PJM Data</v>
      </c>
      <c r="G390" s="334" t="s">
        <v>517</v>
      </c>
      <c r="H390" s="359"/>
      <c r="I390" s="1519" t="s">
        <v>521</v>
      </c>
      <c r="J390" s="1520"/>
      <c r="K390" s="1520"/>
      <c r="L390" s="1520"/>
      <c r="M390" s="1520"/>
      <c r="N390" s="1520"/>
      <c r="O390" s="1520"/>
      <c r="P390" s="1520"/>
      <c r="Q390" s="1520"/>
    </row>
    <row r="391" spans="1:17" ht="21.25" hidden="1" customHeight="1">
      <c r="A391" s="248"/>
      <c r="B391" s="229"/>
      <c r="C391" s="229"/>
      <c r="D391" s="229"/>
      <c r="E391" s="277"/>
      <c r="F391" s="327"/>
      <c r="G391" s="331"/>
      <c r="H391" s="146"/>
      <c r="I391" s="146"/>
      <c r="J391" s="146"/>
      <c r="K391" s="146"/>
      <c r="L391" s="146"/>
      <c r="M391" s="146"/>
      <c r="N391" s="146"/>
      <c r="O391" s="146"/>
      <c r="P391" s="181"/>
      <c r="Q391" s="146"/>
    </row>
    <row r="392" spans="1:17" ht="21.25" hidden="1" customHeight="1">
      <c r="A392" s="248"/>
      <c r="B392" s="229"/>
      <c r="C392" s="229"/>
      <c r="D392" s="229"/>
      <c r="E392" s="277"/>
      <c r="F392" s="327"/>
      <c r="G392" s="333" t="s">
        <v>515</v>
      </c>
      <c r="H392" s="181"/>
      <c r="I392" s="1519" t="s">
        <v>527</v>
      </c>
      <c r="J392" s="1520"/>
      <c r="K392" s="1520"/>
      <c r="L392" s="1520"/>
      <c r="M392" s="1520"/>
      <c r="N392" s="1520"/>
      <c r="O392" s="1520"/>
      <c r="P392" s="1520"/>
      <c r="Q392" s="1520"/>
    </row>
    <row r="393" spans="1:17" ht="21.25" hidden="1" customHeight="1">
      <c r="A393" s="248"/>
      <c r="B393" s="229"/>
      <c r="C393" s="229"/>
      <c r="D393" s="229"/>
      <c r="E393" s="277"/>
      <c r="F393" s="327"/>
      <c r="G393" s="333" t="s">
        <v>515</v>
      </c>
      <c r="H393" s="181"/>
      <c r="I393" s="1519" t="s">
        <v>527</v>
      </c>
      <c r="J393" s="1520"/>
      <c r="K393" s="1520"/>
      <c r="L393" s="1520"/>
      <c r="M393" s="1520"/>
      <c r="N393" s="1520"/>
      <c r="O393" s="1520"/>
      <c r="P393" s="1520"/>
      <c r="Q393" s="1520"/>
    </row>
    <row r="394" spans="1:17" ht="21.25" hidden="1" customHeight="1">
      <c r="A394" s="248"/>
      <c r="B394" s="229"/>
      <c r="C394" s="229"/>
      <c r="D394" s="229"/>
      <c r="E394" s="277"/>
      <c r="F394" s="327"/>
      <c r="G394" s="333" t="s">
        <v>515</v>
      </c>
      <c r="H394" s="181"/>
      <c r="I394" s="1519" t="s">
        <v>527</v>
      </c>
      <c r="J394" s="1520"/>
      <c r="K394" s="1520"/>
      <c r="L394" s="1520"/>
      <c r="M394" s="1520"/>
      <c r="N394" s="1520"/>
      <c r="O394" s="1520"/>
      <c r="P394" s="1520"/>
      <c r="Q394" s="1520"/>
    </row>
    <row r="395" spans="1:17" ht="21.25" hidden="1" customHeight="1">
      <c r="A395" s="248"/>
      <c r="B395" s="229"/>
      <c r="C395" s="229"/>
      <c r="D395" s="229"/>
      <c r="E395" s="277"/>
      <c r="F395" s="327"/>
      <c r="G395" s="333" t="s">
        <v>515</v>
      </c>
      <c r="H395" s="181"/>
      <c r="I395" s="1519" t="s">
        <v>527</v>
      </c>
      <c r="J395" s="1520"/>
      <c r="K395" s="1520"/>
      <c r="L395" s="1520"/>
      <c r="M395" s="1520"/>
      <c r="N395" s="1520"/>
      <c r="O395" s="1520"/>
      <c r="P395" s="1520"/>
      <c r="Q395" s="1520"/>
    </row>
    <row r="396" spans="1:17" ht="21.25" hidden="1" customHeight="1">
      <c r="A396" s="248"/>
      <c r="B396" s="229"/>
      <c r="C396" s="229"/>
      <c r="D396" s="229"/>
      <c r="E396" s="277"/>
      <c r="F396" s="327"/>
      <c r="G396" s="333" t="s">
        <v>515</v>
      </c>
      <c r="H396" s="181"/>
      <c r="I396" s="1519" t="s">
        <v>527</v>
      </c>
      <c r="J396" s="1520"/>
      <c r="K396" s="1520"/>
      <c r="L396" s="1520"/>
      <c r="M396" s="1520"/>
      <c r="N396" s="1520"/>
      <c r="O396" s="1520"/>
      <c r="P396" s="1520"/>
      <c r="Q396" s="1520"/>
    </row>
    <row r="397" spans="1:17" ht="21.25" hidden="1" customHeight="1">
      <c r="A397" s="248"/>
      <c r="B397" s="229"/>
      <c r="C397" s="229"/>
      <c r="D397" s="229"/>
      <c r="E397" s="277"/>
      <c r="F397" s="327"/>
      <c r="G397" s="333" t="s">
        <v>515</v>
      </c>
      <c r="H397" s="181"/>
      <c r="I397" s="1519" t="s">
        <v>527</v>
      </c>
      <c r="J397" s="1520"/>
      <c r="K397" s="1520"/>
      <c r="L397" s="1520"/>
      <c r="M397" s="1520"/>
      <c r="N397" s="1520"/>
      <c r="O397" s="1520"/>
      <c r="P397" s="1520"/>
      <c r="Q397" s="1520"/>
    </row>
    <row r="398" spans="1:17" ht="21.25" hidden="1" customHeight="1">
      <c r="A398" s="248"/>
      <c r="B398" s="229"/>
      <c r="C398" s="229"/>
      <c r="D398" s="229"/>
      <c r="E398" s="277"/>
      <c r="F398" s="327"/>
      <c r="G398" s="333" t="s">
        <v>515</v>
      </c>
      <c r="H398" s="181"/>
      <c r="I398" s="1519" t="s">
        <v>527</v>
      </c>
      <c r="J398" s="1520"/>
      <c r="K398" s="1520"/>
      <c r="L398" s="1520"/>
      <c r="M398" s="1520"/>
      <c r="N398" s="1520"/>
      <c r="O398" s="1520"/>
      <c r="P398" s="1520"/>
      <c r="Q398" s="1520"/>
    </row>
    <row r="399" spans="1:17" ht="21.25" hidden="1" customHeight="1">
      <c r="A399" s="248"/>
      <c r="B399" s="229"/>
      <c r="C399" s="229"/>
      <c r="D399" s="229"/>
      <c r="E399" s="277"/>
      <c r="F399" s="327"/>
      <c r="G399" s="333" t="s">
        <v>515</v>
      </c>
      <c r="H399" s="181"/>
      <c r="I399" s="1519" t="s">
        <v>527</v>
      </c>
      <c r="J399" s="1520"/>
      <c r="K399" s="1520"/>
      <c r="L399" s="1520"/>
      <c r="M399" s="1520"/>
      <c r="N399" s="1520"/>
      <c r="O399" s="1520"/>
      <c r="P399" s="1520"/>
      <c r="Q399" s="1520"/>
    </row>
    <row r="400" spans="1:17" ht="21.25" hidden="1" customHeight="1">
      <c r="A400" s="248"/>
      <c r="B400" s="229"/>
      <c r="C400" s="229"/>
      <c r="D400" s="229"/>
      <c r="E400" s="277"/>
      <c r="F400" s="327"/>
      <c r="G400" s="333" t="s">
        <v>515</v>
      </c>
      <c r="H400" s="181"/>
      <c r="I400" s="1519" t="s">
        <v>527</v>
      </c>
      <c r="J400" s="1520"/>
      <c r="K400" s="1520"/>
      <c r="L400" s="1520"/>
      <c r="M400" s="1520"/>
      <c r="N400" s="1520"/>
      <c r="O400" s="1520"/>
      <c r="P400" s="1520"/>
      <c r="Q400" s="1520"/>
    </row>
    <row r="401" spans="1:17" ht="21.25" hidden="1" customHeight="1">
      <c r="A401" s="248"/>
      <c r="B401" s="229"/>
      <c r="C401" s="229"/>
      <c r="D401" s="229"/>
      <c r="E401" s="277"/>
      <c r="F401" s="327"/>
      <c r="G401" s="333" t="s">
        <v>515</v>
      </c>
      <c r="H401" s="181"/>
      <c r="I401" s="1519" t="s">
        <v>527</v>
      </c>
      <c r="J401" s="1520"/>
      <c r="K401" s="1520"/>
      <c r="L401" s="1520"/>
      <c r="M401" s="1520"/>
      <c r="N401" s="1520"/>
      <c r="O401" s="1520"/>
      <c r="P401" s="1520"/>
      <c r="Q401" s="1520"/>
    </row>
    <row r="402" spans="1:17" ht="21.25" hidden="1" customHeight="1" thickBot="1">
      <c r="A402" s="301"/>
      <c r="B402" s="306"/>
      <c r="C402" s="306"/>
      <c r="D402" s="306"/>
      <c r="E402" s="314"/>
      <c r="F402" s="328"/>
      <c r="G402" s="336"/>
      <c r="H402" s="330"/>
      <c r="I402" s="330"/>
      <c r="J402" s="330"/>
      <c r="K402" s="345" t="s">
        <v>518</v>
      </c>
      <c r="L402" s="330"/>
      <c r="M402" s="330"/>
      <c r="N402" s="330"/>
      <c r="O402" s="330"/>
      <c r="P402" s="330"/>
      <c r="Q402" s="330"/>
    </row>
    <row r="403" spans="1:17" ht="21.25" hidden="1" customHeight="1">
      <c r="A403" s="229"/>
      <c r="B403" s="229"/>
      <c r="C403" s="229"/>
      <c r="D403" s="229"/>
      <c r="E403" s="277"/>
      <c r="F403" s="229"/>
      <c r="G403" s="146"/>
      <c r="H403" s="146"/>
      <c r="I403" s="146"/>
      <c r="J403" s="146"/>
      <c r="K403" s="147"/>
      <c r="L403" s="146"/>
      <c r="M403" s="146"/>
      <c r="N403" s="146"/>
      <c r="O403" s="146"/>
      <c r="P403" s="146"/>
      <c r="Q403" s="146"/>
    </row>
    <row r="404" spans="1:17" ht="21.25" hidden="1" customHeight="1">
      <c r="G404" s="144"/>
      <c r="H404" s="144"/>
      <c r="I404" s="144"/>
      <c r="J404" s="144"/>
      <c r="K404" s="144"/>
      <c r="L404" s="144"/>
      <c r="M404" s="144"/>
      <c r="N404" s="144"/>
      <c r="O404" s="144"/>
      <c r="P404" s="144"/>
      <c r="Q404" s="144"/>
    </row>
    <row r="405" spans="1:17" ht="21.25" hidden="1" customHeight="1" thickBot="1">
      <c r="A405" s="311" t="s">
        <v>493</v>
      </c>
      <c r="G405" s="144"/>
      <c r="H405" s="144"/>
      <c r="I405" s="144"/>
      <c r="J405" s="144"/>
      <c r="K405" s="144"/>
      <c r="L405" s="144"/>
      <c r="M405" s="144"/>
      <c r="N405" s="144"/>
      <c r="O405" s="144"/>
      <c r="P405" s="144"/>
      <c r="Q405" s="144"/>
    </row>
    <row r="406" spans="1:17" ht="21.25" hidden="1" customHeight="1">
      <c r="A406" s="1523" t="s">
        <v>482</v>
      </c>
      <c r="B406" s="1524"/>
      <c r="C406" s="1524"/>
      <c r="D406" s="1524"/>
      <c r="E406" s="1524"/>
      <c r="F406" s="1525"/>
      <c r="G406" s="343" t="str">
        <f>+C408</f>
        <v>1 CP Peak</v>
      </c>
      <c r="H406" s="340"/>
      <c r="I406" s="1526" t="s">
        <v>524</v>
      </c>
      <c r="J406" s="1527"/>
      <c r="K406" s="1527"/>
      <c r="L406" s="1527"/>
      <c r="M406" s="1527"/>
      <c r="N406" s="1527"/>
      <c r="O406" s="1527"/>
      <c r="P406" s="1527"/>
      <c r="Q406" s="1527"/>
    </row>
    <row r="407" spans="1:17" ht="15.5" hidden="1">
      <c r="A407" s="248"/>
      <c r="B407" s="225" t="s">
        <v>479</v>
      </c>
      <c r="C407" s="185"/>
      <c r="D407" s="185"/>
      <c r="E407" s="186"/>
      <c r="F407" s="245"/>
      <c r="G407" s="331"/>
      <c r="H407" s="146"/>
      <c r="I407" s="146"/>
      <c r="J407" s="146"/>
      <c r="K407" s="146"/>
      <c r="L407" s="146"/>
      <c r="M407" s="146"/>
      <c r="N407" s="146"/>
      <c r="O407" s="146"/>
      <c r="P407" s="146"/>
      <c r="Q407" s="146"/>
    </row>
    <row r="408" spans="1:17" ht="16" hidden="1" thickBot="1">
      <c r="A408" s="301">
        <v>167</v>
      </c>
      <c r="B408" s="302"/>
      <c r="C408" s="303" t="s">
        <v>286</v>
      </c>
      <c r="D408" s="303"/>
      <c r="E408" s="304" t="s">
        <v>349</v>
      </c>
      <c r="F408" s="305" t="s">
        <v>481</v>
      </c>
      <c r="G408" s="338" t="s">
        <v>501</v>
      </c>
      <c r="H408" s="344"/>
      <c r="I408" s="1521" t="str">
        <f>+I406</f>
        <v xml:space="preserve">Description &amp; PJM Documentation </v>
      </c>
      <c r="J408" s="1522"/>
      <c r="K408" s="1522"/>
      <c r="L408" s="1522"/>
      <c r="M408" s="1522"/>
      <c r="N408" s="1522"/>
      <c r="O408" s="1522"/>
      <c r="P408" s="1522"/>
      <c r="Q408" s="1522"/>
    </row>
    <row r="409" spans="1:17" ht="13" hidden="1">
      <c r="G409" s="144"/>
      <c r="H409" s="144"/>
      <c r="I409" s="144"/>
      <c r="J409" s="144"/>
      <c r="K409" s="144"/>
      <c r="L409" s="144"/>
      <c r="M409" s="144"/>
      <c r="N409" s="144"/>
      <c r="O409" s="144"/>
      <c r="P409" s="144"/>
      <c r="Q409" s="144"/>
    </row>
    <row r="410" spans="1:17" ht="13" hidden="1">
      <c r="G410" s="144"/>
      <c r="H410" s="144"/>
      <c r="I410" s="144"/>
      <c r="J410" s="144"/>
      <c r="K410" s="144"/>
      <c r="L410" s="144"/>
      <c r="M410" s="144"/>
      <c r="N410" s="144"/>
      <c r="O410" s="144"/>
      <c r="P410" s="144"/>
      <c r="Q410" s="144"/>
    </row>
    <row r="411" spans="1:17" ht="13" hidden="1">
      <c r="G411" s="144"/>
      <c r="H411" s="144"/>
      <c r="I411" s="144"/>
      <c r="J411" s="144"/>
      <c r="K411" s="144"/>
      <c r="L411" s="144"/>
      <c r="M411" s="144"/>
      <c r="N411" s="144"/>
      <c r="O411" s="144"/>
      <c r="P411" s="144"/>
      <c r="Q411" s="144"/>
    </row>
    <row r="412" spans="1:17" ht="13" hidden="1">
      <c r="G412" s="144"/>
      <c r="H412" s="144"/>
      <c r="I412" s="144"/>
      <c r="J412" s="144"/>
      <c r="K412" s="144"/>
      <c r="L412" s="144"/>
      <c r="M412" s="144"/>
      <c r="N412" s="144"/>
      <c r="O412" s="144"/>
      <c r="P412" s="144"/>
      <c r="Q412" s="144"/>
    </row>
    <row r="413" spans="1:17" ht="13" hidden="1">
      <c r="G413" s="144"/>
      <c r="H413" s="144"/>
      <c r="I413" s="144"/>
      <c r="J413" s="144"/>
      <c r="K413" s="144"/>
      <c r="L413" s="144"/>
      <c r="M413" s="144"/>
      <c r="N413" s="144"/>
      <c r="O413" s="144"/>
      <c r="P413" s="144"/>
      <c r="Q413" s="144"/>
    </row>
    <row r="414" spans="1:17" ht="13" hidden="1">
      <c r="G414" s="144"/>
      <c r="H414" s="144"/>
      <c r="I414" s="144"/>
      <c r="J414" s="144"/>
      <c r="K414" s="144"/>
      <c r="L414" s="144"/>
      <c r="M414" s="144"/>
      <c r="N414" s="144"/>
      <c r="O414" s="144"/>
      <c r="P414" s="144"/>
      <c r="Q414" s="144"/>
    </row>
    <row r="415" spans="1:17" ht="13" hidden="1">
      <c r="G415" s="144"/>
      <c r="H415" s="144"/>
      <c r="I415" s="144"/>
      <c r="J415" s="144"/>
      <c r="K415" s="144"/>
      <c r="L415" s="144"/>
      <c r="M415" s="144"/>
      <c r="N415" s="144"/>
      <c r="O415" s="144"/>
      <c r="P415" s="144"/>
      <c r="Q415" s="144"/>
    </row>
    <row r="416" spans="1:17" ht="13" hidden="1">
      <c r="G416" s="144"/>
      <c r="H416" s="144"/>
      <c r="I416" s="144"/>
      <c r="J416" s="144"/>
      <c r="K416" s="144"/>
      <c r="L416" s="144"/>
      <c r="M416" s="144"/>
      <c r="N416" s="144"/>
      <c r="O416" s="144"/>
      <c r="P416" s="144"/>
      <c r="Q416" s="144"/>
    </row>
    <row r="417" spans="3:17" ht="13">
      <c r="G417" s="144"/>
      <c r="H417" s="144"/>
      <c r="I417" s="144"/>
      <c r="J417" s="144"/>
      <c r="K417" s="144"/>
      <c r="L417" s="144"/>
      <c r="M417" s="144"/>
      <c r="N417" s="144"/>
      <c r="O417" s="144"/>
      <c r="P417" s="144"/>
      <c r="Q417" s="144"/>
    </row>
    <row r="418" spans="3:17" ht="13">
      <c r="G418" s="144"/>
      <c r="H418" s="144"/>
      <c r="I418" s="144"/>
      <c r="J418" s="144"/>
      <c r="K418" s="144"/>
      <c r="L418" s="144"/>
      <c r="M418" s="144"/>
      <c r="N418" s="144"/>
      <c r="O418" s="144"/>
      <c r="P418" s="144"/>
      <c r="Q418" s="144"/>
    </row>
    <row r="419" spans="3:17" ht="20">
      <c r="C419" s="346"/>
      <c r="G419" s="144"/>
      <c r="H419" s="144"/>
      <c r="I419" s="144"/>
      <c r="J419" s="144"/>
      <c r="K419" s="144"/>
      <c r="L419" s="144"/>
      <c r="M419" s="144"/>
      <c r="N419" s="144"/>
      <c r="O419" s="144"/>
      <c r="P419" s="144"/>
      <c r="Q419" s="144"/>
    </row>
    <row r="420" spans="3:17" ht="20">
      <c r="C420" s="346"/>
      <c r="G420" s="144"/>
      <c r="H420" s="144"/>
      <c r="I420" s="144"/>
      <c r="J420" s="144"/>
      <c r="K420" s="144"/>
      <c r="L420" s="144"/>
      <c r="M420" s="144"/>
      <c r="N420" s="144"/>
      <c r="O420" s="144"/>
      <c r="P420" s="144"/>
      <c r="Q420" s="144"/>
    </row>
    <row r="421" spans="3:17" ht="13">
      <c r="G421" s="144"/>
      <c r="H421" s="144"/>
      <c r="I421" s="144"/>
      <c r="J421" s="144"/>
      <c r="K421" s="144"/>
      <c r="L421" s="144"/>
      <c r="M421" s="144"/>
      <c r="N421" s="144"/>
      <c r="O421" s="144"/>
      <c r="P421" s="144"/>
      <c r="Q421" s="144"/>
    </row>
    <row r="422" spans="3:17" ht="13">
      <c r="G422" s="144"/>
      <c r="H422" s="144"/>
      <c r="I422" s="144"/>
      <c r="J422" s="144"/>
      <c r="K422" s="144"/>
      <c r="L422" s="144"/>
      <c r="M422" s="144"/>
      <c r="N422" s="144"/>
      <c r="O422" s="144"/>
      <c r="P422" s="144"/>
      <c r="Q422" s="144"/>
    </row>
    <row r="423" spans="3:17" ht="13">
      <c r="G423" s="144"/>
      <c r="H423" s="144"/>
      <c r="I423" s="144"/>
      <c r="J423" s="144"/>
      <c r="K423" s="144"/>
      <c r="L423" s="144"/>
      <c r="M423" s="144"/>
      <c r="N423" s="144"/>
      <c r="O423" s="144"/>
      <c r="P423" s="144"/>
      <c r="Q423" s="144"/>
    </row>
    <row r="424" spans="3:17" ht="13">
      <c r="G424" s="144"/>
      <c r="H424" s="144"/>
      <c r="I424" s="144"/>
      <c r="J424" s="144"/>
      <c r="K424" s="144"/>
      <c r="L424" s="144"/>
      <c r="M424" s="144"/>
      <c r="N424" s="144"/>
      <c r="O424" s="144"/>
      <c r="P424" s="144"/>
      <c r="Q424" s="144"/>
    </row>
    <row r="425" spans="3:17" ht="13">
      <c r="G425" s="144"/>
      <c r="H425" s="144"/>
      <c r="I425" s="144"/>
      <c r="J425" s="144"/>
      <c r="K425" s="144"/>
      <c r="L425" s="144"/>
      <c r="M425" s="144"/>
      <c r="N425" s="144"/>
      <c r="O425" s="144"/>
      <c r="P425" s="144"/>
      <c r="Q425" s="144"/>
    </row>
    <row r="426" spans="3:17" ht="13">
      <c r="G426" s="144"/>
      <c r="H426" s="144"/>
      <c r="I426" s="144"/>
      <c r="J426" s="144"/>
      <c r="K426" s="144"/>
      <c r="L426" s="144"/>
      <c r="M426" s="144"/>
      <c r="N426" s="144"/>
      <c r="O426" s="144"/>
      <c r="P426" s="144"/>
      <c r="Q426" s="144"/>
    </row>
    <row r="427" spans="3:17" ht="13">
      <c r="G427" s="144"/>
      <c r="H427" s="144"/>
      <c r="I427" s="144"/>
      <c r="J427" s="144"/>
      <c r="K427" s="144"/>
      <c r="L427" s="144"/>
      <c r="M427" s="144"/>
      <c r="N427" s="144"/>
      <c r="O427" s="144"/>
      <c r="P427" s="144"/>
      <c r="Q427" s="144"/>
    </row>
    <row r="428" spans="3:17" ht="13">
      <c r="G428" s="144"/>
      <c r="H428" s="144"/>
      <c r="I428" s="144"/>
      <c r="J428" s="144"/>
      <c r="K428" s="144"/>
      <c r="L428" s="144"/>
      <c r="M428" s="144"/>
      <c r="N428" s="144"/>
      <c r="O428" s="144"/>
      <c r="P428" s="144"/>
      <c r="Q428" s="144"/>
    </row>
    <row r="429" spans="3:17" ht="13">
      <c r="G429" s="144"/>
      <c r="H429" s="144"/>
      <c r="I429" s="144"/>
      <c r="J429" s="144"/>
      <c r="K429" s="144"/>
      <c r="L429" s="144"/>
      <c r="M429" s="144"/>
      <c r="N429" s="144"/>
      <c r="O429" s="144"/>
      <c r="P429" s="144"/>
      <c r="Q429" s="144"/>
    </row>
    <row r="430" spans="3:17" ht="13">
      <c r="G430" s="144"/>
      <c r="H430" s="144"/>
      <c r="I430" s="144"/>
      <c r="J430" s="144"/>
      <c r="K430" s="144"/>
      <c r="L430" s="144"/>
      <c r="M430" s="144"/>
      <c r="N430" s="144"/>
      <c r="O430" s="144"/>
      <c r="P430" s="144"/>
      <c r="Q430" s="144"/>
    </row>
    <row r="431" spans="3:17" ht="13">
      <c r="G431" s="144"/>
      <c r="H431" s="144"/>
      <c r="I431" s="144"/>
      <c r="J431" s="144"/>
      <c r="K431" s="144"/>
      <c r="L431" s="144"/>
      <c r="M431" s="144"/>
      <c r="N431" s="144"/>
      <c r="O431" s="144"/>
      <c r="P431" s="144"/>
      <c r="Q431" s="144"/>
    </row>
    <row r="432" spans="3:17" ht="13">
      <c r="G432" s="144"/>
      <c r="H432" s="144"/>
      <c r="I432" s="144"/>
      <c r="J432" s="144"/>
      <c r="K432" s="144"/>
      <c r="L432" s="144"/>
      <c r="M432" s="144"/>
      <c r="N432" s="144"/>
      <c r="O432" s="144"/>
      <c r="P432" s="144"/>
      <c r="Q432" s="144"/>
    </row>
    <row r="433" spans="7:17" ht="13">
      <c r="G433" s="144"/>
      <c r="H433" s="144"/>
      <c r="I433" s="144"/>
      <c r="J433" s="144"/>
      <c r="K433" s="144"/>
      <c r="L433" s="144"/>
      <c r="M433" s="144"/>
      <c r="N433" s="144"/>
      <c r="O433" s="144"/>
      <c r="P433" s="144"/>
      <c r="Q433" s="144"/>
    </row>
    <row r="434" spans="7:17" ht="13">
      <c r="G434" s="144"/>
      <c r="H434" s="144"/>
      <c r="I434" s="144"/>
      <c r="J434" s="144"/>
      <c r="K434" s="144"/>
      <c r="L434" s="144"/>
      <c r="M434" s="144"/>
      <c r="N434" s="144"/>
      <c r="O434" s="144"/>
      <c r="P434" s="144"/>
      <c r="Q434" s="144"/>
    </row>
    <row r="435" spans="7:17" ht="13">
      <c r="G435" s="144"/>
      <c r="H435" s="144"/>
      <c r="I435" s="144"/>
      <c r="J435" s="144"/>
      <c r="K435" s="144"/>
      <c r="L435" s="144"/>
      <c r="M435" s="144"/>
      <c r="N435" s="144"/>
      <c r="O435" s="144"/>
      <c r="P435" s="144"/>
      <c r="Q435" s="144"/>
    </row>
    <row r="436" spans="7:17" ht="13">
      <c r="G436" s="144"/>
      <c r="H436" s="144"/>
      <c r="I436" s="144"/>
      <c r="J436" s="144"/>
      <c r="K436" s="144"/>
      <c r="L436" s="144"/>
      <c r="M436" s="144"/>
      <c r="N436" s="144"/>
      <c r="O436" s="144"/>
      <c r="P436" s="144"/>
      <c r="Q436" s="144"/>
    </row>
    <row r="437" spans="7:17" ht="13">
      <c r="G437" s="144"/>
      <c r="H437" s="144"/>
      <c r="I437" s="144"/>
      <c r="J437" s="144"/>
      <c r="K437" s="144"/>
      <c r="L437" s="144"/>
      <c r="M437" s="144"/>
      <c r="N437" s="144"/>
      <c r="O437" s="144"/>
      <c r="P437" s="144"/>
      <c r="Q437" s="144"/>
    </row>
    <row r="438" spans="7:17" ht="13">
      <c r="G438" s="144"/>
      <c r="H438" s="144"/>
      <c r="I438" s="144"/>
      <c r="J438" s="144"/>
      <c r="K438" s="144"/>
      <c r="L438" s="144"/>
      <c r="M438" s="144"/>
      <c r="N438" s="144"/>
      <c r="O438" s="144"/>
      <c r="P438" s="144"/>
      <c r="Q438" s="144"/>
    </row>
    <row r="439" spans="7:17" ht="13">
      <c r="G439" s="144"/>
      <c r="H439" s="144"/>
      <c r="I439" s="144"/>
      <c r="J439" s="144"/>
      <c r="K439" s="144"/>
      <c r="L439" s="144"/>
      <c r="M439" s="144"/>
      <c r="N439" s="144"/>
      <c r="O439" s="144"/>
      <c r="P439" s="144"/>
      <c r="Q439" s="144"/>
    </row>
    <row r="440" spans="7:17" ht="14">
      <c r="G440" s="339"/>
      <c r="H440" s="339"/>
      <c r="I440" s="339"/>
      <c r="J440" s="339"/>
      <c r="K440" s="339"/>
      <c r="L440" s="339"/>
      <c r="M440" s="339"/>
      <c r="N440" s="339"/>
      <c r="O440" s="339"/>
      <c r="P440" s="339"/>
      <c r="Q440" s="339"/>
    </row>
    <row r="441" spans="7:17" ht="14">
      <c r="G441" s="339"/>
      <c r="H441" s="339"/>
      <c r="I441" s="339"/>
      <c r="J441" s="339"/>
      <c r="K441" s="339"/>
      <c r="L441" s="339"/>
      <c r="M441" s="339"/>
      <c r="N441" s="339"/>
      <c r="O441" s="339"/>
      <c r="P441" s="339"/>
      <c r="Q441" s="339"/>
    </row>
    <row r="442" spans="7:17" ht="14">
      <c r="G442" s="339"/>
      <c r="H442" s="339"/>
      <c r="I442" s="339"/>
      <c r="J442" s="339"/>
      <c r="K442" s="339"/>
      <c r="L442" s="339"/>
      <c r="M442" s="339"/>
      <c r="N442" s="339"/>
      <c r="O442" s="339"/>
      <c r="P442" s="339"/>
      <c r="Q442" s="339"/>
    </row>
    <row r="443" spans="7:17" ht="14">
      <c r="G443" s="339"/>
      <c r="H443" s="339"/>
      <c r="I443" s="339"/>
      <c r="J443" s="339"/>
      <c r="K443" s="339"/>
      <c r="L443" s="339"/>
      <c r="M443" s="339"/>
      <c r="N443" s="339"/>
      <c r="O443" s="339"/>
      <c r="P443" s="339"/>
      <c r="Q443" s="339"/>
    </row>
    <row r="444" spans="7:17" ht="14">
      <c r="G444" s="339"/>
      <c r="H444" s="339"/>
      <c r="I444" s="339"/>
      <c r="J444" s="339"/>
      <c r="K444" s="339"/>
      <c r="L444" s="339"/>
      <c r="M444" s="339"/>
      <c r="N444" s="339"/>
      <c r="O444" s="339"/>
      <c r="P444" s="339"/>
      <c r="Q444" s="339"/>
    </row>
    <row r="445" spans="7:17" ht="14">
      <c r="G445" s="339"/>
      <c r="H445" s="339"/>
      <c r="I445" s="339"/>
      <c r="J445" s="339"/>
      <c r="K445" s="339"/>
      <c r="L445" s="339"/>
      <c r="M445" s="339"/>
      <c r="N445" s="339"/>
      <c r="O445" s="339"/>
      <c r="P445" s="339"/>
      <c r="Q445" s="339"/>
    </row>
    <row r="446" spans="7:17" ht="14">
      <c r="G446" s="339"/>
      <c r="H446" s="339"/>
      <c r="I446" s="339"/>
      <c r="J446" s="339"/>
      <c r="K446" s="339"/>
      <c r="L446" s="339"/>
      <c r="M446" s="339"/>
      <c r="N446" s="339"/>
      <c r="O446" s="339"/>
      <c r="P446" s="339"/>
      <c r="Q446" s="339"/>
    </row>
    <row r="447" spans="7:17" ht="14">
      <c r="G447" s="339"/>
      <c r="H447" s="339"/>
      <c r="I447" s="339"/>
      <c r="J447" s="339"/>
      <c r="K447" s="339"/>
      <c r="L447" s="339"/>
      <c r="M447" s="339"/>
      <c r="N447" s="339"/>
      <c r="O447" s="339"/>
      <c r="P447" s="339"/>
      <c r="Q447" s="339"/>
    </row>
    <row r="448" spans="7:17" ht="14">
      <c r="G448" s="339"/>
      <c r="H448" s="339"/>
      <c r="I448" s="339"/>
      <c r="J448" s="339"/>
      <c r="K448" s="339"/>
      <c r="L448" s="339"/>
      <c r="M448" s="339"/>
      <c r="N448" s="339"/>
      <c r="O448" s="339"/>
      <c r="P448" s="339"/>
      <c r="Q448" s="339"/>
    </row>
    <row r="449" spans="7:17" ht="14">
      <c r="G449" s="339"/>
      <c r="H449" s="339"/>
      <c r="I449" s="339"/>
      <c r="J449" s="339"/>
      <c r="K449" s="339"/>
      <c r="L449" s="339"/>
      <c r="M449" s="339"/>
      <c r="N449" s="339"/>
      <c r="O449" s="339"/>
      <c r="P449" s="339"/>
      <c r="Q449" s="339"/>
    </row>
    <row r="450" spans="7:17" ht="14">
      <c r="G450" s="339"/>
      <c r="H450" s="339"/>
      <c r="I450" s="339"/>
      <c r="J450" s="339"/>
      <c r="K450" s="339"/>
      <c r="L450" s="339"/>
      <c r="M450" s="339"/>
      <c r="N450" s="339"/>
      <c r="O450" s="339"/>
      <c r="P450" s="339"/>
      <c r="Q450" s="339"/>
    </row>
    <row r="451" spans="7:17" ht="14">
      <c r="G451" s="339"/>
      <c r="H451" s="339"/>
      <c r="I451" s="339"/>
      <c r="J451" s="339"/>
      <c r="K451" s="339"/>
      <c r="L451" s="339"/>
      <c r="M451" s="339"/>
      <c r="N451" s="339"/>
      <c r="O451" s="339"/>
      <c r="P451" s="339"/>
      <c r="Q451" s="339"/>
    </row>
    <row r="452" spans="7:17" ht="14">
      <c r="G452" s="339"/>
      <c r="H452" s="339"/>
      <c r="I452" s="339"/>
      <c r="J452" s="339"/>
      <c r="K452" s="339"/>
      <c r="L452" s="339"/>
      <c r="M452" s="339"/>
      <c r="N452" s="339"/>
      <c r="O452" s="339"/>
      <c r="P452" s="339"/>
      <c r="Q452" s="339"/>
    </row>
    <row r="453" spans="7:17" ht="14">
      <c r="G453" s="339"/>
      <c r="H453" s="339"/>
      <c r="I453" s="339"/>
      <c r="J453" s="339"/>
      <c r="K453" s="339"/>
      <c r="L453" s="339"/>
      <c r="M453" s="339"/>
      <c r="N453" s="339"/>
      <c r="O453" s="339"/>
      <c r="P453" s="339"/>
      <c r="Q453" s="339"/>
    </row>
    <row r="454" spans="7:17" ht="14">
      <c r="G454" s="339"/>
      <c r="H454" s="339"/>
      <c r="I454" s="339"/>
      <c r="J454" s="339"/>
      <c r="K454" s="339"/>
      <c r="L454" s="339"/>
      <c r="M454" s="339"/>
      <c r="N454" s="339"/>
      <c r="O454" s="339"/>
      <c r="P454" s="339"/>
      <c r="Q454" s="339"/>
    </row>
    <row r="455" spans="7:17" ht="14">
      <c r="G455" s="339"/>
      <c r="H455" s="339"/>
      <c r="I455" s="339"/>
      <c r="J455" s="339"/>
      <c r="K455" s="339"/>
      <c r="L455" s="339"/>
      <c r="M455" s="339"/>
      <c r="N455" s="339"/>
      <c r="O455" s="339"/>
      <c r="P455" s="339"/>
      <c r="Q455" s="339"/>
    </row>
    <row r="456" spans="7:17" ht="14">
      <c r="G456" s="339"/>
      <c r="H456" s="339"/>
      <c r="I456" s="339"/>
      <c r="J456" s="339"/>
      <c r="K456" s="339"/>
      <c r="L456" s="339"/>
      <c r="M456" s="339"/>
      <c r="N456" s="339"/>
      <c r="O456" s="339"/>
      <c r="P456" s="339"/>
      <c r="Q456" s="339"/>
    </row>
    <row r="457" spans="7:17" ht="14">
      <c r="G457" s="339"/>
      <c r="H457" s="339"/>
      <c r="I457" s="339"/>
      <c r="J457" s="339"/>
      <c r="K457" s="339"/>
      <c r="L457" s="339"/>
      <c r="M457" s="339"/>
      <c r="N457" s="339"/>
      <c r="O457" s="339"/>
      <c r="P457" s="339"/>
      <c r="Q457" s="339"/>
    </row>
    <row r="458" spans="7:17" ht="14">
      <c r="G458" s="339"/>
      <c r="H458" s="339"/>
      <c r="I458" s="339"/>
      <c r="J458" s="339"/>
      <c r="K458" s="339"/>
      <c r="L458" s="339"/>
      <c r="M458" s="339"/>
      <c r="N458" s="339"/>
      <c r="O458" s="339"/>
      <c r="P458" s="339"/>
      <c r="Q458" s="339"/>
    </row>
    <row r="459" spans="7:17" ht="14">
      <c r="G459" s="339"/>
      <c r="H459" s="339"/>
      <c r="I459" s="339"/>
      <c r="J459" s="339"/>
      <c r="K459" s="339"/>
      <c r="L459" s="339"/>
      <c r="M459" s="339"/>
      <c r="N459" s="339"/>
      <c r="O459" s="339"/>
      <c r="P459" s="339"/>
      <c r="Q459" s="339"/>
    </row>
    <row r="460" spans="7:17" ht="14">
      <c r="G460" s="339"/>
      <c r="H460" s="339"/>
      <c r="I460" s="339"/>
      <c r="J460" s="339"/>
      <c r="K460" s="339"/>
      <c r="L460" s="339"/>
      <c r="M460" s="339"/>
      <c r="N460" s="339"/>
      <c r="O460" s="339"/>
      <c r="P460" s="339"/>
      <c r="Q460" s="339"/>
    </row>
    <row r="461" spans="7:17" ht="14">
      <c r="G461" s="339"/>
      <c r="H461" s="339"/>
      <c r="I461" s="339"/>
      <c r="J461" s="339"/>
      <c r="K461" s="339"/>
      <c r="L461" s="339"/>
      <c r="M461" s="339"/>
      <c r="N461" s="339"/>
      <c r="O461" s="339"/>
      <c r="P461" s="339"/>
      <c r="Q461" s="339"/>
    </row>
    <row r="462" spans="7:17" ht="14">
      <c r="G462" s="339"/>
      <c r="H462" s="339"/>
      <c r="I462" s="339"/>
      <c r="J462" s="339"/>
      <c r="K462" s="339"/>
      <c r="L462" s="339"/>
      <c r="M462" s="339"/>
      <c r="N462" s="339"/>
      <c r="O462" s="339"/>
      <c r="P462" s="339"/>
      <c r="Q462" s="339"/>
    </row>
    <row r="463" spans="7:17" ht="14">
      <c r="G463" s="339"/>
      <c r="H463" s="339"/>
      <c r="I463" s="339"/>
      <c r="J463" s="339"/>
      <c r="K463" s="339"/>
      <c r="L463" s="339"/>
      <c r="M463" s="339"/>
      <c r="N463" s="339"/>
      <c r="O463" s="339"/>
      <c r="P463" s="339"/>
      <c r="Q463" s="339"/>
    </row>
    <row r="464" spans="7:17" ht="14">
      <c r="G464" s="339"/>
      <c r="H464" s="339"/>
      <c r="I464" s="339"/>
      <c r="J464" s="339"/>
      <c r="K464" s="339"/>
      <c r="L464" s="339"/>
      <c r="M464" s="339"/>
      <c r="N464" s="339"/>
      <c r="O464" s="339"/>
      <c r="P464" s="339"/>
      <c r="Q464" s="339"/>
    </row>
    <row r="465" spans="7:17" ht="14">
      <c r="G465" s="339"/>
      <c r="H465" s="339"/>
      <c r="I465" s="339"/>
      <c r="J465" s="339"/>
      <c r="K465" s="339"/>
      <c r="L465" s="339"/>
      <c r="M465" s="339"/>
      <c r="N465" s="339"/>
      <c r="O465" s="339"/>
      <c r="P465" s="339"/>
      <c r="Q465" s="339"/>
    </row>
    <row r="466" spans="7:17" ht="14">
      <c r="G466" s="339"/>
      <c r="H466" s="339"/>
      <c r="I466" s="339"/>
      <c r="J466" s="339"/>
      <c r="K466" s="339"/>
      <c r="L466" s="339"/>
      <c r="M466" s="339"/>
      <c r="N466" s="339"/>
      <c r="O466" s="339"/>
      <c r="P466" s="339"/>
      <c r="Q466" s="339"/>
    </row>
    <row r="467" spans="7:17" ht="14">
      <c r="G467" s="339"/>
      <c r="H467" s="339"/>
      <c r="I467" s="339"/>
      <c r="J467" s="339"/>
      <c r="K467" s="339"/>
      <c r="L467" s="339"/>
      <c r="M467" s="339"/>
      <c r="N467" s="339"/>
      <c r="O467" s="339"/>
      <c r="P467" s="339"/>
      <c r="Q467" s="339"/>
    </row>
    <row r="468" spans="7:17" ht="14">
      <c r="G468" s="339"/>
      <c r="H468" s="339"/>
      <c r="I468" s="339"/>
      <c r="J468" s="339"/>
      <c r="K468" s="339"/>
      <c r="L468" s="339"/>
      <c r="M468" s="339"/>
      <c r="N468" s="339"/>
      <c r="O468" s="339"/>
      <c r="P468" s="339"/>
      <c r="Q468" s="339"/>
    </row>
    <row r="469" spans="7:17" ht="14">
      <c r="G469" s="339"/>
      <c r="H469" s="339"/>
      <c r="I469" s="339"/>
      <c r="J469" s="339"/>
      <c r="K469" s="339"/>
      <c r="L469" s="339"/>
      <c r="M469" s="339"/>
      <c r="N469" s="339"/>
      <c r="O469" s="339"/>
      <c r="P469" s="339"/>
      <c r="Q469" s="339"/>
    </row>
    <row r="470" spans="7:17" ht="14">
      <c r="G470" s="339"/>
      <c r="H470" s="339"/>
      <c r="I470" s="339"/>
      <c r="J470" s="339"/>
      <c r="K470" s="339"/>
      <c r="L470" s="339"/>
      <c r="M470" s="339"/>
      <c r="N470" s="339"/>
      <c r="O470" s="339"/>
      <c r="P470" s="339"/>
      <c r="Q470" s="339"/>
    </row>
    <row r="471" spans="7:17" ht="14">
      <c r="G471" s="339"/>
      <c r="H471" s="339"/>
      <c r="I471" s="339"/>
      <c r="J471" s="339"/>
      <c r="K471" s="339"/>
      <c r="L471" s="339"/>
      <c r="M471" s="339"/>
      <c r="N471" s="339"/>
      <c r="O471" s="339"/>
      <c r="P471" s="339"/>
      <c r="Q471" s="339"/>
    </row>
    <row r="472" spans="7:17" ht="14">
      <c r="G472" s="339"/>
      <c r="H472" s="339"/>
      <c r="I472" s="339"/>
      <c r="J472" s="339"/>
      <c r="K472" s="339"/>
      <c r="L472" s="339"/>
      <c r="M472" s="339"/>
      <c r="N472" s="339"/>
      <c r="O472" s="339"/>
      <c r="P472" s="339"/>
      <c r="Q472" s="339"/>
    </row>
    <row r="473" spans="7:17" ht="14">
      <c r="G473" s="339"/>
      <c r="H473" s="339"/>
      <c r="I473" s="339"/>
      <c r="J473" s="339"/>
      <c r="K473" s="339"/>
      <c r="L473" s="339"/>
      <c r="M473" s="339"/>
      <c r="N473" s="339"/>
      <c r="O473" s="339"/>
      <c r="P473" s="339"/>
      <c r="Q473" s="339"/>
    </row>
    <row r="474" spans="7:17" ht="14">
      <c r="G474" s="339"/>
      <c r="H474" s="339"/>
      <c r="I474" s="339"/>
      <c r="J474" s="339"/>
      <c r="K474" s="339"/>
      <c r="L474" s="339"/>
      <c r="M474" s="339"/>
      <c r="N474" s="339"/>
      <c r="O474" s="339"/>
      <c r="P474" s="339"/>
      <c r="Q474" s="339"/>
    </row>
    <row r="475" spans="7:17" ht="14">
      <c r="G475" s="339"/>
      <c r="H475" s="339"/>
      <c r="I475" s="339"/>
      <c r="J475" s="339"/>
      <c r="K475" s="339"/>
      <c r="L475" s="339"/>
      <c r="M475" s="339"/>
      <c r="N475" s="339"/>
      <c r="O475" s="339"/>
      <c r="P475" s="339"/>
      <c r="Q475" s="339"/>
    </row>
    <row r="476" spans="7:17" ht="14">
      <c r="G476" s="339"/>
      <c r="H476" s="339"/>
      <c r="I476" s="339"/>
      <c r="J476" s="339"/>
      <c r="K476" s="339"/>
      <c r="L476" s="339"/>
      <c r="M476" s="339"/>
      <c r="N476" s="339"/>
      <c r="O476" s="339"/>
      <c r="P476" s="339"/>
      <c r="Q476" s="339"/>
    </row>
    <row r="477" spans="7:17" ht="14">
      <c r="G477" s="339"/>
      <c r="H477" s="339"/>
      <c r="I477" s="339"/>
      <c r="J477" s="339"/>
      <c r="K477" s="339"/>
      <c r="L477" s="339"/>
      <c r="M477" s="339"/>
      <c r="N477" s="339"/>
      <c r="O477" s="339"/>
      <c r="P477" s="339"/>
      <c r="Q477" s="339"/>
    </row>
    <row r="478" spans="7:17" ht="14">
      <c r="G478" s="339"/>
      <c r="H478" s="339"/>
      <c r="I478" s="339"/>
      <c r="J478" s="339"/>
      <c r="K478" s="339"/>
      <c r="L478" s="339"/>
      <c r="M478" s="339"/>
      <c r="N478" s="339"/>
      <c r="O478" s="339"/>
      <c r="P478" s="339"/>
      <c r="Q478" s="339"/>
    </row>
    <row r="479" spans="7:17" ht="14">
      <c r="G479" s="339"/>
      <c r="H479" s="339"/>
      <c r="I479" s="339"/>
      <c r="J479" s="339"/>
      <c r="K479" s="339"/>
      <c r="L479" s="339"/>
      <c r="M479" s="339"/>
      <c r="N479" s="339"/>
      <c r="O479" s="339"/>
      <c r="P479" s="339"/>
      <c r="Q479" s="339"/>
    </row>
    <row r="480" spans="7:17" ht="14">
      <c r="G480" s="339"/>
      <c r="H480" s="339"/>
      <c r="I480" s="339"/>
      <c r="J480" s="339"/>
      <c r="K480" s="339"/>
      <c r="L480" s="339"/>
      <c r="M480" s="339"/>
      <c r="N480" s="339"/>
      <c r="O480" s="339"/>
      <c r="P480" s="339"/>
      <c r="Q480" s="339"/>
    </row>
    <row r="481" spans="7:17" ht="14">
      <c r="G481" s="339"/>
      <c r="H481" s="339"/>
      <c r="I481" s="339"/>
      <c r="J481" s="339"/>
      <c r="K481" s="339"/>
      <c r="L481" s="339"/>
      <c r="M481" s="339"/>
      <c r="N481" s="339"/>
      <c r="O481" s="339"/>
      <c r="P481" s="339"/>
      <c r="Q481" s="339"/>
    </row>
    <row r="482" spans="7:17" ht="14">
      <c r="G482" s="339"/>
      <c r="H482" s="339"/>
      <c r="I482" s="339"/>
      <c r="J482" s="339"/>
      <c r="K482" s="339"/>
      <c r="L482" s="339"/>
      <c r="M482" s="339"/>
      <c r="N482" s="339"/>
      <c r="O482" s="339"/>
      <c r="P482" s="339"/>
      <c r="Q482" s="339"/>
    </row>
    <row r="483" spans="7:17" ht="14">
      <c r="G483" s="339"/>
      <c r="H483" s="339"/>
      <c r="I483" s="339"/>
      <c r="J483" s="339"/>
      <c r="K483" s="339"/>
      <c r="L483" s="339"/>
      <c r="M483" s="339"/>
      <c r="N483" s="339"/>
      <c r="O483" s="339"/>
      <c r="P483" s="339"/>
      <c r="Q483" s="339"/>
    </row>
    <row r="484" spans="7:17" ht="14">
      <c r="G484" s="339"/>
      <c r="H484" s="339"/>
      <c r="I484" s="339"/>
      <c r="J484" s="339"/>
      <c r="K484" s="339"/>
      <c r="L484" s="339"/>
      <c r="M484" s="339"/>
      <c r="N484" s="339"/>
      <c r="O484" s="339"/>
      <c r="P484" s="339"/>
      <c r="Q484" s="339"/>
    </row>
    <row r="485" spans="7:17" ht="14">
      <c r="G485" s="339"/>
      <c r="H485" s="339"/>
      <c r="I485" s="339"/>
      <c r="J485" s="339"/>
      <c r="K485" s="339"/>
      <c r="L485" s="339"/>
      <c r="M485" s="339"/>
      <c r="N485" s="339"/>
      <c r="O485" s="339"/>
      <c r="P485" s="339"/>
      <c r="Q485" s="339"/>
    </row>
    <row r="486" spans="7:17" ht="14">
      <c r="G486" s="339"/>
      <c r="H486" s="339"/>
      <c r="I486" s="339"/>
      <c r="J486" s="339"/>
      <c r="K486" s="339"/>
      <c r="L486" s="339"/>
      <c r="M486" s="339"/>
      <c r="N486" s="339"/>
      <c r="O486" s="339"/>
      <c r="P486" s="339"/>
      <c r="Q486" s="339"/>
    </row>
    <row r="487" spans="7:17" ht="14">
      <c r="G487" s="339"/>
      <c r="H487" s="339"/>
      <c r="I487" s="339"/>
      <c r="J487" s="339"/>
      <c r="K487" s="339"/>
      <c r="L487" s="339"/>
      <c r="M487" s="339"/>
      <c r="N487" s="339"/>
      <c r="O487" s="339"/>
      <c r="P487" s="339"/>
      <c r="Q487" s="339"/>
    </row>
    <row r="488" spans="7:17" ht="14">
      <c r="G488" s="339"/>
      <c r="H488" s="339"/>
      <c r="I488" s="339"/>
      <c r="J488" s="339"/>
      <c r="K488" s="339"/>
      <c r="L488" s="339"/>
      <c r="M488" s="339"/>
      <c r="N488" s="339"/>
      <c r="O488" s="339"/>
      <c r="P488" s="339"/>
      <c r="Q488" s="339"/>
    </row>
    <row r="489" spans="7:17" ht="14">
      <c r="G489" s="339"/>
      <c r="H489" s="339"/>
      <c r="I489" s="339"/>
      <c r="J489" s="339"/>
      <c r="K489" s="339"/>
      <c r="L489" s="339"/>
      <c r="M489" s="339"/>
      <c r="N489" s="339"/>
      <c r="O489" s="339"/>
      <c r="P489" s="339"/>
      <c r="Q489" s="339"/>
    </row>
    <row r="490" spans="7:17" ht="14">
      <c r="G490" s="339"/>
      <c r="H490" s="339"/>
      <c r="I490" s="339"/>
      <c r="J490" s="339"/>
      <c r="K490" s="339"/>
      <c r="L490" s="339"/>
      <c r="M490" s="339"/>
      <c r="N490" s="339"/>
      <c r="O490" s="339"/>
      <c r="P490" s="339"/>
      <c r="Q490" s="339"/>
    </row>
    <row r="491" spans="7:17" ht="14">
      <c r="G491" s="339"/>
      <c r="H491" s="339"/>
      <c r="I491" s="339"/>
      <c r="J491" s="339"/>
      <c r="K491" s="339"/>
      <c r="L491" s="339"/>
      <c r="M491" s="339"/>
      <c r="N491" s="339"/>
      <c r="O491" s="339"/>
      <c r="P491" s="339"/>
      <c r="Q491" s="339"/>
    </row>
    <row r="492" spans="7:17" ht="14">
      <c r="G492" s="339"/>
      <c r="H492" s="339"/>
      <c r="I492" s="339"/>
      <c r="J492" s="339"/>
      <c r="K492" s="339"/>
      <c r="L492" s="339"/>
      <c r="M492" s="339"/>
      <c r="N492" s="339"/>
      <c r="O492" s="339"/>
      <c r="P492" s="339"/>
      <c r="Q492" s="339"/>
    </row>
    <row r="493" spans="7:17" ht="14">
      <c r="G493" s="339"/>
      <c r="H493" s="339"/>
      <c r="I493" s="339"/>
      <c r="J493" s="339"/>
      <c r="K493" s="339"/>
      <c r="L493" s="339"/>
      <c r="M493" s="339"/>
      <c r="N493" s="339"/>
      <c r="O493" s="339"/>
      <c r="P493" s="339"/>
      <c r="Q493" s="339"/>
    </row>
    <row r="494" spans="7:17" ht="14">
      <c r="G494" s="339"/>
      <c r="H494" s="339"/>
      <c r="I494" s="339"/>
      <c r="J494" s="339"/>
      <c r="K494" s="339"/>
      <c r="L494" s="339"/>
      <c r="M494" s="339"/>
      <c r="N494" s="339"/>
      <c r="O494" s="339"/>
      <c r="P494" s="339"/>
      <c r="Q494" s="339"/>
    </row>
    <row r="495" spans="7:17" ht="14">
      <c r="G495" s="339"/>
      <c r="H495" s="339"/>
      <c r="I495" s="339"/>
      <c r="J495" s="339"/>
      <c r="K495" s="339"/>
      <c r="L495" s="339"/>
      <c r="M495" s="339"/>
      <c r="N495" s="339"/>
      <c r="O495" s="339"/>
      <c r="P495" s="339"/>
      <c r="Q495" s="339"/>
    </row>
    <row r="496" spans="7:17" ht="14">
      <c r="G496" s="339"/>
      <c r="H496" s="339"/>
      <c r="I496" s="339"/>
      <c r="J496" s="339"/>
      <c r="K496" s="339"/>
      <c r="L496" s="339"/>
      <c r="M496" s="339"/>
      <c r="N496" s="339"/>
      <c r="O496" s="339"/>
      <c r="P496" s="339"/>
      <c r="Q496" s="339"/>
    </row>
  </sheetData>
  <mergeCells count="94">
    <mergeCell ref="A4:F4"/>
    <mergeCell ref="A280:F280"/>
    <mergeCell ref="A302:F302"/>
    <mergeCell ref="A313:F313"/>
    <mergeCell ref="A372:F372"/>
    <mergeCell ref="A406:F406"/>
    <mergeCell ref="A323:F323"/>
    <mergeCell ref="A329:F329"/>
    <mergeCell ref="A335:F335"/>
    <mergeCell ref="A341:F341"/>
    <mergeCell ref="A354:F354"/>
    <mergeCell ref="J280:Q280"/>
    <mergeCell ref="J281:Q281"/>
    <mergeCell ref="J282:Q282"/>
    <mergeCell ref="J283:Q283"/>
    <mergeCell ref="A348:F348"/>
    <mergeCell ref="J288:Q288"/>
    <mergeCell ref="J289:Q289"/>
    <mergeCell ref="J290:Q290"/>
    <mergeCell ref="J291:Q291"/>
    <mergeCell ref="J284:Q284"/>
    <mergeCell ref="J285:Q285"/>
    <mergeCell ref="J286:Q286"/>
    <mergeCell ref="J287:Q287"/>
    <mergeCell ref="J296:Q296"/>
    <mergeCell ref="J297:Q297"/>
    <mergeCell ref="J298:Q298"/>
    <mergeCell ref="J302:Q302"/>
    <mergeCell ref="J292:Q292"/>
    <mergeCell ref="J293:Q293"/>
    <mergeCell ref="J294:Q294"/>
    <mergeCell ref="J295:Q295"/>
    <mergeCell ref="J308:Q308"/>
    <mergeCell ref="J309:Q309"/>
    <mergeCell ref="J306:Q306"/>
    <mergeCell ref="J313:Q313"/>
    <mergeCell ref="J303:Q303"/>
    <mergeCell ref="J304:Q304"/>
    <mergeCell ref="J305:Q305"/>
    <mergeCell ref="J307:Q307"/>
    <mergeCell ref="J318:Q318"/>
    <mergeCell ref="J319:Q319"/>
    <mergeCell ref="J323:Q323"/>
    <mergeCell ref="J324:Q324"/>
    <mergeCell ref="J314:Q314"/>
    <mergeCell ref="J315:Q315"/>
    <mergeCell ref="J316:Q316"/>
    <mergeCell ref="J317:Q317"/>
    <mergeCell ref="J337:Q337"/>
    <mergeCell ref="I395:Q395"/>
    <mergeCell ref="I396:Q396"/>
    <mergeCell ref="J325:Q325"/>
    <mergeCell ref="J329:Q329"/>
    <mergeCell ref="J331:Q331"/>
    <mergeCell ref="J335:Q335"/>
    <mergeCell ref="L341:Q341"/>
    <mergeCell ref="L343:Q343"/>
    <mergeCell ref="L344:Q344"/>
    <mergeCell ref="J348:Q348"/>
    <mergeCell ref="I359:Q359"/>
    <mergeCell ref="I360:Q360"/>
    <mergeCell ref="J350:Q350"/>
    <mergeCell ref="I356:Q356"/>
    <mergeCell ref="I354:Q354"/>
    <mergeCell ref="I358:Q358"/>
    <mergeCell ref="I365:Q365"/>
    <mergeCell ref="I366:Q366"/>
    <mergeCell ref="I367:Q367"/>
    <mergeCell ref="I372:Q372"/>
    <mergeCell ref="I361:Q361"/>
    <mergeCell ref="I362:Q362"/>
    <mergeCell ref="I363:Q363"/>
    <mergeCell ref="I364:Q364"/>
    <mergeCell ref="I378:Q378"/>
    <mergeCell ref="I379:Q379"/>
    <mergeCell ref="I380:Q380"/>
    <mergeCell ref="I381:Q381"/>
    <mergeCell ref="I377:Q377"/>
    <mergeCell ref="I374:Q374"/>
    <mergeCell ref="I376:Q376"/>
    <mergeCell ref="I408:Q408"/>
    <mergeCell ref="A388:F388"/>
    <mergeCell ref="I388:Q388"/>
    <mergeCell ref="I390:Q390"/>
    <mergeCell ref="I392:Q392"/>
    <mergeCell ref="I393:Q393"/>
    <mergeCell ref="I394:Q394"/>
    <mergeCell ref="I401:Q401"/>
    <mergeCell ref="I397:Q397"/>
    <mergeCell ref="I398:Q398"/>
    <mergeCell ref="I399:Q399"/>
    <mergeCell ref="I400:Q400"/>
    <mergeCell ref="I382:Q382"/>
    <mergeCell ref="I406:Q406"/>
  </mergeCells>
  <phoneticPr fontId="0" type="noConversion"/>
  <printOptions horizontalCentered="1"/>
  <pageMargins left="0.25" right="0.25" top="0.75" bottom="0.75" header="0.5" footer="0.5"/>
  <pageSetup scale="46" orientation="landscape" r:id="rId1"/>
  <headerFooter alignWithMargins="0">
    <oddHeader>&amp;C&amp;16Cost Support Matrix</oddHeader>
    <oddFooter>Page &amp;P of &amp;N</oddFooter>
  </headerFooter>
  <rowBreaks count="2" manualBreakCount="2">
    <brk id="276" max="16" man="1"/>
    <brk id="310"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325"/>
  <sheetViews>
    <sheetView zoomScale="75" zoomScaleNormal="75" zoomScaleSheetLayoutView="66" workbookViewId="0">
      <selection activeCell="L27" sqref="L27"/>
    </sheetView>
  </sheetViews>
  <sheetFormatPr defaultColWidth="9.1796875" defaultRowHeight="12.5"/>
  <cols>
    <col min="1" max="1" width="10.26953125" style="561" customWidth="1"/>
    <col min="2" max="2" width="3" style="561" customWidth="1"/>
    <col min="3" max="3" width="3.54296875" style="561" customWidth="1"/>
    <col min="4" max="4" width="43.81640625" style="561" customWidth="1"/>
    <col min="5" max="5" width="49.81640625" style="561" customWidth="1"/>
    <col min="6" max="6" width="34.26953125" style="561" bestFit="1" customWidth="1"/>
    <col min="7" max="7" width="47.7265625" style="561" customWidth="1"/>
    <col min="8" max="8" width="3.81640625" style="561" customWidth="1"/>
    <col min="9" max="9" width="18" style="561" customWidth="1"/>
    <col min="10" max="16384" width="9.1796875" style="561"/>
  </cols>
  <sheetData>
    <row r="1" spans="1:9" ht="18">
      <c r="A1" s="1514" t="str">
        <f>+'ATT H-2A'!A4</f>
        <v>Baltimore Gas and Electric Company</v>
      </c>
      <c r="B1" s="1514"/>
      <c r="C1" s="1514"/>
      <c r="D1" s="1514"/>
      <c r="E1" s="1514"/>
      <c r="F1" s="1514"/>
      <c r="G1" s="1514"/>
    </row>
    <row r="2" spans="1:9" ht="18">
      <c r="A2" s="148"/>
      <c r="B2" s="711"/>
      <c r="C2" s="711"/>
      <c r="D2" s="711"/>
      <c r="E2" s="711"/>
      <c r="F2" s="711"/>
      <c r="G2" s="711"/>
    </row>
    <row r="3" spans="1:9" ht="18">
      <c r="A3" s="1538" t="s">
        <v>32</v>
      </c>
      <c r="B3" s="1538"/>
      <c r="C3" s="1538"/>
      <c r="D3" s="1538"/>
      <c r="E3" s="1538"/>
      <c r="F3" s="1538"/>
      <c r="G3" s="1538"/>
      <c r="I3" s="156"/>
    </row>
    <row r="5" spans="1:9" s="21" customFormat="1" ht="15.5">
      <c r="B5" s="148"/>
    </row>
    <row r="6" spans="1:9" s="21" customFormat="1" ht="15.5"/>
    <row r="7" spans="1:9" s="21" customFormat="1" ht="15.5"/>
    <row r="8" spans="1:9" s="21" customFormat="1" ht="15.5">
      <c r="C8" s="21" t="s">
        <v>33</v>
      </c>
    </row>
    <row r="9" spans="1:9" s="21" customFormat="1" ht="15.5">
      <c r="A9" s="55" t="s">
        <v>168</v>
      </c>
      <c r="B9" s="55"/>
      <c r="D9" s="21" t="s">
        <v>34</v>
      </c>
      <c r="G9" s="27" t="s">
        <v>721</v>
      </c>
      <c r="I9" s="100">
        <f>+I57+I86</f>
        <v>117311223.44387655</v>
      </c>
    </row>
    <row r="10" spans="1:9" s="21" customFormat="1" ht="15.5">
      <c r="A10" s="55"/>
      <c r="B10" s="55"/>
    </row>
    <row r="11" spans="1:9" s="21" customFormat="1" ht="15.5">
      <c r="A11" s="55" t="s">
        <v>323</v>
      </c>
      <c r="B11" s="55"/>
      <c r="D11" s="21" t="str">
        <f>I11*10000&amp;" Basis Point increase in ROE"</f>
        <v>100 Basis Point increase in ROE</v>
      </c>
      <c r="I11" s="159">
        <v>0.01</v>
      </c>
    </row>
    <row r="12" spans="1:9" s="21" customFormat="1" ht="15.5">
      <c r="A12" s="55"/>
      <c r="B12" s="55"/>
      <c r="I12" s="159"/>
    </row>
    <row r="13" spans="1:9" s="27" customFormat="1" ht="15.5">
      <c r="A13" s="55"/>
      <c r="B13" s="55"/>
      <c r="C13" s="21"/>
      <c r="D13" s="21"/>
      <c r="E13" s="21"/>
      <c r="F13" s="21"/>
      <c r="G13" s="21"/>
      <c r="H13" s="21"/>
    </row>
    <row r="14" spans="1:9" s="736" customFormat="1" ht="15.5">
      <c r="A14" s="859" t="s">
        <v>598</v>
      </c>
    </row>
    <row r="15" spans="1:9" s="21" customFormat="1" ht="15.5">
      <c r="I15" s="156"/>
    </row>
    <row r="16" spans="1:9" s="21" customFormat="1" ht="15.5">
      <c r="A16" s="56">
        <v>59</v>
      </c>
      <c r="C16" s="39" t="str">
        <f>+'ATT H-2A'!B117</f>
        <v>Rate Base</v>
      </c>
      <c r="D16" s="39"/>
      <c r="F16" s="39"/>
      <c r="G16" s="59" t="s">
        <v>664</v>
      </c>
      <c r="H16" s="39"/>
      <c r="I16" s="100">
        <f>+'ATT H-2A'!H117</f>
        <v>1293730294.9093878</v>
      </c>
    </row>
    <row r="17" spans="1:9" s="21" customFormat="1" ht="15.5">
      <c r="A17" s="27"/>
      <c r="G17" s="38"/>
      <c r="I17" s="156"/>
    </row>
    <row r="18" spans="1:9" s="21" customFormat="1" ht="15.5">
      <c r="A18" s="27"/>
      <c r="G18" s="38"/>
    </row>
    <row r="19" spans="1:9" s="21" customFormat="1" ht="15.5">
      <c r="A19" s="44"/>
      <c r="B19" s="39"/>
      <c r="C19" s="25" t="str">
        <f>'ATT H-2A'!B184</f>
        <v>Long Term Interest</v>
      </c>
      <c r="D19" s="51"/>
      <c r="E19" s="34"/>
      <c r="F19" s="9"/>
      <c r="G19" s="579"/>
      <c r="H19" s="566"/>
      <c r="I19" s="27"/>
    </row>
    <row r="20" spans="1:9" s="21" customFormat="1" ht="15.5">
      <c r="A20" s="44">
        <v>99</v>
      </c>
      <c r="B20" s="39"/>
      <c r="C20" s="39"/>
      <c r="D20" s="51" t="str">
        <f>'ATT H-2A'!C185</f>
        <v>Long Term Interest</v>
      </c>
      <c r="E20" s="34"/>
      <c r="F20" s="9"/>
      <c r="G20" s="579" t="str">
        <f>'ATT H-2A'!F185</f>
        <v>p117.62c through 67c</v>
      </c>
      <c r="H20" s="566"/>
      <c r="I20" s="568">
        <f>+'ATT H-2A'!H185</f>
        <v>135029642</v>
      </c>
    </row>
    <row r="21" spans="1:9" s="21" customFormat="1" ht="15.5">
      <c r="A21" s="44">
        <f>'ATT H-2A'!A186</f>
        <v>100</v>
      </c>
      <c r="B21" s="39"/>
      <c r="C21" s="39"/>
      <c r="D21" s="23" t="str">
        <f>'ATT H-2A'!C186</f>
        <v xml:space="preserve">    Less LTD Interest on Securitization Bonds</v>
      </c>
      <c r="E21" s="60" t="str">
        <f>'ATT H-2A'!E186</f>
        <v>(Note P)</v>
      </c>
      <c r="F21" s="860"/>
      <c r="G21" s="577" t="str">
        <f>'ATT H-2A'!F186</f>
        <v>Attachment 8</v>
      </c>
      <c r="H21" s="744"/>
      <c r="I21" s="569">
        <f>+'ATT H-2A'!H186</f>
        <v>0</v>
      </c>
    </row>
    <row r="22" spans="1:9" s="21" customFormat="1" ht="15.5">
      <c r="A22" s="44">
        <v>101</v>
      </c>
      <c r="B22" s="39"/>
      <c r="C22" s="39"/>
      <c r="D22" s="23" t="str">
        <f>'ATT H-2A'!C187</f>
        <v>Long Term Interest</v>
      </c>
      <c r="E22" s="34"/>
      <c r="F22" s="51"/>
      <c r="G22" s="59" t="s">
        <v>722</v>
      </c>
      <c r="H22" s="566"/>
      <c r="I22" s="568">
        <f>+I20-I21</f>
        <v>135029642</v>
      </c>
    </row>
    <row r="23" spans="1:9" s="21" customFormat="1" ht="15.5">
      <c r="A23" s="44"/>
      <c r="B23" s="39"/>
      <c r="C23" s="23"/>
      <c r="D23" s="23"/>
      <c r="E23" s="9"/>
      <c r="F23" s="626"/>
      <c r="G23" s="38"/>
      <c r="H23" s="626"/>
      <c r="I23" s="571"/>
    </row>
    <row r="24" spans="1:9" s="21" customFormat="1" ht="15.5">
      <c r="A24" s="44">
        <v>102</v>
      </c>
      <c r="B24" s="39"/>
      <c r="C24" s="39" t="str">
        <f>'ATT H-2A'!B189</f>
        <v>Preferred Dividends</v>
      </c>
      <c r="D24" s="361"/>
      <c r="E24" s="9" t="str">
        <f>'ATT H-2A'!E189</f>
        <v xml:space="preserve"> enter positive</v>
      </c>
      <c r="F24" s="9"/>
      <c r="G24" s="580" t="str">
        <f>'ATT H-2A'!F189</f>
        <v>p118.29c</v>
      </c>
      <c r="H24" s="626"/>
      <c r="I24" s="568">
        <f>+'ATT H-2A'!H189</f>
        <v>0</v>
      </c>
    </row>
    <row r="25" spans="1:9" s="21" customFormat="1" ht="15.5">
      <c r="A25" s="44"/>
      <c r="B25" s="39"/>
      <c r="C25" s="23"/>
      <c r="D25" s="23"/>
      <c r="E25" s="9"/>
      <c r="F25" s="740"/>
      <c r="G25" s="580"/>
      <c r="H25" s="626"/>
      <c r="I25" s="571"/>
    </row>
    <row r="26" spans="1:9" s="21" customFormat="1" ht="15.5">
      <c r="A26" s="44"/>
      <c r="B26" s="39"/>
      <c r="C26" s="23" t="str">
        <f>'ATT H-2A'!B191</f>
        <v>Common Stock</v>
      </c>
      <c r="D26" s="62"/>
      <c r="E26" s="9"/>
      <c r="F26" s="9"/>
      <c r="G26" s="580"/>
      <c r="H26" s="626"/>
      <c r="I26" s="571"/>
    </row>
    <row r="27" spans="1:9" s="21" customFormat="1" ht="15.5">
      <c r="A27" s="44">
        <v>103</v>
      </c>
      <c r="B27" s="39"/>
      <c r="C27" s="39"/>
      <c r="D27" s="23" t="str">
        <f>'ATT H-2A'!C192</f>
        <v>Proprietary Capital</v>
      </c>
      <c r="E27" s="626"/>
      <c r="F27" s="626"/>
      <c r="G27" s="580" t="str">
        <f>'ATT H-2A'!F192</f>
        <v>p112.16c</v>
      </c>
      <c r="H27" s="626"/>
      <c r="I27" s="568">
        <f>+'ATT H-2A'!H192</f>
        <v>4196498442</v>
      </c>
    </row>
    <row r="28" spans="1:9" s="21" customFormat="1" ht="15.5">
      <c r="A28" s="44">
        <v>104</v>
      </c>
      <c r="B28" s="39"/>
      <c r="C28" s="39"/>
      <c r="D28" s="25" t="str">
        <f>'ATT H-2A'!C193</f>
        <v xml:space="preserve">    Less Preferred Stock</v>
      </c>
      <c r="E28" s="571" t="str">
        <f>'ATT H-2A'!E193</f>
        <v>enter negative</v>
      </c>
      <c r="F28" s="571"/>
      <c r="G28" s="59" t="s">
        <v>680</v>
      </c>
      <c r="H28" s="626"/>
      <c r="I28" s="571">
        <f>-I40</f>
        <v>0</v>
      </c>
    </row>
    <row r="29" spans="1:9" s="21" customFormat="1" ht="15.5" hidden="1">
      <c r="A29" s="44">
        <f>'ATT H-2A'!A194</f>
        <v>105</v>
      </c>
      <c r="B29" s="39"/>
      <c r="C29" s="39"/>
      <c r="D29" s="25" t="str">
        <f>'ATT H-2A'!C194</f>
        <v xml:space="preserve">    Plus Securitization Adjustment</v>
      </c>
      <c r="E29" s="743">
        <f>'ATT H-2A'!E194</f>
        <v>0</v>
      </c>
      <c r="F29" s="571"/>
      <c r="G29" s="580" t="str">
        <f>'ATT H-2A'!F194</f>
        <v>Attachment 8</v>
      </c>
      <c r="H29" s="626"/>
      <c r="I29" s="568">
        <f>+'ATT H-2A'!H194</f>
        <v>0</v>
      </c>
    </row>
    <row r="30" spans="1:9" s="21" customFormat="1" ht="15.5">
      <c r="A30" s="44">
        <v>105</v>
      </c>
      <c r="B30" s="39"/>
      <c r="C30" s="39"/>
      <c r="D30" s="25" t="str">
        <f>'ATT H-2A'!C195</f>
        <v xml:space="preserve">    Less Account 216.1</v>
      </c>
      <c r="E30" s="569" t="str">
        <f>'ATT H-2A'!E195</f>
        <v>enter negative</v>
      </c>
      <c r="F30" s="569"/>
      <c r="G30" s="577" t="str">
        <f>'ATT H-2A'!F195</f>
        <v>p112.12c</v>
      </c>
      <c r="H30" s="744"/>
      <c r="I30" s="569">
        <f>+'ATT H-2A'!H195</f>
        <v>0</v>
      </c>
    </row>
    <row r="31" spans="1:9" s="21" customFormat="1" ht="15.5">
      <c r="A31" s="44">
        <v>106</v>
      </c>
      <c r="B31" s="39"/>
      <c r="C31" s="39"/>
      <c r="D31" s="25" t="str">
        <f>'ATT H-2A'!C196</f>
        <v>Common Stock</v>
      </c>
      <c r="E31" s="568"/>
      <c r="F31" s="83"/>
      <c r="G31" s="59" t="s">
        <v>681</v>
      </c>
      <c r="H31" s="79"/>
      <c r="I31" s="571">
        <f>+I27+I28+I30+I29</f>
        <v>4196498442</v>
      </c>
    </row>
    <row r="32" spans="1:9" s="21" customFormat="1" ht="15.5">
      <c r="A32" s="44"/>
      <c r="B32" s="39"/>
      <c r="C32" s="23"/>
      <c r="D32" s="23"/>
      <c r="E32" s="9"/>
      <c r="F32" s="740"/>
      <c r="G32" s="580"/>
      <c r="H32" s="9"/>
      <c r="I32" s="571"/>
    </row>
    <row r="33" spans="1:12" s="21" customFormat="1" ht="15.5">
      <c r="A33" s="44"/>
      <c r="B33" s="39"/>
      <c r="C33" s="23" t="str">
        <f>'ATT H-2A'!B198</f>
        <v>Capitalization</v>
      </c>
      <c r="D33" s="62"/>
      <c r="E33" s="9"/>
      <c r="F33" s="9"/>
      <c r="G33" s="580"/>
      <c r="H33" s="9"/>
      <c r="I33" s="571"/>
    </row>
    <row r="34" spans="1:12" s="21" customFormat="1" ht="15.5">
      <c r="A34" s="44">
        <v>107</v>
      </c>
      <c r="B34" s="39"/>
      <c r="C34" s="39"/>
      <c r="D34" s="23" t="str">
        <f>'ATT H-2A'!C199</f>
        <v>Long Term Debt</v>
      </c>
      <c r="E34" s="9"/>
      <c r="F34" s="740"/>
      <c r="G34" s="25" t="str">
        <f>'ATT H-2A'!F199</f>
        <v>p112.18d through 21d</v>
      </c>
      <c r="H34" s="9"/>
      <c r="I34" s="568">
        <f>+'ATT H-2A'!H199</f>
        <v>3700000000</v>
      </c>
    </row>
    <row r="35" spans="1:12" s="21" customFormat="1" ht="15.5">
      <c r="A35" s="44">
        <v>108</v>
      </c>
      <c r="B35" s="39"/>
      <c r="C35" s="39"/>
      <c r="D35" s="23" t="str">
        <f>'ATT H-2A'!C200</f>
        <v xml:space="preserve">      Less Loss on Reacquired Debt </v>
      </c>
      <c r="F35" s="9" t="str">
        <f>'ATT H-2A'!E200</f>
        <v>enter negative</v>
      </c>
      <c r="G35" s="580" t="str">
        <f>'ATT H-2A'!F200</f>
        <v>p111.81.c</v>
      </c>
      <c r="H35" s="9"/>
      <c r="I35" s="568">
        <f>+'ATT H-2A'!H200</f>
        <v>-9002245</v>
      </c>
    </row>
    <row r="36" spans="1:12" s="21" customFormat="1" ht="15.5">
      <c r="A36" s="44">
        <v>109</v>
      </c>
      <c r="B36" s="39"/>
      <c r="C36" s="39"/>
      <c r="D36" s="23" t="str">
        <f>'ATT H-2A'!C201</f>
        <v xml:space="preserve">      Plus Gain on Reacquired Debt</v>
      </c>
      <c r="F36" s="9" t="str">
        <f>'ATT H-2A'!E201</f>
        <v>enter positive</v>
      </c>
      <c r="G36" s="25" t="str">
        <f>'ATT H-2A'!F201</f>
        <v>p113.61c</v>
      </c>
      <c r="H36" s="9"/>
      <c r="I36" s="568">
        <f>+'ATT H-2A'!H201</f>
        <v>0</v>
      </c>
    </row>
    <row r="37" spans="1:12" s="27" customFormat="1" ht="15.5">
      <c r="A37" s="44">
        <v>110</v>
      </c>
      <c r="B37" s="44"/>
      <c r="D37" s="745" t="s">
        <v>84</v>
      </c>
      <c r="F37" s="580" t="str">
        <f>+F35</f>
        <v>enter negative</v>
      </c>
      <c r="G37" s="578" t="s">
        <v>53</v>
      </c>
      <c r="I37" s="571">
        <f>+'ATT H-2A'!H202</f>
        <v>2477193.1692583188</v>
      </c>
      <c r="K37" s="21"/>
      <c r="L37" s="21"/>
    </row>
    <row r="38" spans="1:12" s="21" customFormat="1" ht="15.5">
      <c r="A38" s="44">
        <v>111</v>
      </c>
      <c r="B38" s="39"/>
      <c r="C38" s="39"/>
      <c r="D38" s="23" t="str">
        <f>'ATT H-2A'!C203</f>
        <v xml:space="preserve">      Less LTD on Securitization Bonds</v>
      </c>
      <c r="F38" s="21" t="str">
        <f>'ATT H-2A'!E203</f>
        <v>enter negative</v>
      </c>
      <c r="G38" s="580" t="str">
        <f>'ATT H-2A'!F203</f>
        <v>Attachment 8</v>
      </c>
      <c r="H38" s="9"/>
      <c r="I38" s="568">
        <f>+'ATT H-2A'!H203</f>
        <v>0</v>
      </c>
    </row>
    <row r="39" spans="1:12" s="21" customFormat="1" ht="15.5">
      <c r="A39" s="44">
        <v>112</v>
      </c>
      <c r="B39" s="39"/>
      <c r="C39" s="39"/>
      <c r="D39" s="25" t="str">
        <f>'ATT H-2A'!C204</f>
        <v>Total Long Term Debt</v>
      </c>
      <c r="E39" s="32"/>
      <c r="F39" s="779"/>
      <c r="G39" s="581" t="s">
        <v>682</v>
      </c>
      <c r="H39" s="29"/>
      <c r="I39" s="699">
        <f>SUM(I34:I38)</f>
        <v>3693474948.1692581</v>
      </c>
    </row>
    <row r="40" spans="1:12" s="21" customFormat="1" ht="15.5">
      <c r="A40" s="44">
        <v>113</v>
      </c>
      <c r="B40" s="39"/>
      <c r="C40" s="39"/>
      <c r="D40" s="23" t="str">
        <f>'ATT H-2A'!C205</f>
        <v>Preferred Stock</v>
      </c>
      <c r="E40" s="9"/>
      <c r="F40" s="740"/>
      <c r="G40" s="25" t="str">
        <f>'ATT H-2A'!F205</f>
        <v>p112.3c</v>
      </c>
      <c r="H40" s="9"/>
      <c r="I40" s="568">
        <f>+'ATT H-2A'!H205</f>
        <v>0</v>
      </c>
    </row>
    <row r="41" spans="1:12" s="21" customFormat="1" ht="15.5">
      <c r="A41" s="44">
        <v>114</v>
      </c>
      <c r="B41" s="39"/>
      <c r="C41" s="39"/>
      <c r="D41" s="23" t="str">
        <f>'ATT H-2A'!C206</f>
        <v>Common Stock</v>
      </c>
      <c r="E41" s="9"/>
      <c r="F41" s="740"/>
      <c r="G41" s="38" t="s">
        <v>683</v>
      </c>
      <c r="H41" s="9"/>
      <c r="I41" s="568">
        <f>I31</f>
        <v>4196498442</v>
      </c>
    </row>
    <row r="42" spans="1:12" s="21" customFormat="1" ht="15.5">
      <c r="A42" s="44">
        <v>115</v>
      </c>
      <c r="B42" s="39"/>
      <c r="C42" s="39"/>
      <c r="D42" s="23" t="str">
        <f>'ATT H-2A'!C207</f>
        <v>Total  Capitalization</v>
      </c>
      <c r="E42" s="32"/>
      <c r="F42" s="54"/>
      <c r="G42" s="581" t="s">
        <v>684</v>
      </c>
      <c r="H42" s="738"/>
      <c r="I42" s="699">
        <f>I41+I40+I39</f>
        <v>7889973390.1692581</v>
      </c>
    </row>
    <row r="43" spans="1:12" s="21" customFormat="1" ht="15.5">
      <c r="A43" s="44"/>
      <c r="B43" s="39"/>
      <c r="C43" s="39"/>
      <c r="D43" s="23"/>
      <c r="E43" s="9"/>
      <c r="F43" s="740"/>
      <c r="G43" s="38"/>
      <c r="H43" s="626"/>
      <c r="I43" s="743"/>
    </row>
    <row r="44" spans="1:12" s="21" customFormat="1" ht="15.5">
      <c r="A44" s="44">
        <v>116</v>
      </c>
      <c r="B44" s="39"/>
      <c r="C44" s="39"/>
      <c r="D44" s="23" t="str">
        <f>'ATT H-2A'!C209</f>
        <v>Debt %</v>
      </c>
      <c r="E44" s="578"/>
      <c r="F44" s="46" t="str">
        <f>'ATT H-2A'!D209</f>
        <v>Total Long Term Debt</v>
      </c>
      <c r="G44" s="59" t="s">
        <v>685</v>
      </c>
      <c r="H44" s="626"/>
      <c r="I44" s="861">
        <f>IF(I42&gt;0,I39/I42,0)</f>
        <v>0.46812261151238488</v>
      </c>
    </row>
    <row r="45" spans="1:12" s="21" customFormat="1" ht="15.5">
      <c r="A45" s="44">
        <v>116</v>
      </c>
      <c r="B45" s="39"/>
      <c r="C45" s="39"/>
      <c r="D45" s="23" t="str">
        <f>'ATT H-2A'!C210</f>
        <v>Preferred %</v>
      </c>
      <c r="E45" s="740"/>
      <c r="F45" s="46" t="str">
        <f>'ATT H-2A'!D210</f>
        <v>Preferred Stock</v>
      </c>
      <c r="G45" s="59" t="s">
        <v>686</v>
      </c>
      <c r="H45" s="626"/>
      <c r="I45" s="861">
        <f>IF(I42&gt;0,I40/I42,0)</f>
        <v>0</v>
      </c>
    </row>
    <row r="46" spans="1:12" s="21" customFormat="1" ht="15.5">
      <c r="A46" s="44">
        <v>116</v>
      </c>
      <c r="B46" s="39"/>
      <c r="C46" s="39"/>
      <c r="D46" s="23" t="str">
        <f>'ATT H-2A'!C211</f>
        <v>Common %</v>
      </c>
      <c r="E46" s="740"/>
      <c r="F46" s="46" t="str">
        <f>'ATT H-2A'!D211</f>
        <v>Common Stock</v>
      </c>
      <c r="G46" s="59" t="s">
        <v>687</v>
      </c>
      <c r="H46" s="626"/>
      <c r="I46" s="861">
        <f>IF(I42&gt;0,I41/I42,0)</f>
        <v>0.53187738848761512</v>
      </c>
    </row>
    <row r="47" spans="1:12" s="21" customFormat="1" ht="15.5">
      <c r="A47" s="44"/>
      <c r="B47" s="39"/>
      <c r="C47" s="39"/>
      <c r="D47" s="23"/>
      <c r="E47" s="9"/>
      <c r="F47" s="781"/>
      <c r="G47" s="59"/>
      <c r="H47" s="626"/>
      <c r="I47" s="743"/>
    </row>
    <row r="48" spans="1:12" s="21" customFormat="1" ht="15.5">
      <c r="A48" s="44">
        <v>119</v>
      </c>
      <c r="B48" s="39"/>
      <c r="C48" s="39"/>
      <c r="D48" s="23" t="str">
        <f>'ATT H-2A'!C213</f>
        <v>Debt Cost</v>
      </c>
      <c r="E48" s="578"/>
      <c r="F48" s="781" t="str">
        <f>'ATT H-2A'!D213</f>
        <v>Total Long Term Debt</v>
      </c>
      <c r="G48" s="59" t="s">
        <v>688</v>
      </c>
      <c r="H48" s="626"/>
      <c r="I48" s="862">
        <f>IF(I39&gt;0,I22/I39,0)</f>
        <v>3.655897058864039E-2</v>
      </c>
    </row>
    <row r="49" spans="1:12" s="21" customFormat="1" ht="15.5">
      <c r="A49" s="44">
        <v>120</v>
      </c>
      <c r="B49" s="39"/>
      <c r="C49" s="39"/>
      <c r="D49" s="23" t="str">
        <f>'ATT H-2A'!C214</f>
        <v>Preferred Cost</v>
      </c>
      <c r="E49" s="740"/>
      <c r="F49" s="781" t="str">
        <f>'ATT H-2A'!D214</f>
        <v>Preferred Stock</v>
      </c>
      <c r="G49" s="59" t="s">
        <v>689</v>
      </c>
      <c r="H49" s="626"/>
      <c r="I49" s="862">
        <f>IF(I40&gt;0,I24/I40,0)</f>
        <v>0</v>
      </c>
    </row>
    <row r="50" spans="1:12" s="21" customFormat="1" ht="15.5">
      <c r="A50" s="44">
        <v>121</v>
      </c>
      <c r="B50" s="39"/>
      <c r="C50" s="39"/>
      <c r="D50" s="23" t="str">
        <f>'ATT H-2A'!C215</f>
        <v>Common Cost</v>
      </c>
      <c r="E50" s="25" t="s">
        <v>117</v>
      </c>
      <c r="F50" s="781" t="str">
        <f>'ATT H-2A'!D215</f>
        <v>Common Stock</v>
      </c>
      <c r="G50" s="132" t="s">
        <v>31</v>
      </c>
      <c r="H50" s="626"/>
      <c r="I50" s="908">
        <f>+'ATT H-2A'!H215+I11</f>
        <v>0.11499999999999999</v>
      </c>
    </row>
    <row r="51" spans="1:12" s="21" customFormat="1" ht="15.5">
      <c r="A51" s="44"/>
      <c r="B51" s="39"/>
      <c r="C51" s="39"/>
      <c r="D51" s="23"/>
      <c r="E51" s="9"/>
      <c r="F51" s="781"/>
      <c r="G51" s="38"/>
      <c r="H51" s="626"/>
      <c r="I51" s="26"/>
    </row>
    <row r="52" spans="1:12" s="21" customFormat="1" ht="15.5">
      <c r="A52" s="44">
        <v>122</v>
      </c>
      <c r="B52" s="39"/>
      <c r="C52" s="39"/>
      <c r="D52" s="23" t="str">
        <f>'ATT H-2A'!C217</f>
        <v>Weighted Cost of Debt</v>
      </c>
      <c r="E52" s="578"/>
      <c r="F52" s="46" t="str">
        <f>'ATT H-2A'!D217</f>
        <v>Total Long Term Debt (WCLTD)</v>
      </c>
      <c r="G52" s="38" t="s">
        <v>690</v>
      </c>
      <c r="H52" s="783"/>
      <c r="I52" s="862">
        <f>I48*I44</f>
        <v>1.7114080786158808E-2</v>
      </c>
    </row>
    <row r="53" spans="1:12" s="21" customFormat="1" ht="15.5">
      <c r="A53" s="44">
        <v>123</v>
      </c>
      <c r="B53" s="39"/>
      <c r="C53" s="39"/>
      <c r="D53" s="23" t="str">
        <f>'ATT H-2A'!C218</f>
        <v>Weighted Cost of Preferred</v>
      </c>
      <c r="E53" s="740"/>
      <c r="F53" s="46" t="str">
        <f>'ATT H-2A'!D218</f>
        <v>Preferred Stock</v>
      </c>
      <c r="G53" s="38" t="s">
        <v>691</v>
      </c>
      <c r="H53" s="42"/>
      <c r="I53" s="862">
        <f>I49*I45</f>
        <v>0</v>
      </c>
    </row>
    <row r="54" spans="1:12" s="21" customFormat="1" ht="15.5">
      <c r="A54" s="44">
        <v>124</v>
      </c>
      <c r="B54" s="39"/>
      <c r="C54" s="39"/>
      <c r="D54" s="58" t="str">
        <f>'ATT H-2A'!C219</f>
        <v>Weighted Cost of Common</v>
      </c>
      <c r="E54" s="747"/>
      <c r="F54" s="58" t="str">
        <f>'ATT H-2A'!D219</f>
        <v>Common Stock</v>
      </c>
      <c r="G54" s="57" t="s">
        <v>692</v>
      </c>
      <c r="H54" s="784"/>
      <c r="I54" s="785">
        <f>I50*I46</f>
        <v>6.1165899676075733E-2</v>
      </c>
    </row>
    <row r="55" spans="1:12" s="21" customFormat="1" ht="15.5">
      <c r="A55" s="44">
        <v>125</v>
      </c>
      <c r="B55" s="39"/>
      <c r="C55" s="39" t="str">
        <f>'ATT H-2A'!B220</f>
        <v>Total Return ( R )</v>
      </c>
      <c r="D55" s="39"/>
      <c r="E55" s="80"/>
      <c r="F55" s="50"/>
      <c r="G55" s="582" t="s">
        <v>693</v>
      </c>
      <c r="H55" s="52"/>
      <c r="I55" s="43">
        <f>SUM(I52:I54)</f>
        <v>7.8279980462234541E-2</v>
      </c>
    </row>
    <row r="56" spans="1:12" s="21" customFormat="1" ht="15.5">
      <c r="A56" s="19"/>
      <c r="B56" s="39"/>
      <c r="C56" s="39"/>
      <c r="D56" s="39"/>
      <c r="E56" s="80"/>
      <c r="F56" s="50"/>
      <c r="G56" s="582"/>
      <c r="H56" s="52"/>
      <c r="I56" s="43"/>
    </row>
    <row r="57" spans="1:12" s="21" customFormat="1" ht="16" thickBot="1">
      <c r="A57" s="44">
        <v>126</v>
      </c>
      <c r="B57" s="39"/>
      <c r="C57" s="39" t="str">
        <f>'ATT H-2A'!B222</f>
        <v>Investment Return = Rate Base * Rate of Return</v>
      </c>
      <c r="D57" s="39"/>
      <c r="E57" s="66"/>
      <c r="F57" s="68"/>
      <c r="G57" s="583" t="s">
        <v>694</v>
      </c>
      <c r="H57" s="70"/>
      <c r="I57" s="16">
        <f>+I55*I16</f>
        <v>101273182.20890781</v>
      </c>
    </row>
    <row r="58" spans="1:12" s="21" customFormat="1" ht="16" thickTop="1">
      <c r="A58" s="8"/>
      <c r="B58" s="8"/>
      <c r="C58" s="8"/>
      <c r="D58" s="740"/>
      <c r="E58" s="9"/>
      <c r="F58" s="55"/>
      <c r="G58" s="626"/>
      <c r="H58" s="626"/>
      <c r="I58" s="782"/>
    </row>
    <row r="59" spans="1:12" s="736" customFormat="1" ht="15.5">
      <c r="A59" s="764" t="s">
        <v>597</v>
      </c>
      <c r="B59" s="764"/>
      <c r="C59" s="765"/>
      <c r="D59" s="766"/>
      <c r="E59" s="767"/>
      <c r="F59" s="768"/>
      <c r="I59" s="735"/>
    </row>
    <row r="60" spans="1:12" s="21" customFormat="1" ht="15.5">
      <c r="A60" s="25"/>
      <c r="B60" s="25"/>
      <c r="C60" s="8"/>
      <c r="D60" s="7"/>
      <c r="E60" s="26"/>
      <c r="F60" s="450"/>
      <c r="G60" s="9"/>
      <c r="H60" s="9"/>
      <c r="I60" s="13"/>
      <c r="K60" s="791"/>
      <c r="L60" s="791"/>
    </row>
    <row r="61" spans="1:12" s="21" customFormat="1" ht="15.5">
      <c r="A61" s="8" t="s">
        <v>166</v>
      </c>
      <c r="B61" s="8"/>
      <c r="C61" s="84" t="s">
        <v>280</v>
      </c>
      <c r="D61" s="9"/>
      <c r="E61" s="9"/>
      <c r="F61" s="450"/>
      <c r="G61" s="626"/>
      <c r="H61" s="786"/>
      <c r="I61" s="26"/>
    </row>
    <row r="62" spans="1:12" s="21" customFormat="1" ht="15.5">
      <c r="A62" s="44">
        <v>127</v>
      </c>
      <c r="B62" s="55"/>
      <c r="C62" s="8"/>
      <c r="D62" s="9" t="s">
        <v>278</v>
      </c>
      <c r="E62" s="9"/>
      <c r="F62" s="123" t="s">
        <v>1174</v>
      </c>
      <c r="G62" s="479"/>
      <c r="H62" s="10"/>
      <c r="I62" s="177">
        <f>+'ATT H-2A'!H227</f>
        <v>0.21</v>
      </c>
    </row>
    <row r="63" spans="1:12" s="21" customFormat="1" ht="15.5">
      <c r="A63" s="44">
        <v>128</v>
      </c>
      <c r="B63" s="55"/>
      <c r="C63" s="8"/>
      <c r="D63" s="10" t="s">
        <v>277</v>
      </c>
      <c r="E63" s="787"/>
      <c r="F63" s="123" t="s">
        <v>1174</v>
      </c>
      <c r="G63" s="479"/>
      <c r="H63" s="10"/>
      <c r="I63" s="177">
        <f>+'ATT H-2A'!H228</f>
        <v>8.2500000000000004E-2</v>
      </c>
    </row>
    <row r="64" spans="1:12" s="21" customFormat="1" ht="15.5">
      <c r="A64" s="44">
        <v>129</v>
      </c>
      <c r="B64" s="55"/>
      <c r="C64" s="8"/>
      <c r="D64" s="10" t="s">
        <v>478</v>
      </c>
      <c r="E64" s="10"/>
      <c r="F64" s="55"/>
      <c r="G64" s="479" t="str">
        <f>+'ATT H-2A'!F229</f>
        <v>Per State Tax Code</v>
      </c>
      <c r="H64" s="10"/>
      <c r="I64" s="177">
        <f>+'ATT H-2A'!H229</f>
        <v>0</v>
      </c>
    </row>
    <row r="65" spans="1:9" s="21" customFormat="1" ht="15.5">
      <c r="A65" s="44">
        <v>130</v>
      </c>
      <c r="B65" s="55"/>
      <c r="C65" s="8"/>
      <c r="D65" s="10" t="s">
        <v>350</v>
      </c>
      <c r="E65" s="788" t="s">
        <v>367</v>
      </c>
      <c r="F65" s="55"/>
      <c r="H65" s="10"/>
      <c r="I65" s="33">
        <f>IF(I62&gt;0,1-(((1-I63)*(1-I62))/(1-I63*I62*I64)),0)</f>
        <v>0.27517499999999995</v>
      </c>
    </row>
    <row r="66" spans="1:9" s="21" customFormat="1" ht="15.5">
      <c r="A66" s="44" t="str">
        <f>'ATT H-2A'!A231</f>
        <v>131a</v>
      </c>
      <c r="B66" s="55"/>
      <c r="C66" s="8"/>
      <c r="D66" s="10" t="s">
        <v>339</v>
      </c>
      <c r="E66" s="787"/>
      <c r="F66" s="55"/>
      <c r="G66" s="9"/>
      <c r="H66" s="10"/>
      <c r="I66" s="177">
        <f>+I65/(1-I65)</f>
        <v>0.37964336219087358</v>
      </c>
    </row>
    <row r="67" spans="1:9" s="21" customFormat="1" ht="15.5">
      <c r="A67" s="44" t="str">
        <f>'ATT H-2A'!A232</f>
        <v>131b</v>
      </c>
      <c r="B67" s="8"/>
      <c r="C67" s="8"/>
      <c r="D67" s="1224" t="s">
        <v>1122</v>
      </c>
      <c r="E67" s="787" t="s">
        <v>1123</v>
      </c>
      <c r="F67" s="962"/>
      <c r="G67" s="9"/>
      <c r="H67" s="1224"/>
      <c r="I67" s="1244">
        <f>1*1/(1-I65)</f>
        <v>1.3796433621908735</v>
      </c>
    </row>
    <row r="68" spans="1:9" s="21" customFormat="1" ht="15.5">
      <c r="A68" s="44"/>
      <c r="B68" s="8"/>
      <c r="C68" s="8"/>
      <c r="D68" s="9"/>
      <c r="E68" s="9"/>
      <c r="F68" s="751"/>
      <c r="G68" s="788"/>
      <c r="H68" s="786"/>
      <c r="I68" s="33"/>
    </row>
    <row r="69" spans="1:9" s="21" customFormat="1" ht="15.5">
      <c r="A69" s="44"/>
      <c r="B69" s="84"/>
      <c r="C69" s="84" t="s">
        <v>275</v>
      </c>
      <c r="D69" s="740"/>
      <c r="E69" s="9"/>
      <c r="F69" s="123" t="s">
        <v>1175</v>
      </c>
      <c r="G69" s="626"/>
      <c r="H69" s="786"/>
      <c r="I69" s="1245"/>
    </row>
    <row r="70" spans="1:9" s="21" customFormat="1" ht="15.5">
      <c r="A70" s="44">
        <f>'ATT H-2A'!A235</f>
        <v>132</v>
      </c>
      <c r="B70" s="8"/>
      <c r="C70" s="8"/>
      <c r="D70" s="745" t="s">
        <v>1167</v>
      </c>
      <c r="E70" s="9"/>
      <c r="F70" s="743" t="s">
        <v>347</v>
      </c>
      <c r="G70" s="23" t="s">
        <v>1173</v>
      </c>
      <c r="H70" s="786"/>
      <c r="I70" s="925">
        <f>'ATT H-2A'!H235</f>
        <v>-29158</v>
      </c>
    </row>
    <row r="71" spans="1:9" s="21" customFormat="1" ht="15.5">
      <c r="A71" s="44">
        <f>'ATT H-2A'!A236</f>
        <v>133</v>
      </c>
      <c r="B71" s="8"/>
      <c r="C71" s="8"/>
      <c r="D71" s="752" t="s">
        <v>1159</v>
      </c>
      <c r="E71" s="9"/>
      <c r="F71" s="8"/>
      <c r="G71" s="566" t="str">
        <f>"(Line "&amp;A67&amp;")"</f>
        <v>(Line 131b)</v>
      </c>
      <c r="H71" s="786"/>
      <c r="I71" s="1246">
        <f>1/(1-I65)</f>
        <v>1.3796433621908735</v>
      </c>
    </row>
    <row r="72" spans="1:9" s="49" customFormat="1" ht="15.5">
      <c r="A72" s="44">
        <f>'ATT H-2A'!A237</f>
        <v>134</v>
      </c>
      <c r="B72" s="45"/>
      <c r="C72" s="45"/>
      <c r="D72" s="101" t="s">
        <v>264</v>
      </c>
      <c r="E72" s="57"/>
      <c r="F72" s="106"/>
      <c r="G72" s="744" t="str">
        <f>'ATT H-2A'!F237</f>
        <v>(Line 18)</v>
      </c>
      <c r="H72" s="1227"/>
      <c r="I72" s="159">
        <f>'ATT H-2A'!H237</f>
        <v>0.25273645210431184</v>
      </c>
    </row>
    <row r="73" spans="1:9" s="21" customFormat="1" ht="15.5">
      <c r="A73" s="44">
        <f>'ATT H-2A'!A238</f>
        <v>135</v>
      </c>
      <c r="B73" s="8"/>
      <c r="C73" s="8"/>
      <c r="D73" s="1247" t="s">
        <v>276</v>
      </c>
      <c r="E73" s="29"/>
      <c r="F73" s="123"/>
      <c r="G73" s="566" t="str">
        <f>"(Line "&amp;A70&amp;" *  "&amp;A71&amp;" * "&amp;A72&amp;")"</f>
        <v>(Line 132 *  133 * 134)</v>
      </c>
      <c r="H73" s="1210"/>
      <c r="I73" s="699">
        <f>I70*I71*I72</f>
        <v>-10166.991301979822</v>
      </c>
    </row>
    <row r="74" spans="1:9" s="21" customFormat="1" ht="15.5">
      <c r="A74" s="44"/>
      <c r="B74" s="8"/>
      <c r="C74" s="8"/>
      <c r="D74" s="46"/>
      <c r="E74" s="47"/>
      <c r="F74" s="141"/>
      <c r="G74" s="140"/>
      <c r="H74" s="1227"/>
      <c r="I74" s="1248"/>
    </row>
    <row r="75" spans="1:9" s="21" customFormat="1" ht="15.5">
      <c r="A75" s="44"/>
      <c r="B75" s="62"/>
      <c r="C75" s="62" t="s">
        <v>904</v>
      </c>
      <c r="D75" s="46"/>
      <c r="E75" s="47"/>
      <c r="F75" s="141"/>
      <c r="G75" s="140"/>
      <c r="H75" s="1227"/>
      <c r="I75" s="1248"/>
    </row>
    <row r="76" spans="1:9" s="21" customFormat="1" ht="15.5">
      <c r="A76" s="44" t="str">
        <f>'ATT H-2A'!A241</f>
        <v>136a</v>
      </c>
      <c r="B76" s="23"/>
      <c r="C76" s="23"/>
      <c r="D76" s="46" t="s">
        <v>909</v>
      </c>
      <c r="E76" s="47"/>
      <c r="F76" s="123" t="s">
        <v>1176</v>
      </c>
      <c r="G76" s="9" t="s">
        <v>1125</v>
      </c>
      <c r="H76" s="1227"/>
      <c r="I76" s="1316">
        <f>'ATT H-2A'!H241</f>
        <v>441955.54057499993</v>
      </c>
    </row>
    <row r="77" spans="1:9" s="21" customFormat="1" ht="15.5">
      <c r="A77" s="44" t="str">
        <f>'ATT H-2A'!A242</f>
        <v>136b</v>
      </c>
      <c r="B77" s="23"/>
      <c r="C77" s="23"/>
      <c r="D77" s="46" t="s">
        <v>1194</v>
      </c>
      <c r="E77" s="47"/>
      <c r="F77" s="123" t="s">
        <v>1176</v>
      </c>
      <c r="G77" s="9" t="s">
        <v>1127</v>
      </c>
      <c r="H77" s="1227"/>
      <c r="I77" s="1316">
        <f>'ATT H-2A'!H242</f>
        <v>-11038201.936257988</v>
      </c>
    </row>
    <row r="78" spans="1:9" s="21" customFormat="1" ht="15.5">
      <c r="A78" s="44" t="str">
        <f>'ATT H-2A'!A243</f>
        <v>136c</v>
      </c>
      <c r="B78" s="23"/>
      <c r="C78" s="23"/>
      <c r="D78" s="46" t="s">
        <v>1199</v>
      </c>
      <c r="E78" s="47"/>
      <c r="F78" s="123" t="s">
        <v>1176</v>
      </c>
      <c r="G78" s="9" t="s">
        <v>1129</v>
      </c>
      <c r="H78" s="1227"/>
      <c r="I78" s="1316">
        <f>'ATT H-2A'!H243</f>
        <v>0</v>
      </c>
    </row>
    <row r="79" spans="1:9" s="21" customFormat="1" ht="15.5">
      <c r="A79" s="44" t="str">
        <f>'ATT H-2A'!A244</f>
        <v>136d</v>
      </c>
      <c r="B79" s="23"/>
      <c r="C79" s="23"/>
      <c r="D79" s="58" t="s">
        <v>911</v>
      </c>
      <c r="E79" s="122"/>
      <c r="F79" s="130" t="s">
        <v>1176</v>
      </c>
      <c r="G79" s="60" t="s">
        <v>1131</v>
      </c>
      <c r="H79" s="1211"/>
      <c r="I79" s="1317">
        <f>'ATT H-2A'!H244</f>
        <v>453192</v>
      </c>
    </row>
    <row r="80" spans="1:9" s="21" customFormat="1" ht="15.5">
      <c r="A80" s="44" t="str">
        <f>'ATT H-2A'!A245</f>
        <v>136e</v>
      </c>
      <c r="B80" s="23"/>
      <c r="C80" s="23"/>
      <c r="D80" s="46" t="s">
        <v>1133</v>
      </c>
      <c r="E80" s="47"/>
      <c r="F80" s="123"/>
      <c r="G80" s="566" t="str">
        <f>"(Line "&amp;A76&amp;" + "&amp;A77&amp;" + "&amp;A78&amp;" + "&amp;A79&amp;")"</f>
        <v>(Line 136a + 136b + 136c + 136d)</v>
      </c>
      <c r="H80" s="1227"/>
      <c r="I80" s="53">
        <f>I76+I77+I78+I79</f>
        <v>-10143054.395682989</v>
      </c>
    </row>
    <row r="81" spans="1:10" s="21" customFormat="1" ht="15.5">
      <c r="A81" s="44" t="str">
        <f>'ATT H-2A'!A246</f>
        <v>136f</v>
      </c>
      <c r="B81" s="8"/>
      <c r="C81" s="8"/>
      <c r="D81" s="747" t="s">
        <v>1159</v>
      </c>
      <c r="E81" s="122"/>
      <c r="F81" s="1251"/>
      <c r="G81" s="744" t="str">
        <f>"(Line "&amp;A67&amp;")"</f>
        <v>(Line 131b)</v>
      </c>
      <c r="H81" s="1211"/>
      <c r="I81" s="1246">
        <f>1/(1-I65)</f>
        <v>1.3796433621908735</v>
      </c>
    </row>
    <row r="82" spans="1:10" s="21" customFormat="1" ht="15.5">
      <c r="A82" s="44" t="str">
        <f>'ATT H-2A'!A247</f>
        <v>136g</v>
      </c>
      <c r="B82" s="8"/>
      <c r="C82" s="8"/>
      <c r="D82" s="46" t="s">
        <v>904</v>
      </c>
      <c r="E82" s="47"/>
      <c r="F82" s="141" t="s">
        <v>166</v>
      </c>
      <c r="G82" s="566" t="str">
        <f>"(Line "&amp;A80&amp;" * "&amp;A81&amp;")"</f>
        <v>(Line 136e * 136f)</v>
      </c>
      <c r="H82" s="1227"/>
      <c r="I82" s="40">
        <f>I80*I81</f>
        <v>-13993797.669344997</v>
      </c>
      <c r="J82" s="1242"/>
    </row>
    <row r="83" spans="1:10" s="21" customFormat="1" ht="15.5">
      <c r="A83" s="44"/>
      <c r="B83" s="8"/>
      <c r="C83" s="9"/>
      <c r="D83" s="9"/>
      <c r="E83" s="751"/>
      <c r="F83" s="788"/>
      <c r="G83" s="786"/>
      <c r="H83" s="33"/>
      <c r="I83" s="27"/>
    </row>
    <row r="84" spans="1:10" s="21" customFormat="1" ht="15.5">
      <c r="A84" s="44" t="str">
        <f>'ATT H-2A'!A249</f>
        <v>136h</v>
      </c>
      <c r="B84" s="55"/>
      <c r="C84" s="1" t="s">
        <v>310</v>
      </c>
      <c r="E84" s="9" t="s">
        <v>315</v>
      </c>
      <c r="F84" s="450"/>
      <c r="G84" s="568" t="s">
        <v>1171</v>
      </c>
      <c r="H84" s="9"/>
      <c r="I84" s="863">
        <f>+I66*(1-I52/I55)*I57</f>
        <v>30042005.895615719</v>
      </c>
    </row>
    <row r="85" spans="1:10" s="21" customFormat="1" ht="15.5">
      <c r="A85" s="44"/>
      <c r="B85" s="8"/>
      <c r="C85" s="8"/>
      <c r="D85" s="46"/>
      <c r="E85" s="47"/>
      <c r="F85" s="119"/>
      <c r="G85" s="566"/>
      <c r="H85" s="48"/>
      <c r="I85" s="37"/>
    </row>
    <row r="86" spans="1:10" s="21" customFormat="1" ht="16" thickBot="1">
      <c r="A86" s="44">
        <v>137</v>
      </c>
      <c r="B86" s="55"/>
      <c r="C86" s="69" t="s">
        <v>135</v>
      </c>
      <c r="D86" s="69"/>
      <c r="E86" s="66"/>
      <c r="F86" s="112"/>
      <c r="G86" s="66" t="str">
        <f>"(Line "&amp;A73&amp;" + "&amp;A82&amp;" + "&amp;A84&amp;")"</f>
        <v>(Line 135 + 136g + 136h)</v>
      </c>
      <c r="H86" s="957"/>
      <c r="I86" s="105">
        <f>+I84+I73+I82</f>
        <v>16038041.234968742</v>
      </c>
    </row>
    <row r="87" spans="1:10" s="21" customFormat="1" ht="16" thickTop="1">
      <c r="A87" s="8"/>
      <c r="B87" s="8"/>
      <c r="C87" s="8"/>
      <c r="D87" s="788"/>
      <c r="E87" s="9"/>
      <c r="F87" s="55"/>
      <c r="G87" s="573"/>
      <c r="H87" s="789"/>
      <c r="I87" s="790"/>
    </row>
    <row r="88" spans="1:10" s="21" customFormat="1" ht="15.5"/>
    <row r="317" spans="1:6">
      <c r="A317" s="565"/>
      <c r="B317" s="565"/>
      <c r="C317" s="565"/>
      <c r="D317" s="565"/>
      <c r="E317" s="565"/>
      <c r="F317" s="565"/>
    </row>
    <row r="318" spans="1:6">
      <c r="A318" s="565"/>
      <c r="B318" s="565"/>
      <c r="C318" s="565"/>
      <c r="D318" s="565"/>
      <c r="E318" s="565"/>
      <c r="F318" s="565"/>
    </row>
    <row r="319" spans="1:6">
      <c r="A319" s="565"/>
      <c r="B319" s="565"/>
      <c r="C319" s="565"/>
      <c r="D319" s="565"/>
      <c r="E319" s="565"/>
      <c r="F319" s="565"/>
    </row>
    <row r="320" spans="1:6">
      <c r="A320" s="565"/>
      <c r="B320" s="565"/>
      <c r="C320" s="565"/>
      <c r="D320" s="565"/>
      <c r="E320" s="565"/>
      <c r="F320" s="565"/>
    </row>
    <row r="321" spans="1:6">
      <c r="A321" s="565"/>
      <c r="B321" s="565"/>
      <c r="C321" s="565"/>
      <c r="D321" s="565"/>
      <c r="E321" s="565"/>
      <c r="F321" s="565"/>
    </row>
    <row r="322" spans="1:6">
      <c r="A322" s="565"/>
      <c r="B322" s="565"/>
      <c r="C322" s="565"/>
      <c r="D322" s="565"/>
      <c r="E322" s="565"/>
      <c r="F322" s="565"/>
    </row>
    <row r="323" spans="1:6">
      <c r="A323" s="565"/>
      <c r="B323" s="565"/>
      <c r="C323" s="565"/>
      <c r="D323" s="565"/>
      <c r="E323" s="565"/>
      <c r="F323" s="565"/>
    </row>
    <row r="324" spans="1:6">
      <c r="A324" s="565"/>
      <c r="B324" s="565"/>
      <c r="C324" s="565"/>
      <c r="D324" s="565"/>
      <c r="E324" s="565"/>
      <c r="F324" s="565"/>
    </row>
    <row r="325" spans="1:6">
      <c r="A325" s="565"/>
      <c r="B325" s="565"/>
      <c r="C325" s="565"/>
      <c r="D325" s="565"/>
      <c r="E325" s="565"/>
      <c r="F325" s="565"/>
    </row>
  </sheetData>
  <mergeCells count="2">
    <mergeCell ref="A3:G3"/>
    <mergeCell ref="A1:G1"/>
  </mergeCells>
  <phoneticPr fontId="0" type="noConversion"/>
  <printOptions horizontalCentered="1"/>
  <pageMargins left="0.75" right="0.75" top="1" bottom="0.75" header="0.5" footer="0.5"/>
  <pageSetup scale="42" orientation="portrait" r:id="rId1"/>
  <headerFooter alignWithMargins="0">
    <oddHeader>&amp;R&amp;"Times New Roman,Bold"&amp;16Appendix A
Page &amp;P of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ATT H-2A</vt:lpstr>
      <vt:lpstr>1A - ADIT</vt:lpstr>
      <vt:lpstr>1B - ADIT Amortization</vt:lpstr>
      <vt:lpstr>1C - ADIT Remeasurement</vt:lpstr>
      <vt:lpstr>2 - Other Tax</vt:lpstr>
      <vt:lpstr>3 - Revenue Credits</vt:lpstr>
      <vt:lpstr>Exh E - Cap Add Worksheet</vt:lpstr>
      <vt:lpstr>Exh F - AA-BL Items</vt:lpstr>
      <vt:lpstr>4 - 100 Basis Pt ROE</vt:lpstr>
      <vt:lpstr>5 - Cost Support</vt:lpstr>
      <vt:lpstr>5a - Affiliate Allocations</vt:lpstr>
      <vt:lpstr>6- Est &amp; True-up WS</vt:lpstr>
      <vt:lpstr>7 - Cap Add WS</vt:lpstr>
      <vt:lpstr>8 - Securitization</vt:lpstr>
      <vt:lpstr>9- Depr Rates</vt:lpstr>
      <vt:lpstr>'1B - ADIT Amortization'!Print_Area</vt:lpstr>
      <vt:lpstr>'2 - Other Tax'!Print_Area</vt:lpstr>
      <vt:lpstr>'5 - Cost Support'!Print_Area</vt:lpstr>
      <vt:lpstr>'9- Depr Rates'!Print_Area</vt:lpstr>
      <vt:lpstr>'ATT H-2A'!Print_Area</vt:lpstr>
      <vt:lpstr>'Exh F - AA-BL Items'!Print_Area</vt:lpstr>
      <vt:lpstr>'1A - ADIT'!Print_Titles</vt:lpstr>
      <vt:lpstr>'1B - ADIT Amortization'!Print_Titles</vt:lpstr>
      <vt:lpstr>'1C - ADIT Remeasurement'!Print_Titles</vt:lpstr>
      <vt:lpstr>'5 - Cost Support'!Print_Titles</vt:lpstr>
      <vt:lpstr>'7 - Cap Add WS'!Print_Titles</vt:lpstr>
      <vt:lpstr>'ATT H-2A'!Print_Titles</vt:lpstr>
      <vt:lpstr>'Exh E - Cap Add Worksheet'!Print_Titles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1900-01-01T08:00:00Z</dcterms:created>
  <dcterms:modified xsi:type="dcterms:W3CDTF">2021-05-10T17:16:53Z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090819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LYMAJR</vt:lpwstr>
  </property>
  <property fmtid="{D5CDD505-2E9C-101B-9397-08002B2CF9AE}" pid="7" name="DISdID">
    <vt:lpwstr>165280</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http://webcenterprd.exelonds.com/cs/idcplg?IdcService=DESKTOP_DOC_INFO&amp;dDocName=090819&amp;dID=165280&amp;ClientControlled=DocMan,taskpane&amp;coreContentOnly=1</vt:lpwstr>
  </property>
</Properties>
</file>